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8800" windowHeight="11700" activeTab="1"/>
  </bookViews>
  <sheets>
    <sheet name="Grille evaluation" sheetId="1" r:id="rId1"/>
    <sheet name="Gr.1" sheetId="2" r:id="rId2"/>
    <sheet name="Gr.2" sheetId="9" r:id="rId3"/>
    <sheet name="Gr.3" sheetId="7" r:id="rId4"/>
    <sheet name="Gr.4" sheetId="6" r:id="rId5"/>
    <sheet name="Gr.5" sheetId="8" r:id="rId6"/>
    <sheet name="Gr.6" sheetId="4" r:id="rId7"/>
    <sheet name="Gr.7" sheetId="5" r:id="rId8"/>
    <sheet name="Feuil2" sheetId="3" r:id="rId9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9" l="1"/>
  <c r="I15" i="9"/>
  <c r="I14" i="9"/>
  <c r="I13" i="9"/>
  <c r="I16" i="9" s="1"/>
  <c r="I7" i="9"/>
  <c r="H7" i="9" s="1"/>
  <c r="C7" i="9"/>
  <c r="I6" i="9"/>
  <c r="I5" i="9"/>
  <c r="C16" i="8"/>
  <c r="I15" i="8"/>
  <c r="I14" i="8"/>
  <c r="I13" i="8"/>
  <c r="I16" i="8" s="1"/>
  <c r="C7" i="8"/>
  <c r="I6" i="8"/>
  <c r="I7" i="8" s="1"/>
  <c r="H7" i="8" s="1"/>
  <c r="I5" i="8"/>
  <c r="C16" i="7"/>
  <c r="I15" i="7"/>
  <c r="I14" i="7"/>
  <c r="I13" i="7"/>
  <c r="I16" i="7" s="1"/>
  <c r="I7" i="7"/>
  <c r="H7" i="7" s="1"/>
  <c r="C7" i="7"/>
  <c r="I6" i="7"/>
  <c r="I5" i="7"/>
  <c r="C16" i="6"/>
  <c r="I15" i="6"/>
  <c r="I14" i="6"/>
  <c r="I13" i="6"/>
  <c r="I16" i="6" s="1"/>
  <c r="I7" i="6"/>
  <c r="H7" i="6" s="1"/>
  <c r="C7" i="6"/>
  <c r="I6" i="6"/>
  <c r="I5" i="6"/>
  <c r="C16" i="5"/>
  <c r="I15" i="5"/>
  <c r="I14" i="5"/>
  <c r="I13" i="5"/>
  <c r="I16" i="5" s="1"/>
  <c r="I7" i="5"/>
  <c r="H7" i="5" s="1"/>
  <c r="C7" i="5"/>
  <c r="I6" i="5"/>
  <c r="I5" i="5"/>
  <c r="C16" i="4"/>
  <c r="I15" i="4"/>
  <c r="I14" i="4"/>
  <c r="I13" i="4"/>
  <c r="I16" i="4" s="1"/>
  <c r="C7" i="4"/>
  <c r="I6" i="4"/>
  <c r="I7" i="4" s="1"/>
  <c r="H7" i="4" s="1"/>
  <c r="I5" i="4"/>
  <c r="C16" i="2"/>
  <c r="I15" i="2"/>
  <c r="I14" i="2"/>
  <c r="I13" i="2"/>
  <c r="I16" i="2" s="1"/>
  <c r="I7" i="2"/>
  <c r="H7" i="2" s="1"/>
  <c r="C7" i="2"/>
  <c r="I6" i="2"/>
  <c r="I5" i="2"/>
  <c r="I18" i="9" l="1"/>
  <c r="H19" i="9" s="1"/>
  <c r="H16" i="9"/>
  <c r="H16" i="8"/>
  <c r="I18" i="8"/>
  <c r="H19" i="8" s="1"/>
  <c r="I18" i="7"/>
  <c r="H19" i="7" s="1"/>
  <c r="H16" i="7"/>
  <c r="I18" i="6"/>
  <c r="H19" i="6" s="1"/>
  <c r="H16" i="6"/>
  <c r="I18" i="5"/>
  <c r="H19" i="5" s="1"/>
  <c r="H16" i="5"/>
  <c r="I18" i="4"/>
  <c r="H19" i="4" s="1"/>
  <c r="H16" i="4"/>
  <c r="I18" i="2"/>
  <c r="H19" i="2" s="1"/>
  <c r="H16" i="2"/>
  <c r="C7" i="1" l="1"/>
  <c r="C16" i="1"/>
  <c r="I13" i="1" l="1"/>
  <c r="I14" i="1"/>
  <c r="I15" i="1"/>
  <c r="I5" i="1"/>
  <c r="I7" i="1" s="1"/>
  <c r="H7" i="1" s="1"/>
  <c r="I6" i="1"/>
  <c r="I16" i="1" l="1"/>
  <c r="I18" i="1" s="1"/>
  <c r="H19" i="1" s="1"/>
  <c r="H16" i="1" l="1"/>
</calcChain>
</file>

<file path=xl/sharedStrings.xml><?xml version="1.0" encoding="utf-8"?>
<sst xmlns="http://schemas.openxmlformats.org/spreadsheetml/2006/main" count="480" uniqueCount="44">
  <si>
    <t>CPI A2 Gen BTP - Projet Mécaflux - Livrable 2 - 10/11/2020</t>
  </si>
  <si>
    <t>Critères</t>
  </si>
  <si>
    <t>Acquis d'apprentissage visé</t>
  </si>
  <si>
    <t>Interprétation AAV dans projet</t>
  </si>
  <si>
    <t>Poids</t>
  </si>
  <si>
    <t>A</t>
  </si>
  <si>
    <t>B</t>
  </si>
  <si>
    <t>C</t>
  </si>
  <si>
    <t>D</t>
  </si>
  <si>
    <t>Evaluation</t>
  </si>
  <si>
    <t>Calcul Intermédiaire</t>
  </si>
  <si>
    <t>Commentaire</t>
  </si>
  <si>
    <t xml:space="preserve">Appliquer le premier principe de la thermodynamique  </t>
  </si>
  <si>
    <t>Note final:</t>
  </si>
  <si>
    <t>CPI A2 Gen BTP - Projet Mécaflux - Livrable 3 - 10/11/2020</t>
  </si>
  <si>
    <t xml:space="preserve">Sélectionner une pompe pour répondre à un réseau hydraulique particulier (HMT, NPSH) </t>
  </si>
  <si>
    <t>Proposer un circuit hydraulique adéquat pour le projet</t>
  </si>
  <si>
    <t>Sélectionner les organes hydrauliques adéquat (diamètre, coude, convergent-divergent)</t>
  </si>
  <si>
    <t>Les organes sont sélectionnés en prenant en compte l'ensemble des sections</t>
  </si>
  <si>
    <t>Aucune sélection réalisée</t>
  </si>
  <si>
    <t>Les choix sont arbitraires</t>
  </si>
  <si>
    <t>Le choix est arbitraire</t>
  </si>
  <si>
    <t>Le choix est argumenté mais quelques lacunes sont présentes</t>
  </si>
  <si>
    <t>Le choix est judicieux et bien argumenté</t>
  </si>
  <si>
    <t>Aucun choix n'est fait</t>
  </si>
  <si>
    <t>L'ensemble est cohérent et approprié</t>
  </si>
  <si>
    <t>L'ensemble semble cohérent mais quelques aspects sont négligés</t>
  </si>
  <si>
    <t>Le circuit ne répond pas au projet</t>
  </si>
  <si>
    <t>Pas de circuit proposé</t>
  </si>
  <si>
    <t xml:space="preserve">Argumenter un choix de  pompe à chaleur ou de récupération d'énergie pour un système de chauffage  de bâtiment </t>
  </si>
  <si>
    <t>suivre la démarche de dimensionnement de la pompe</t>
  </si>
  <si>
    <t>proposer une vision globale des choix effectués</t>
  </si>
  <si>
    <t>le débit de la source froide  de la PAC est calculé en appliquer le 1er principe</t>
  </si>
  <si>
    <t>les critères de choix de la PAC sont déterminés et permettent le choix et le dimensionnement.</t>
  </si>
  <si>
    <t>Le premier principe est exploité. Le débit de la source froide est cohérent avec le choix de PAC effectué. Le COP est utilisé.</t>
  </si>
  <si>
    <t xml:space="preserve">Le premier principe est exploité avec des erreurs mineures ou  Le débit de la source froide est peu cohérent avec le choix de PAC effectué </t>
  </si>
  <si>
    <t>Le premier principe est exploité de façon erronée ou  Le débit de la source froide est pas cohérent avec le choix de PAC effectué ou  Le COP n'est pas utilisé.</t>
  </si>
  <si>
    <t>Le premier principe n' est pas utilisé pour déterminer le débit de la source froide.</t>
  </si>
  <si>
    <t>Les calculs ne sont pas effectués.</t>
  </si>
  <si>
    <t>La puissance de la PAC et la température de sortie d'eau sont correctement déterminées. L'échangeur choisie est cohérent avec l'ensemble</t>
  </si>
  <si>
    <t xml:space="preserve">La puissance de la PAC ou  la température de sortie d'eau comportent des erreurs majeures ou le choix de l'échangeur est incohérrent </t>
  </si>
  <si>
    <t>La puissance de la PAC ou  la température de sortie d'eau comportent des erreurs mineures. Ou le choix de l'échangeur présente des incohérrences mineures.</t>
  </si>
  <si>
    <t>Les organes sont judicieusement selectionnés mais quelques incohérences sont présentes</t>
  </si>
  <si>
    <t>Adapter les diamètres nominaux des tronçons- aux organes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</si>
</sst>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10" fontId="3" fillId="0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Fill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2" fillId="0" borderId="0" xfId="0" applyFont="1" applyAlignment="1">
      <alignment horizontal="justify" vertical="center"/>
    </xf>
    <xf numFmtId="0" fontId="5" fillId="0" borderId="0" xfId="0" applyFont="1" applyAlignment="1">
      <alignment horizontal="center"/>
    </xf>
    <xf numFmtId="9" fontId="3" fillId="0" borderId="0" xfId="0" applyNumberFormat="1" applyFont="1" applyFill="1" applyBorder="1" applyAlignment="1" applyProtection="1">
      <alignment horizontal="center" vertical="center"/>
    </xf>
    <xf numFmtId="0" fontId="0" fillId="2" borderId="0" xfId="0" applyFill="1"/>
    <xf numFmtId="0" fontId="6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7" fillId="0" borderId="0" xfId="0" applyFont="1" applyFill="1" applyBorder="1" applyAlignment="1" applyProtection="1">
      <alignment horizontal="center" vertical="center" wrapText="1" shrinkToFit="1"/>
    </xf>
    <xf numFmtId="0" fontId="2" fillId="0" borderId="0" xfId="0" applyFont="1" applyAlignment="1">
      <alignment horizontal="center" vertical="center"/>
    </xf>
    <xf numFmtId="0" fontId="7" fillId="0" borderId="0" xfId="0" applyNumberFormat="1" applyFont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 vertical="center"/>
    </xf>
    <xf numFmtId="0" fontId="8" fillId="0" borderId="0" xfId="0" applyFont="1" applyAlignment="1">
      <alignment horizontal="center" vertical="top" wrapText="1"/>
    </xf>
    <xf numFmtId="0" fontId="8" fillId="0" borderId="0" xfId="0" applyFont="1" applyBorder="1" applyAlignment="1" applyProtection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1" fillId="2" borderId="0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 vertical="center"/>
    </xf>
    <xf numFmtId="0" fontId="10" fillId="4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08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top" textRotation="0" wrapText="1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alignment horizontal="center" vertical="center" textRotation="0" wrapText="0" indent="0" justifyLastLine="0" shrinkToFit="0" readingOrder="0"/>
      <protection locked="1" hidden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top" textRotation="0" wrapText="1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alignment horizontal="center" vertical="center" textRotation="0" wrapText="0" indent="0" justifyLastLine="0" shrinkToFit="0" readingOrder="0"/>
      <protection locked="1" hidden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top" textRotation="0" wrapText="1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alignment horizontal="center" vertical="center" textRotation="0" wrapText="0" indent="0" justifyLastLine="0" shrinkToFit="0" readingOrder="0"/>
      <protection locked="1" hidden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top" textRotation="0" wrapText="1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alignment horizontal="center" vertical="center" textRotation="0" wrapText="0" indent="0" justifyLastLine="0" shrinkToFit="0" readingOrder="0"/>
      <protection locked="1" hidden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top" textRotation="0" wrapText="1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alignment horizontal="center" vertical="center" textRotation="0" wrapText="0" indent="0" justifyLastLine="0" shrinkToFit="0" readingOrder="0"/>
      <protection locked="1" hidden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top" textRotation="0" wrapText="1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alignment horizontal="center" vertical="center" textRotation="0" wrapText="0" indent="0" justifyLastLine="0" shrinkToFit="0" readingOrder="0"/>
      <protection locked="1" hidden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top" textRotation="0" wrapText="1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alignment horizontal="center" vertical="center" textRotation="0" wrapText="0" indent="0" justifyLastLine="0" shrinkToFit="0" readingOrder="0"/>
      <protection locked="1" hidden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Medium9"/>
  <colors>
    <mruColors>
      <color rgb="FFFAFC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2</xdr:row>
      <xdr:rowOff>38100</xdr:rowOff>
    </xdr:from>
    <xdr:to>
      <xdr:col>7</xdr:col>
      <xdr:colOff>647700</xdr:colOff>
      <xdr:row>2</xdr:row>
      <xdr:rowOff>266700</xdr:rowOff>
    </xdr:to>
    <xdr:sp macro="" textlink="">
      <xdr:nvSpPr>
        <xdr:cNvPr id="2" name="Flèche vers le bas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2405360" y="853440"/>
          <a:ext cx="281940" cy="228600"/>
        </a:xfrm>
        <a:prstGeom prst="down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fr-FR" sz="1100"/>
        </a:p>
      </xdr:txBody>
    </xdr:sp>
    <xdr:clientData/>
  </xdr:twoCellAnchor>
  <xdr:twoCellAnchor editAs="oneCell">
    <xdr:from>
      <xdr:col>0</xdr:col>
      <xdr:colOff>7620</xdr:colOff>
      <xdr:row>0</xdr:row>
      <xdr:rowOff>0</xdr:rowOff>
    </xdr:from>
    <xdr:to>
      <xdr:col>0</xdr:col>
      <xdr:colOff>838200</xdr:colOff>
      <xdr:row>2</xdr:row>
      <xdr:rowOff>15240</xdr:rowOff>
    </xdr:to>
    <xdr:pic>
      <xdr:nvPicPr>
        <xdr:cNvPr id="8" name="Image 7" descr="Afficher l’image source">
          <a:extLst>
            <a:ext uri="{FF2B5EF4-FFF2-40B4-BE49-F238E27FC236}">
              <a16:creationId xmlns:a16="http://schemas.microsoft.com/office/drawing/2014/main" xmlns="" id="{00000000-0008-0000-0000-000008000000}"/>
            </a:ext>
            <a:ext uri="{147F2762-F138-4A5C-976F-8EAC2B608ADB}">
              <a16:predDERef xmlns:a16="http://schemas.microsoft.com/office/drawing/2014/main" xmlns="" pre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" y="0"/>
          <a:ext cx="830580" cy="824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365760</xdr:colOff>
      <xdr:row>10</xdr:row>
      <xdr:rowOff>38100</xdr:rowOff>
    </xdr:from>
    <xdr:to>
      <xdr:col>7</xdr:col>
      <xdr:colOff>647700</xdr:colOff>
      <xdr:row>10</xdr:row>
      <xdr:rowOff>266700</xdr:rowOff>
    </xdr:to>
    <xdr:sp macro="" textlink="">
      <xdr:nvSpPr>
        <xdr:cNvPr id="4" name="Flèche vers le bas 1">
          <a:extLst>
            <a:ext uri="{FF2B5EF4-FFF2-40B4-BE49-F238E27FC236}">
              <a16:creationId xmlns:a16="http://schemas.microsoft.com/office/drawing/2014/main" xmlns="" id="{34F74943-C9C9-4671-9297-E316C6B9E6EB}"/>
            </a:ext>
            <a:ext uri="{147F2762-F138-4A5C-976F-8EAC2B608ADB}">
              <a16:predDERef xmlns:a16="http://schemas.microsoft.com/office/drawing/2014/main" xmlns="" pred="{00000000-0008-0000-0000-000008000000}"/>
            </a:ext>
          </a:extLst>
        </xdr:cNvPr>
        <xdr:cNvSpPr/>
      </xdr:nvSpPr>
      <xdr:spPr>
        <a:xfrm>
          <a:off x="14748510" y="847725"/>
          <a:ext cx="281940" cy="228600"/>
        </a:xfrm>
        <a:prstGeom prst="down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fr-FR" sz="1100"/>
        </a:p>
      </xdr:txBody>
    </xdr:sp>
    <xdr:clientData/>
  </xdr:twoCellAnchor>
  <xdr:twoCellAnchor editAs="oneCell">
    <xdr:from>
      <xdr:col>0</xdr:col>
      <xdr:colOff>7620</xdr:colOff>
      <xdr:row>8</xdr:row>
      <xdr:rowOff>0</xdr:rowOff>
    </xdr:from>
    <xdr:to>
      <xdr:col>0</xdr:col>
      <xdr:colOff>838200</xdr:colOff>
      <xdr:row>10</xdr:row>
      <xdr:rowOff>52337</xdr:rowOff>
    </xdr:to>
    <xdr:pic>
      <xdr:nvPicPr>
        <xdr:cNvPr id="5" name="Image 7" descr="Afficher l’image source">
          <a:extLst>
            <a:ext uri="{FF2B5EF4-FFF2-40B4-BE49-F238E27FC236}">
              <a16:creationId xmlns:a16="http://schemas.microsoft.com/office/drawing/2014/main" xmlns="" id="{17FA479C-17AC-45E2-9991-D45DA1A278BC}"/>
            </a:ext>
            <a:ext uri="{147F2762-F138-4A5C-976F-8EAC2B608ADB}">
              <a16:predDERef xmlns:a16="http://schemas.microsoft.com/office/drawing/2014/main" xmlns="" pred="{34F74943-C9C9-4671-9297-E316C6B9E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" y="0"/>
          <a:ext cx="830580" cy="824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2</xdr:row>
      <xdr:rowOff>38100</xdr:rowOff>
    </xdr:from>
    <xdr:to>
      <xdr:col>7</xdr:col>
      <xdr:colOff>647700</xdr:colOff>
      <xdr:row>2</xdr:row>
      <xdr:rowOff>266700</xdr:rowOff>
    </xdr:to>
    <xdr:sp macro="" textlink="">
      <xdr:nvSpPr>
        <xdr:cNvPr id="2" name="Flèche vers le bas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5796260" y="847725"/>
          <a:ext cx="281940" cy="228600"/>
        </a:xfrm>
        <a:prstGeom prst="down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fr-FR" sz="1100"/>
        </a:p>
      </xdr:txBody>
    </xdr:sp>
    <xdr:clientData/>
  </xdr:twoCellAnchor>
  <xdr:twoCellAnchor editAs="oneCell">
    <xdr:from>
      <xdr:col>0</xdr:col>
      <xdr:colOff>7620</xdr:colOff>
      <xdr:row>0</xdr:row>
      <xdr:rowOff>0</xdr:rowOff>
    </xdr:from>
    <xdr:to>
      <xdr:col>0</xdr:col>
      <xdr:colOff>838200</xdr:colOff>
      <xdr:row>2</xdr:row>
      <xdr:rowOff>15240</xdr:rowOff>
    </xdr:to>
    <xdr:pic>
      <xdr:nvPicPr>
        <xdr:cNvPr id="3" name="Image 2" descr="Afficher l’image source">
          <a:extLst>
            <a:ext uri="{FF2B5EF4-FFF2-40B4-BE49-F238E27FC236}">
              <a16:creationId xmlns:a16="http://schemas.microsoft.com/office/drawing/2014/main" xmlns="" id="{00000000-0008-0000-0000-000008000000}"/>
            </a:ext>
            <a:ext uri="{147F2762-F138-4A5C-976F-8EAC2B608ADB}">
              <a16:predDERef xmlns:a16="http://schemas.microsoft.com/office/drawing/2014/main" xmlns="" pre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" y="0"/>
          <a:ext cx="830580" cy="824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365760</xdr:colOff>
      <xdr:row>10</xdr:row>
      <xdr:rowOff>38100</xdr:rowOff>
    </xdr:from>
    <xdr:to>
      <xdr:col>7</xdr:col>
      <xdr:colOff>647700</xdr:colOff>
      <xdr:row>10</xdr:row>
      <xdr:rowOff>266700</xdr:rowOff>
    </xdr:to>
    <xdr:sp macro="" textlink="">
      <xdr:nvSpPr>
        <xdr:cNvPr id="4" name="Flèche vers le bas 1">
          <a:extLst>
            <a:ext uri="{FF2B5EF4-FFF2-40B4-BE49-F238E27FC236}">
              <a16:creationId xmlns:a16="http://schemas.microsoft.com/office/drawing/2014/main" xmlns="" id="{34F74943-C9C9-4671-9297-E316C6B9E6EB}"/>
            </a:ext>
            <a:ext uri="{147F2762-F138-4A5C-976F-8EAC2B608ADB}">
              <a16:predDERef xmlns:a16="http://schemas.microsoft.com/office/drawing/2014/main" xmlns="" pred="{00000000-0008-0000-0000-000008000000}"/>
            </a:ext>
          </a:extLst>
        </xdr:cNvPr>
        <xdr:cNvSpPr/>
      </xdr:nvSpPr>
      <xdr:spPr>
        <a:xfrm>
          <a:off x="15796260" y="4581525"/>
          <a:ext cx="281940" cy="152400"/>
        </a:xfrm>
        <a:prstGeom prst="down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fr-FR" sz="1100"/>
        </a:p>
      </xdr:txBody>
    </xdr:sp>
    <xdr:clientData/>
  </xdr:twoCellAnchor>
  <xdr:twoCellAnchor editAs="oneCell">
    <xdr:from>
      <xdr:col>0</xdr:col>
      <xdr:colOff>7620</xdr:colOff>
      <xdr:row>8</xdr:row>
      <xdr:rowOff>0</xdr:rowOff>
    </xdr:from>
    <xdr:to>
      <xdr:col>0</xdr:col>
      <xdr:colOff>838200</xdr:colOff>
      <xdr:row>10</xdr:row>
      <xdr:rowOff>52337</xdr:rowOff>
    </xdr:to>
    <xdr:pic>
      <xdr:nvPicPr>
        <xdr:cNvPr id="5" name="Image 7" descr="Afficher l’image source">
          <a:extLst>
            <a:ext uri="{FF2B5EF4-FFF2-40B4-BE49-F238E27FC236}">
              <a16:creationId xmlns:a16="http://schemas.microsoft.com/office/drawing/2014/main" xmlns="" id="{17FA479C-17AC-45E2-9991-D45DA1A278BC}"/>
            </a:ext>
            <a:ext uri="{147F2762-F138-4A5C-976F-8EAC2B608ADB}">
              <a16:predDERef xmlns:a16="http://schemas.microsoft.com/office/drawing/2014/main" xmlns="" pred="{34F74943-C9C9-4671-9297-E316C6B9E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" y="3771900"/>
          <a:ext cx="830580" cy="823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2</xdr:row>
      <xdr:rowOff>38100</xdr:rowOff>
    </xdr:from>
    <xdr:to>
      <xdr:col>7</xdr:col>
      <xdr:colOff>647700</xdr:colOff>
      <xdr:row>2</xdr:row>
      <xdr:rowOff>266700</xdr:rowOff>
    </xdr:to>
    <xdr:sp macro="" textlink="">
      <xdr:nvSpPr>
        <xdr:cNvPr id="2" name="Flèche vers le bas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5796260" y="847725"/>
          <a:ext cx="281940" cy="228600"/>
        </a:xfrm>
        <a:prstGeom prst="down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fr-FR" sz="1100"/>
        </a:p>
      </xdr:txBody>
    </xdr:sp>
    <xdr:clientData/>
  </xdr:twoCellAnchor>
  <xdr:twoCellAnchor editAs="oneCell">
    <xdr:from>
      <xdr:col>0</xdr:col>
      <xdr:colOff>7620</xdr:colOff>
      <xdr:row>0</xdr:row>
      <xdr:rowOff>0</xdr:rowOff>
    </xdr:from>
    <xdr:to>
      <xdr:col>0</xdr:col>
      <xdr:colOff>838200</xdr:colOff>
      <xdr:row>2</xdr:row>
      <xdr:rowOff>15240</xdr:rowOff>
    </xdr:to>
    <xdr:pic>
      <xdr:nvPicPr>
        <xdr:cNvPr id="3" name="Image 2" descr="Afficher l’image source">
          <a:extLst>
            <a:ext uri="{FF2B5EF4-FFF2-40B4-BE49-F238E27FC236}">
              <a16:creationId xmlns:a16="http://schemas.microsoft.com/office/drawing/2014/main" xmlns="" id="{00000000-0008-0000-0000-000008000000}"/>
            </a:ext>
            <a:ext uri="{147F2762-F138-4A5C-976F-8EAC2B608ADB}">
              <a16:predDERef xmlns:a16="http://schemas.microsoft.com/office/drawing/2014/main" xmlns="" pre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" y="0"/>
          <a:ext cx="830580" cy="824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365760</xdr:colOff>
      <xdr:row>10</xdr:row>
      <xdr:rowOff>38100</xdr:rowOff>
    </xdr:from>
    <xdr:to>
      <xdr:col>7</xdr:col>
      <xdr:colOff>647700</xdr:colOff>
      <xdr:row>10</xdr:row>
      <xdr:rowOff>266700</xdr:rowOff>
    </xdr:to>
    <xdr:sp macro="" textlink="">
      <xdr:nvSpPr>
        <xdr:cNvPr id="4" name="Flèche vers le bas 1">
          <a:extLst>
            <a:ext uri="{FF2B5EF4-FFF2-40B4-BE49-F238E27FC236}">
              <a16:creationId xmlns:a16="http://schemas.microsoft.com/office/drawing/2014/main" xmlns="" id="{34F74943-C9C9-4671-9297-E316C6B9E6EB}"/>
            </a:ext>
            <a:ext uri="{147F2762-F138-4A5C-976F-8EAC2B608ADB}">
              <a16:predDERef xmlns:a16="http://schemas.microsoft.com/office/drawing/2014/main" xmlns="" pred="{00000000-0008-0000-0000-000008000000}"/>
            </a:ext>
          </a:extLst>
        </xdr:cNvPr>
        <xdr:cNvSpPr/>
      </xdr:nvSpPr>
      <xdr:spPr>
        <a:xfrm>
          <a:off x="15796260" y="4581525"/>
          <a:ext cx="281940" cy="152400"/>
        </a:xfrm>
        <a:prstGeom prst="down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fr-FR" sz="1100"/>
        </a:p>
      </xdr:txBody>
    </xdr:sp>
    <xdr:clientData/>
  </xdr:twoCellAnchor>
  <xdr:twoCellAnchor editAs="oneCell">
    <xdr:from>
      <xdr:col>0</xdr:col>
      <xdr:colOff>7620</xdr:colOff>
      <xdr:row>8</xdr:row>
      <xdr:rowOff>0</xdr:rowOff>
    </xdr:from>
    <xdr:to>
      <xdr:col>0</xdr:col>
      <xdr:colOff>838200</xdr:colOff>
      <xdr:row>10</xdr:row>
      <xdr:rowOff>52337</xdr:rowOff>
    </xdr:to>
    <xdr:pic>
      <xdr:nvPicPr>
        <xdr:cNvPr id="5" name="Image 7" descr="Afficher l’image source">
          <a:extLst>
            <a:ext uri="{FF2B5EF4-FFF2-40B4-BE49-F238E27FC236}">
              <a16:creationId xmlns:a16="http://schemas.microsoft.com/office/drawing/2014/main" xmlns="" id="{17FA479C-17AC-45E2-9991-D45DA1A278BC}"/>
            </a:ext>
            <a:ext uri="{147F2762-F138-4A5C-976F-8EAC2B608ADB}">
              <a16:predDERef xmlns:a16="http://schemas.microsoft.com/office/drawing/2014/main" xmlns="" pred="{34F74943-C9C9-4671-9297-E316C6B9E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" y="3771900"/>
          <a:ext cx="830580" cy="823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2</xdr:row>
      <xdr:rowOff>38100</xdr:rowOff>
    </xdr:from>
    <xdr:to>
      <xdr:col>7</xdr:col>
      <xdr:colOff>647700</xdr:colOff>
      <xdr:row>2</xdr:row>
      <xdr:rowOff>266700</xdr:rowOff>
    </xdr:to>
    <xdr:sp macro="" textlink="">
      <xdr:nvSpPr>
        <xdr:cNvPr id="2" name="Flèche vers le bas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5796260" y="847725"/>
          <a:ext cx="281940" cy="228600"/>
        </a:xfrm>
        <a:prstGeom prst="down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fr-FR" sz="1100"/>
        </a:p>
      </xdr:txBody>
    </xdr:sp>
    <xdr:clientData/>
  </xdr:twoCellAnchor>
  <xdr:twoCellAnchor editAs="oneCell">
    <xdr:from>
      <xdr:col>0</xdr:col>
      <xdr:colOff>7620</xdr:colOff>
      <xdr:row>0</xdr:row>
      <xdr:rowOff>0</xdr:rowOff>
    </xdr:from>
    <xdr:to>
      <xdr:col>0</xdr:col>
      <xdr:colOff>838200</xdr:colOff>
      <xdr:row>2</xdr:row>
      <xdr:rowOff>15240</xdr:rowOff>
    </xdr:to>
    <xdr:pic>
      <xdr:nvPicPr>
        <xdr:cNvPr id="3" name="Image 2" descr="Afficher l’image source">
          <a:extLst>
            <a:ext uri="{FF2B5EF4-FFF2-40B4-BE49-F238E27FC236}">
              <a16:creationId xmlns:a16="http://schemas.microsoft.com/office/drawing/2014/main" xmlns="" id="{00000000-0008-0000-0000-000008000000}"/>
            </a:ext>
            <a:ext uri="{147F2762-F138-4A5C-976F-8EAC2B608ADB}">
              <a16:predDERef xmlns:a16="http://schemas.microsoft.com/office/drawing/2014/main" xmlns="" pre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" y="0"/>
          <a:ext cx="830580" cy="824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365760</xdr:colOff>
      <xdr:row>10</xdr:row>
      <xdr:rowOff>38100</xdr:rowOff>
    </xdr:from>
    <xdr:to>
      <xdr:col>7</xdr:col>
      <xdr:colOff>647700</xdr:colOff>
      <xdr:row>10</xdr:row>
      <xdr:rowOff>266700</xdr:rowOff>
    </xdr:to>
    <xdr:sp macro="" textlink="">
      <xdr:nvSpPr>
        <xdr:cNvPr id="4" name="Flèche vers le bas 1">
          <a:extLst>
            <a:ext uri="{FF2B5EF4-FFF2-40B4-BE49-F238E27FC236}">
              <a16:creationId xmlns:a16="http://schemas.microsoft.com/office/drawing/2014/main" xmlns="" id="{34F74943-C9C9-4671-9297-E316C6B9E6EB}"/>
            </a:ext>
            <a:ext uri="{147F2762-F138-4A5C-976F-8EAC2B608ADB}">
              <a16:predDERef xmlns:a16="http://schemas.microsoft.com/office/drawing/2014/main" xmlns="" pred="{00000000-0008-0000-0000-000008000000}"/>
            </a:ext>
          </a:extLst>
        </xdr:cNvPr>
        <xdr:cNvSpPr/>
      </xdr:nvSpPr>
      <xdr:spPr>
        <a:xfrm>
          <a:off x="15796260" y="4581525"/>
          <a:ext cx="281940" cy="152400"/>
        </a:xfrm>
        <a:prstGeom prst="down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fr-FR" sz="1100"/>
        </a:p>
      </xdr:txBody>
    </xdr:sp>
    <xdr:clientData/>
  </xdr:twoCellAnchor>
  <xdr:twoCellAnchor editAs="oneCell">
    <xdr:from>
      <xdr:col>0</xdr:col>
      <xdr:colOff>7620</xdr:colOff>
      <xdr:row>8</xdr:row>
      <xdr:rowOff>0</xdr:rowOff>
    </xdr:from>
    <xdr:to>
      <xdr:col>0</xdr:col>
      <xdr:colOff>838200</xdr:colOff>
      <xdr:row>10</xdr:row>
      <xdr:rowOff>52337</xdr:rowOff>
    </xdr:to>
    <xdr:pic>
      <xdr:nvPicPr>
        <xdr:cNvPr id="5" name="Image 7" descr="Afficher l’image source">
          <a:extLst>
            <a:ext uri="{FF2B5EF4-FFF2-40B4-BE49-F238E27FC236}">
              <a16:creationId xmlns:a16="http://schemas.microsoft.com/office/drawing/2014/main" xmlns="" id="{17FA479C-17AC-45E2-9991-D45DA1A278BC}"/>
            </a:ext>
            <a:ext uri="{147F2762-F138-4A5C-976F-8EAC2B608ADB}">
              <a16:predDERef xmlns:a16="http://schemas.microsoft.com/office/drawing/2014/main" xmlns="" pred="{34F74943-C9C9-4671-9297-E316C6B9E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" y="3771900"/>
          <a:ext cx="830580" cy="823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2</xdr:row>
      <xdr:rowOff>38100</xdr:rowOff>
    </xdr:from>
    <xdr:to>
      <xdr:col>7</xdr:col>
      <xdr:colOff>647700</xdr:colOff>
      <xdr:row>2</xdr:row>
      <xdr:rowOff>266700</xdr:rowOff>
    </xdr:to>
    <xdr:sp macro="" textlink="">
      <xdr:nvSpPr>
        <xdr:cNvPr id="2" name="Flèche vers le bas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5796260" y="847725"/>
          <a:ext cx="281940" cy="228600"/>
        </a:xfrm>
        <a:prstGeom prst="down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fr-FR" sz="1100"/>
        </a:p>
      </xdr:txBody>
    </xdr:sp>
    <xdr:clientData/>
  </xdr:twoCellAnchor>
  <xdr:twoCellAnchor editAs="oneCell">
    <xdr:from>
      <xdr:col>0</xdr:col>
      <xdr:colOff>7620</xdr:colOff>
      <xdr:row>0</xdr:row>
      <xdr:rowOff>0</xdr:rowOff>
    </xdr:from>
    <xdr:to>
      <xdr:col>0</xdr:col>
      <xdr:colOff>838200</xdr:colOff>
      <xdr:row>2</xdr:row>
      <xdr:rowOff>15240</xdr:rowOff>
    </xdr:to>
    <xdr:pic>
      <xdr:nvPicPr>
        <xdr:cNvPr id="3" name="Image 2" descr="Afficher l’image source">
          <a:extLst>
            <a:ext uri="{FF2B5EF4-FFF2-40B4-BE49-F238E27FC236}">
              <a16:creationId xmlns:a16="http://schemas.microsoft.com/office/drawing/2014/main" xmlns="" id="{00000000-0008-0000-0000-000008000000}"/>
            </a:ext>
            <a:ext uri="{147F2762-F138-4A5C-976F-8EAC2B608ADB}">
              <a16:predDERef xmlns:a16="http://schemas.microsoft.com/office/drawing/2014/main" xmlns="" pre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" y="0"/>
          <a:ext cx="830580" cy="824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365760</xdr:colOff>
      <xdr:row>10</xdr:row>
      <xdr:rowOff>38100</xdr:rowOff>
    </xdr:from>
    <xdr:to>
      <xdr:col>7</xdr:col>
      <xdr:colOff>647700</xdr:colOff>
      <xdr:row>10</xdr:row>
      <xdr:rowOff>266700</xdr:rowOff>
    </xdr:to>
    <xdr:sp macro="" textlink="">
      <xdr:nvSpPr>
        <xdr:cNvPr id="4" name="Flèche vers le bas 1">
          <a:extLst>
            <a:ext uri="{FF2B5EF4-FFF2-40B4-BE49-F238E27FC236}">
              <a16:creationId xmlns:a16="http://schemas.microsoft.com/office/drawing/2014/main" xmlns="" id="{34F74943-C9C9-4671-9297-E316C6B9E6EB}"/>
            </a:ext>
            <a:ext uri="{147F2762-F138-4A5C-976F-8EAC2B608ADB}">
              <a16:predDERef xmlns:a16="http://schemas.microsoft.com/office/drawing/2014/main" xmlns="" pred="{00000000-0008-0000-0000-000008000000}"/>
            </a:ext>
          </a:extLst>
        </xdr:cNvPr>
        <xdr:cNvSpPr/>
      </xdr:nvSpPr>
      <xdr:spPr>
        <a:xfrm>
          <a:off x="15796260" y="4581525"/>
          <a:ext cx="281940" cy="152400"/>
        </a:xfrm>
        <a:prstGeom prst="down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fr-FR" sz="1100"/>
        </a:p>
      </xdr:txBody>
    </xdr:sp>
    <xdr:clientData/>
  </xdr:twoCellAnchor>
  <xdr:twoCellAnchor editAs="oneCell">
    <xdr:from>
      <xdr:col>0</xdr:col>
      <xdr:colOff>7620</xdr:colOff>
      <xdr:row>8</xdr:row>
      <xdr:rowOff>0</xdr:rowOff>
    </xdr:from>
    <xdr:to>
      <xdr:col>0</xdr:col>
      <xdr:colOff>838200</xdr:colOff>
      <xdr:row>10</xdr:row>
      <xdr:rowOff>52337</xdr:rowOff>
    </xdr:to>
    <xdr:pic>
      <xdr:nvPicPr>
        <xdr:cNvPr id="5" name="Image 7" descr="Afficher l’image source">
          <a:extLst>
            <a:ext uri="{FF2B5EF4-FFF2-40B4-BE49-F238E27FC236}">
              <a16:creationId xmlns:a16="http://schemas.microsoft.com/office/drawing/2014/main" xmlns="" id="{17FA479C-17AC-45E2-9991-D45DA1A278BC}"/>
            </a:ext>
            <a:ext uri="{147F2762-F138-4A5C-976F-8EAC2B608ADB}">
              <a16:predDERef xmlns:a16="http://schemas.microsoft.com/office/drawing/2014/main" xmlns="" pred="{34F74943-C9C9-4671-9297-E316C6B9E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" y="3771900"/>
          <a:ext cx="830580" cy="823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2</xdr:row>
      <xdr:rowOff>38100</xdr:rowOff>
    </xdr:from>
    <xdr:to>
      <xdr:col>7</xdr:col>
      <xdr:colOff>647700</xdr:colOff>
      <xdr:row>2</xdr:row>
      <xdr:rowOff>266700</xdr:rowOff>
    </xdr:to>
    <xdr:sp macro="" textlink="">
      <xdr:nvSpPr>
        <xdr:cNvPr id="2" name="Flèche vers le bas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5796260" y="847725"/>
          <a:ext cx="281940" cy="228600"/>
        </a:xfrm>
        <a:prstGeom prst="down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fr-FR" sz="1100"/>
        </a:p>
      </xdr:txBody>
    </xdr:sp>
    <xdr:clientData/>
  </xdr:twoCellAnchor>
  <xdr:twoCellAnchor editAs="oneCell">
    <xdr:from>
      <xdr:col>0</xdr:col>
      <xdr:colOff>7620</xdr:colOff>
      <xdr:row>0</xdr:row>
      <xdr:rowOff>0</xdr:rowOff>
    </xdr:from>
    <xdr:to>
      <xdr:col>0</xdr:col>
      <xdr:colOff>838200</xdr:colOff>
      <xdr:row>2</xdr:row>
      <xdr:rowOff>15240</xdr:rowOff>
    </xdr:to>
    <xdr:pic>
      <xdr:nvPicPr>
        <xdr:cNvPr id="3" name="Image 2" descr="Afficher l’image source">
          <a:extLst>
            <a:ext uri="{FF2B5EF4-FFF2-40B4-BE49-F238E27FC236}">
              <a16:creationId xmlns:a16="http://schemas.microsoft.com/office/drawing/2014/main" xmlns="" id="{00000000-0008-0000-0000-000008000000}"/>
            </a:ext>
            <a:ext uri="{147F2762-F138-4A5C-976F-8EAC2B608ADB}">
              <a16:predDERef xmlns:a16="http://schemas.microsoft.com/office/drawing/2014/main" xmlns="" pre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" y="0"/>
          <a:ext cx="830580" cy="824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365760</xdr:colOff>
      <xdr:row>10</xdr:row>
      <xdr:rowOff>38100</xdr:rowOff>
    </xdr:from>
    <xdr:to>
      <xdr:col>7</xdr:col>
      <xdr:colOff>647700</xdr:colOff>
      <xdr:row>10</xdr:row>
      <xdr:rowOff>266700</xdr:rowOff>
    </xdr:to>
    <xdr:sp macro="" textlink="">
      <xdr:nvSpPr>
        <xdr:cNvPr id="4" name="Flèche vers le bas 1">
          <a:extLst>
            <a:ext uri="{FF2B5EF4-FFF2-40B4-BE49-F238E27FC236}">
              <a16:creationId xmlns:a16="http://schemas.microsoft.com/office/drawing/2014/main" xmlns="" id="{34F74943-C9C9-4671-9297-E316C6B9E6EB}"/>
            </a:ext>
            <a:ext uri="{147F2762-F138-4A5C-976F-8EAC2B608ADB}">
              <a16:predDERef xmlns:a16="http://schemas.microsoft.com/office/drawing/2014/main" xmlns="" pred="{00000000-0008-0000-0000-000008000000}"/>
            </a:ext>
          </a:extLst>
        </xdr:cNvPr>
        <xdr:cNvSpPr/>
      </xdr:nvSpPr>
      <xdr:spPr>
        <a:xfrm>
          <a:off x="15796260" y="4581525"/>
          <a:ext cx="281940" cy="152400"/>
        </a:xfrm>
        <a:prstGeom prst="down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fr-FR" sz="1100"/>
        </a:p>
      </xdr:txBody>
    </xdr:sp>
    <xdr:clientData/>
  </xdr:twoCellAnchor>
  <xdr:twoCellAnchor editAs="oneCell">
    <xdr:from>
      <xdr:col>0</xdr:col>
      <xdr:colOff>7620</xdr:colOff>
      <xdr:row>8</xdr:row>
      <xdr:rowOff>0</xdr:rowOff>
    </xdr:from>
    <xdr:to>
      <xdr:col>0</xdr:col>
      <xdr:colOff>838200</xdr:colOff>
      <xdr:row>10</xdr:row>
      <xdr:rowOff>52337</xdr:rowOff>
    </xdr:to>
    <xdr:pic>
      <xdr:nvPicPr>
        <xdr:cNvPr id="5" name="Image 7" descr="Afficher l’image source">
          <a:extLst>
            <a:ext uri="{FF2B5EF4-FFF2-40B4-BE49-F238E27FC236}">
              <a16:creationId xmlns:a16="http://schemas.microsoft.com/office/drawing/2014/main" xmlns="" id="{17FA479C-17AC-45E2-9991-D45DA1A278BC}"/>
            </a:ext>
            <a:ext uri="{147F2762-F138-4A5C-976F-8EAC2B608ADB}">
              <a16:predDERef xmlns:a16="http://schemas.microsoft.com/office/drawing/2014/main" xmlns="" pred="{34F74943-C9C9-4671-9297-E316C6B9E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" y="3771900"/>
          <a:ext cx="830580" cy="823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2</xdr:row>
      <xdr:rowOff>38100</xdr:rowOff>
    </xdr:from>
    <xdr:to>
      <xdr:col>7</xdr:col>
      <xdr:colOff>647700</xdr:colOff>
      <xdr:row>2</xdr:row>
      <xdr:rowOff>266700</xdr:rowOff>
    </xdr:to>
    <xdr:sp macro="" textlink="">
      <xdr:nvSpPr>
        <xdr:cNvPr id="2" name="Flèche vers le bas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5796260" y="847725"/>
          <a:ext cx="281940" cy="228600"/>
        </a:xfrm>
        <a:prstGeom prst="down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fr-FR" sz="1100"/>
        </a:p>
      </xdr:txBody>
    </xdr:sp>
    <xdr:clientData/>
  </xdr:twoCellAnchor>
  <xdr:twoCellAnchor editAs="oneCell">
    <xdr:from>
      <xdr:col>0</xdr:col>
      <xdr:colOff>7620</xdr:colOff>
      <xdr:row>0</xdr:row>
      <xdr:rowOff>0</xdr:rowOff>
    </xdr:from>
    <xdr:to>
      <xdr:col>0</xdr:col>
      <xdr:colOff>838200</xdr:colOff>
      <xdr:row>2</xdr:row>
      <xdr:rowOff>15240</xdr:rowOff>
    </xdr:to>
    <xdr:pic>
      <xdr:nvPicPr>
        <xdr:cNvPr id="3" name="Image 2" descr="Afficher l’image source">
          <a:extLst>
            <a:ext uri="{FF2B5EF4-FFF2-40B4-BE49-F238E27FC236}">
              <a16:creationId xmlns:a16="http://schemas.microsoft.com/office/drawing/2014/main" xmlns="" id="{00000000-0008-0000-0000-000008000000}"/>
            </a:ext>
            <a:ext uri="{147F2762-F138-4A5C-976F-8EAC2B608ADB}">
              <a16:predDERef xmlns:a16="http://schemas.microsoft.com/office/drawing/2014/main" xmlns="" pre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" y="0"/>
          <a:ext cx="830580" cy="824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365760</xdr:colOff>
      <xdr:row>10</xdr:row>
      <xdr:rowOff>38100</xdr:rowOff>
    </xdr:from>
    <xdr:to>
      <xdr:col>7</xdr:col>
      <xdr:colOff>647700</xdr:colOff>
      <xdr:row>10</xdr:row>
      <xdr:rowOff>266700</xdr:rowOff>
    </xdr:to>
    <xdr:sp macro="" textlink="">
      <xdr:nvSpPr>
        <xdr:cNvPr id="4" name="Flèche vers le bas 1">
          <a:extLst>
            <a:ext uri="{FF2B5EF4-FFF2-40B4-BE49-F238E27FC236}">
              <a16:creationId xmlns:a16="http://schemas.microsoft.com/office/drawing/2014/main" xmlns="" id="{34F74943-C9C9-4671-9297-E316C6B9E6EB}"/>
            </a:ext>
            <a:ext uri="{147F2762-F138-4A5C-976F-8EAC2B608ADB}">
              <a16:predDERef xmlns:a16="http://schemas.microsoft.com/office/drawing/2014/main" xmlns="" pred="{00000000-0008-0000-0000-000008000000}"/>
            </a:ext>
          </a:extLst>
        </xdr:cNvPr>
        <xdr:cNvSpPr/>
      </xdr:nvSpPr>
      <xdr:spPr>
        <a:xfrm>
          <a:off x="15796260" y="4581525"/>
          <a:ext cx="281940" cy="152400"/>
        </a:xfrm>
        <a:prstGeom prst="down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fr-FR" sz="1100"/>
        </a:p>
      </xdr:txBody>
    </xdr:sp>
    <xdr:clientData/>
  </xdr:twoCellAnchor>
  <xdr:twoCellAnchor editAs="oneCell">
    <xdr:from>
      <xdr:col>0</xdr:col>
      <xdr:colOff>7620</xdr:colOff>
      <xdr:row>8</xdr:row>
      <xdr:rowOff>0</xdr:rowOff>
    </xdr:from>
    <xdr:to>
      <xdr:col>0</xdr:col>
      <xdr:colOff>838200</xdr:colOff>
      <xdr:row>10</xdr:row>
      <xdr:rowOff>52337</xdr:rowOff>
    </xdr:to>
    <xdr:pic>
      <xdr:nvPicPr>
        <xdr:cNvPr id="5" name="Image 7" descr="Afficher l’image source">
          <a:extLst>
            <a:ext uri="{FF2B5EF4-FFF2-40B4-BE49-F238E27FC236}">
              <a16:creationId xmlns:a16="http://schemas.microsoft.com/office/drawing/2014/main" xmlns="" id="{17FA479C-17AC-45E2-9991-D45DA1A278BC}"/>
            </a:ext>
            <a:ext uri="{147F2762-F138-4A5C-976F-8EAC2B608ADB}">
              <a16:predDERef xmlns:a16="http://schemas.microsoft.com/office/drawing/2014/main" xmlns="" pred="{34F74943-C9C9-4671-9297-E316C6B9E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" y="3771900"/>
          <a:ext cx="830580" cy="823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2</xdr:row>
      <xdr:rowOff>38100</xdr:rowOff>
    </xdr:from>
    <xdr:to>
      <xdr:col>7</xdr:col>
      <xdr:colOff>647700</xdr:colOff>
      <xdr:row>2</xdr:row>
      <xdr:rowOff>266700</xdr:rowOff>
    </xdr:to>
    <xdr:sp macro="" textlink="">
      <xdr:nvSpPr>
        <xdr:cNvPr id="2" name="Flèche vers le bas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5796260" y="847725"/>
          <a:ext cx="281940" cy="228600"/>
        </a:xfrm>
        <a:prstGeom prst="down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fr-FR" sz="1100"/>
        </a:p>
      </xdr:txBody>
    </xdr:sp>
    <xdr:clientData/>
  </xdr:twoCellAnchor>
  <xdr:twoCellAnchor editAs="oneCell">
    <xdr:from>
      <xdr:col>0</xdr:col>
      <xdr:colOff>7620</xdr:colOff>
      <xdr:row>0</xdr:row>
      <xdr:rowOff>0</xdr:rowOff>
    </xdr:from>
    <xdr:to>
      <xdr:col>0</xdr:col>
      <xdr:colOff>838200</xdr:colOff>
      <xdr:row>2</xdr:row>
      <xdr:rowOff>15240</xdr:rowOff>
    </xdr:to>
    <xdr:pic>
      <xdr:nvPicPr>
        <xdr:cNvPr id="3" name="Image 2" descr="Afficher l’image source">
          <a:extLst>
            <a:ext uri="{FF2B5EF4-FFF2-40B4-BE49-F238E27FC236}">
              <a16:creationId xmlns:a16="http://schemas.microsoft.com/office/drawing/2014/main" xmlns="" id="{00000000-0008-0000-0000-000008000000}"/>
            </a:ext>
            <a:ext uri="{147F2762-F138-4A5C-976F-8EAC2B608ADB}">
              <a16:predDERef xmlns:a16="http://schemas.microsoft.com/office/drawing/2014/main" xmlns="" pre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" y="0"/>
          <a:ext cx="830580" cy="824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365760</xdr:colOff>
      <xdr:row>10</xdr:row>
      <xdr:rowOff>38100</xdr:rowOff>
    </xdr:from>
    <xdr:to>
      <xdr:col>7</xdr:col>
      <xdr:colOff>647700</xdr:colOff>
      <xdr:row>10</xdr:row>
      <xdr:rowOff>266700</xdr:rowOff>
    </xdr:to>
    <xdr:sp macro="" textlink="">
      <xdr:nvSpPr>
        <xdr:cNvPr id="4" name="Flèche vers le bas 1">
          <a:extLst>
            <a:ext uri="{FF2B5EF4-FFF2-40B4-BE49-F238E27FC236}">
              <a16:creationId xmlns:a16="http://schemas.microsoft.com/office/drawing/2014/main" xmlns="" id="{34F74943-C9C9-4671-9297-E316C6B9E6EB}"/>
            </a:ext>
            <a:ext uri="{147F2762-F138-4A5C-976F-8EAC2B608ADB}">
              <a16:predDERef xmlns:a16="http://schemas.microsoft.com/office/drawing/2014/main" xmlns="" pred="{00000000-0008-0000-0000-000008000000}"/>
            </a:ext>
          </a:extLst>
        </xdr:cNvPr>
        <xdr:cNvSpPr/>
      </xdr:nvSpPr>
      <xdr:spPr>
        <a:xfrm>
          <a:off x="15796260" y="4581525"/>
          <a:ext cx="281940" cy="152400"/>
        </a:xfrm>
        <a:prstGeom prst="down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fr-FR" sz="1100"/>
        </a:p>
      </xdr:txBody>
    </xdr:sp>
    <xdr:clientData/>
  </xdr:twoCellAnchor>
  <xdr:twoCellAnchor editAs="oneCell">
    <xdr:from>
      <xdr:col>0</xdr:col>
      <xdr:colOff>7620</xdr:colOff>
      <xdr:row>8</xdr:row>
      <xdr:rowOff>0</xdr:rowOff>
    </xdr:from>
    <xdr:to>
      <xdr:col>0</xdr:col>
      <xdr:colOff>838200</xdr:colOff>
      <xdr:row>10</xdr:row>
      <xdr:rowOff>52337</xdr:rowOff>
    </xdr:to>
    <xdr:pic>
      <xdr:nvPicPr>
        <xdr:cNvPr id="5" name="Image 7" descr="Afficher l’image source">
          <a:extLst>
            <a:ext uri="{FF2B5EF4-FFF2-40B4-BE49-F238E27FC236}">
              <a16:creationId xmlns:a16="http://schemas.microsoft.com/office/drawing/2014/main" xmlns="" id="{17FA479C-17AC-45E2-9991-D45DA1A278BC}"/>
            </a:ext>
            <a:ext uri="{147F2762-F138-4A5C-976F-8EAC2B608ADB}">
              <a16:predDERef xmlns:a16="http://schemas.microsoft.com/office/drawing/2014/main" xmlns="" pred="{34F74943-C9C9-4671-9297-E316C6B9E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" y="3771900"/>
          <a:ext cx="830580" cy="823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au1" displayName="Tableau1" ref="A4:J7" totalsRowCount="1" headerRowDxfId="207">
  <autoFilter ref="A4:J6"/>
  <tableColumns count="10">
    <tableColumn id="1" name="Acquis d'apprentissage visé" totalsRowDxfId="206"/>
    <tableColumn id="9" name="Interprétation AAV dans projet" totalsRowDxfId="205"/>
    <tableColumn id="2" name="Poids" totalsRowFunction="custom" totalsRowDxfId="204">
      <totalsRowFormula>SUM(Tableau1[Poids])</totalsRowFormula>
    </tableColumn>
    <tableColumn id="3" name="A" totalsRowDxfId="203"/>
    <tableColumn id="4" name="B" totalsRowDxfId="202"/>
    <tableColumn id="5" name="C"/>
    <tableColumn id="6" name="D"/>
    <tableColumn id="7" name="Evaluation" totalsRowFunction="custom" totalsRowDxfId="201">
      <totalsRowFormula>IF(Tableau1[[#Totals],[Calcul Intermédiaire]]&gt;=3.6,"A",IF(Tableau1[[#Totals],[Calcul Intermédiaire]]&gt;=2.6,"B", IF(Tableau1[[#Totals],[Calcul Intermédiaire]]&gt;=1.6,"C","D")))</totalsRowFormula>
    </tableColumn>
    <tableColumn id="8" name="Calcul Intermédiaire" totalsRowFunction="sum" totalsRowDxfId="200">
      <calculatedColumnFormula>IF(CODE(UPPER(Tableau1[[#This Row],[Evaluation]]))&lt;67, 69-CODE(UPPER(Tableau1[[#This Row],[Evaluation]])),68-CODE(UPPER(Tableau1[[#This Row],[Evaluation]])))*Tableau1[[#This Row],[Poids]]</calculatedColumnFormula>
    </tableColumn>
    <tableColumn id="11" name="Commentaire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id="10" name="Tableau257911" displayName="Tableau257911" ref="A12:J16" totalsRowCount="1" headerRowDxfId="95">
  <autoFilter ref="A12:J15"/>
  <tableColumns count="10">
    <tableColumn id="1" name="Acquis d'apprentissage visé" dataDxfId="93" totalsRowDxfId="94"/>
    <tableColumn id="9" name="Interprétation AAV dans projet" dataDxfId="91" totalsRowDxfId="92"/>
    <tableColumn id="2" name="Poids" totalsRowFunction="custom" dataDxfId="89" totalsRowDxfId="90">
      <totalsRowFormula>SUM(C5:C6,C13:C15)</totalsRowFormula>
    </tableColumn>
    <tableColumn id="3" name="A" dataDxfId="87" totalsRowDxfId="88"/>
    <tableColumn id="4" name="B" dataDxfId="85" totalsRowDxfId="86"/>
    <tableColumn id="5" name="C" dataDxfId="84"/>
    <tableColumn id="6" name="D" dataDxfId="83"/>
    <tableColumn id="7" name="Evaluation" totalsRowFunction="custom" dataDxfId="81" totalsRowDxfId="82">
      <totalsRowFormula>IF(Tableau257911[[#Totals],[Calcul Intermédiaire]]&gt;=3.6,"A",IF(Tableau257911[[#Totals],[Calcul Intermédiaire]]&gt;=2.6,"B", IF(Tableau257911[[#Totals],[Calcul Intermédiaire]]&gt;=1.6,"C","D")))</totalsRowFormula>
    </tableColumn>
    <tableColumn id="8" name="Calcul Intermédiaire" totalsRowFunction="sum" dataDxfId="79" totalsRowDxfId="80">
      <calculatedColumnFormula>IF(CODE(UPPER(Tableau257911[[#This Row],[Evaluation]]))&lt;67, 69-CODE(UPPER(Tableau257911[[#This Row],[Evaluation]])),68-CODE(UPPER(Tableau257911[[#This Row],[Evaluation]])))*Tableau257911[[#This Row],[Poids]]</calculatedColumnFormula>
    </tableColumn>
    <tableColumn id="11" name="Commentaire" dataDxfId="78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id="13" name="Tableau146814" displayName="Tableau146814" ref="A4:J7" totalsRowCount="1" headerRowDxfId="51">
  <autoFilter ref="A4:J6"/>
  <tableColumns count="10">
    <tableColumn id="1" name="Acquis d'apprentissage visé" totalsRowDxfId="50"/>
    <tableColumn id="9" name="Interprétation AAV dans projet" totalsRowDxfId="49"/>
    <tableColumn id="2" name="Poids" totalsRowFunction="custom" totalsRowDxfId="48">
      <totalsRowFormula>SUM(Tableau146814[Poids])</totalsRowFormula>
    </tableColumn>
    <tableColumn id="3" name="A" totalsRowDxfId="47"/>
    <tableColumn id="4" name="B" totalsRowDxfId="46"/>
    <tableColumn id="5" name="C"/>
    <tableColumn id="6" name="D"/>
    <tableColumn id="7" name="Evaluation" totalsRowFunction="custom" totalsRowDxfId="45">
      <totalsRowFormula>IF(Tableau146814[[#Totals],[Calcul Intermédiaire]]&gt;=3.6,"A",IF(Tableau146814[[#Totals],[Calcul Intermédiaire]]&gt;=2.6,"B", IF(Tableau146814[[#Totals],[Calcul Intermédiaire]]&gt;=1.6,"C","D")))</totalsRowFormula>
    </tableColumn>
    <tableColumn id="8" name="Calcul Intermédiaire" totalsRowFunction="sum" totalsRowDxfId="44">
      <calculatedColumnFormula>IF(CODE(UPPER(Tableau146814[[#This Row],[Evaluation]]))&lt;67, 69-CODE(UPPER(Tableau146814[[#This Row],[Evaluation]])),68-CODE(UPPER(Tableau146814[[#This Row],[Evaluation]])))*Tableau146814[[#This Row],[Poids]]</calculatedColumnFormula>
    </tableColumn>
    <tableColumn id="11" name="Commentaire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id="14" name="Tableau257915" displayName="Tableau257915" ref="A12:J16" totalsRowCount="1" headerRowDxfId="43">
  <autoFilter ref="A12:J15"/>
  <tableColumns count="10">
    <tableColumn id="1" name="Acquis d'apprentissage visé" dataDxfId="41" totalsRowDxfId="42"/>
    <tableColumn id="9" name="Interprétation AAV dans projet" dataDxfId="39" totalsRowDxfId="40"/>
    <tableColumn id="2" name="Poids" totalsRowFunction="custom" dataDxfId="37" totalsRowDxfId="38">
      <totalsRowFormula>SUM(C5:C6,C13:C15)</totalsRowFormula>
    </tableColumn>
    <tableColumn id="3" name="A" dataDxfId="35" totalsRowDxfId="36"/>
    <tableColumn id="4" name="B" dataDxfId="33" totalsRowDxfId="34"/>
    <tableColumn id="5" name="C" dataDxfId="32"/>
    <tableColumn id="6" name="D" dataDxfId="31"/>
    <tableColumn id="7" name="Evaluation" totalsRowFunction="custom" dataDxfId="29" totalsRowDxfId="30">
      <totalsRowFormula>IF(Tableau257915[[#Totals],[Calcul Intermédiaire]]&gt;=3.6,"A",IF(Tableau257915[[#Totals],[Calcul Intermédiaire]]&gt;=2.6,"B", IF(Tableau257915[[#Totals],[Calcul Intermédiaire]]&gt;=1.6,"C","D")))</totalsRowFormula>
    </tableColumn>
    <tableColumn id="8" name="Calcul Intermédiaire" totalsRowFunction="sum" dataDxfId="27" totalsRowDxfId="28">
      <calculatedColumnFormula>IF(CODE(UPPER(Tableau257915[[#This Row],[Evaluation]]))&lt;67, 69-CODE(UPPER(Tableau257915[[#This Row],[Evaluation]])),68-CODE(UPPER(Tableau257915[[#This Row],[Evaluation]])))*Tableau257915[[#This Row],[Poids]]</calculatedColumnFormula>
    </tableColumn>
    <tableColumn id="11" name="Commentaire" dataDxfId="26"/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id="5" name="Tableau146" displayName="Tableau146" ref="A4:J7" totalsRowCount="1" headerRowDxfId="155">
  <autoFilter ref="A4:J6"/>
  <tableColumns count="10">
    <tableColumn id="1" name="Acquis d'apprentissage visé" totalsRowDxfId="154"/>
    <tableColumn id="9" name="Interprétation AAV dans projet" totalsRowDxfId="153"/>
    <tableColumn id="2" name="Poids" totalsRowFunction="custom" totalsRowDxfId="152">
      <totalsRowFormula>SUM(Tableau146[Poids])</totalsRowFormula>
    </tableColumn>
    <tableColumn id="3" name="A" totalsRowDxfId="151"/>
    <tableColumn id="4" name="B" totalsRowDxfId="150"/>
    <tableColumn id="5" name="C"/>
    <tableColumn id="6" name="D"/>
    <tableColumn id="7" name="Evaluation" totalsRowFunction="custom" totalsRowDxfId="149">
      <totalsRowFormula>IF(Tableau146[[#Totals],[Calcul Intermédiaire]]&gt;=3.6,"A",IF(Tableau146[[#Totals],[Calcul Intermédiaire]]&gt;=2.6,"B", IF(Tableau146[[#Totals],[Calcul Intermédiaire]]&gt;=1.6,"C","D")))</totalsRowFormula>
    </tableColumn>
    <tableColumn id="8" name="Calcul Intermédiaire" totalsRowFunction="sum" totalsRowDxfId="148">
      <calculatedColumnFormula>IF(CODE(UPPER(Tableau146[[#This Row],[Evaluation]]))&lt;67, 69-CODE(UPPER(Tableau146[[#This Row],[Evaluation]])),68-CODE(UPPER(Tableau146[[#This Row],[Evaluation]])))*Tableau146[[#This Row],[Poids]]</calculatedColumnFormula>
    </tableColumn>
    <tableColumn id="11" name="Commentaire"/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id="6" name="Tableau257" displayName="Tableau257" ref="A12:J16" totalsRowCount="1" headerRowDxfId="147">
  <autoFilter ref="A12:J15"/>
  <tableColumns count="10">
    <tableColumn id="1" name="Acquis d'apprentissage visé" dataDxfId="145" totalsRowDxfId="146"/>
    <tableColumn id="9" name="Interprétation AAV dans projet" dataDxfId="143" totalsRowDxfId="144"/>
    <tableColumn id="2" name="Poids" totalsRowFunction="custom" dataDxfId="141" totalsRowDxfId="142">
      <totalsRowFormula>SUM(C5:C6,C13:C15)</totalsRowFormula>
    </tableColumn>
    <tableColumn id="3" name="A" dataDxfId="139" totalsRowDxfId="140"/>
    <tableColumn id="4" name="B" dataDxfId="137" totalsRowDxfId="138"/>
    <tableColumn id="5" name="C" dataDxfId="136"/>
    <tableColumn id="6" name="D" dataDxfId="135"/>
    <tableColumn id="7" name="Evaluation" totalsRowFunction="custom" dataDxfId="133" totalsRowDxfId="134">
      <totalsRowFormula>IF(Tableau257[[#Totals],[Calcul Intermédiaire]]&gt;=3.6,"A",IF(Tableau257[[#Totals],[Calcul Intermédiaire]]&gt;=2.6,"B", IF(Tableau257[[#Totals],[Calcul Intermédiaire]]&gt;=1.6,"C","D")))</totalsRowFormula>
    </tableColumn>
    <tableColumn id="8" name="Calcul Intermédiaire" totalsRowFunction="sum" dataDxfId="131" totalsRowDxfId="132">
      <calculatedColumnFormula>IF(CODE(UPPER(Tableau257[[#This Row],[Evaluation]]))&lt;67, 69-CODE(UPPER(Tableau257[[#This Row],[Evaluation]])),68-CODE(UPPER(Tableau257[[#This Row],[Evaluation]])))*Tableau257[[#This Row],[Poids]]</calculatedColumnFormula>
    </tableColumn>
    <tableColumn id="11" name="Commentaire" dataDxfId="130"/>
  </tableColumns>
  <tableStyleInfo name="TableStyleMedium15" showFirstColumn="0" showLastColumn="0" showRowStripes="1" showColumnStripes="0"/>
</table>
</file>

<file path=xl/tables/table15.xml><?xml version="1.0" encoding="utf-8"?>
<table xmlns="http://schemas.openxmlformats.org/spreadsheetml/2006/main" id="7" name="Tableau1468" displayName="Tableau1468" ref="A4:J7" totalsRowCount="1" headerRowDxfId="129">
  <autoFilter ref="A4:J6"/>
  <tableColumns count="10">
    <tableColumn id="1" name="Acquis d'apprentissage visé" totalsRowDxfId="128"/>
    <tableColumn id="9" name="Interprétation AAV dans projet" totalsRowDxfId="127"/>
    <tableColumn id="2" name="Poids" totalsRowFunction="custom" totalsRowDxfId="126">
      <totalsRowFormula>SUM(Tableau1468[Poids])</totalsRowFormula>
    </tableColumn>
    <tableColumn id="3" name="A" totalsRowDxfId="125"/>
    <tableColumn id="4" name="B" totalsRowDxfId="124"/>
    <tableColumn id="5" name="C"/>
    <tableColumn id="6" name="D"/>
    <tableColumn id="7" name="Evaluation" totalsRowFunction="custom" totalsRowDxfId="123">
      <totalsRowFormula>IF(Tableau1468[[#Totals],[Calcul Intermédiaire]]&gt;=3.6,"A",IF(Tableau1468[[#Totals],[Calcul Intermédiaire]]&gt;=2.6,"B", IF(Tableau1468[[#Totals],[Calcul Intermédiaire]]&gt;=1.6,"C","D")))</totalsRowFormula>
    </tableColumn>
    <tableColumn id="8" name="Calcul Intermédiaire" totalsRowFunction="sum" totalsRowDxfId="122">
      <calculatedColumnFormula>IF(CODE(UPPER(Tableau1468[[#This Row],[Evaluation]]))&lt;67, 69-CODE(UPPER(Tableau1468[[#This Row],[Evaluation]])),68-CODE(UPPER(Tableau1468[[#This Row],[Evaluation]])))*Tableau1468[[#This Row],[Poids]]</calculatedColumnFormula>
    </tableColumn>
    <tableColumn id="11" name="Commentaire"/>
  </tableColumns>
  <tableStyleInfo name="TableStyleMedium15" showFirstColumn="0" showLastColumn="0" showRowStripes="1" showColumnStripes="0"/>
</table>
</file>

<file path=xl/tables/table16.xml><?xml version="1.0" encoding="utf-8"?>
<table xmlns="http://schemas.openxmlformats.org/spreadsheetml/2006/main" id="8" name="Tableau2579" displayName="Tableau2579" ref="A12:J16" totalsRowCount="1" headerRowDxfId="121">
  <autoFilter ref="A12:J15"/>
  <tableColumns count="10">
    <tableColumn id="1" name="Acquis d'apprentissage visé" dataDxfId="119" totalsRowDxfId="120"/>
    <tableColumn id="9" name="Interprétation AAV dans projet" dataDxfId="117" totalsRowDxfId="118"/>
    <tableColumn id="2" name="Poids" totalsRowFunction="custom" dataDxfId="115" totalsRowDxfId="116">
      <totalsRowFormula>SUM(C5:C6,C13:C15)</totalsRowFormula>
    </tableColumn>
    <tableColumn id="3" name="A" dataDxfId="113" totalsRowDxfId="114"/>
    <tableColumn id="4" name="B" dataDxfId="111" totalsRowDxfId="112"/>
    <tableColumn id="5" name="C" dataDxfId="110"/>
    <tableColumn id="6" name="D" dataDxfId="109"/>
    <tableColumn id="7" name="Evaluation" totalsRowFunction="custom" dataDxfId="107" totalsRowDxfId="108">
      <totalsRowFormula>IF(Tableau2579[[#Totals],[Calcul Intermédiaire]]&gt;=3.6,"A",IF(Tableau2579[[#Totals],[Calcul Intermédiaire]]&gt;=2.6,"B", IF(Tableau2579[[#Totals],[Calcul Intermédiaire]]&gt;=1.6,"C","D")))</totalsRowFormula>
    </tableColumn>
    <tableColumn id="8" name="Calcul Intermédiaire" totalsRowFunction="sum" dataDxfId="105" totalsRowDxfId="106">
      <calculatedColumnFormula>IF(CODE(UPPER(Tableau2579[[#This Row],[Evaluation]]))&lt;67, 69-CODE(UPPER(Tableau2579[[#This Row],[Evaluation]])),68-CODE(UPPER(Tableau2579[[#This Row],[Evaluation]])))*Tableau2579[[#This Row],[Poids]]</calculatedColumnFormula>
    </tableColumn>
    <tableColumn id="11" name="Commentaire" dataDxfId="104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2:J16" totalsRowCount="1" headerRowDxfId="199">
  <autoFilter ref="A12:J15"/>
  <tableColumns count="10">
    <tableColumn id="1" name="Acquis d'apprentissage visé" dataDxfId="198" totalsRowDxfId="197"/>
    <tableColumn id="9" name="Interprétation AAV dans projet" dataDxfId="196" totalsRowDxfId="195"/>
    <tableColumn id="2" name="Poids" totalsRowFunction="custom" dataDxfId="194" totalsRowDxfId="193">
      <totalsRowFormula>SUM(C5:C6,C13:C15)</totalsRowFormula>
    </tableColumn>
    <tableColumn id="3" name="A" dataDxfId="192" totalsRowDxfId="191"/>
    <tableColumn id="4" name="B" dataDxfId="190" totalsRowDxfId="189"/>
    <tableColumn id="5" name="C" dataDxfId="188"/>
    <tableColumn id="6" name="D" dataDxfId="187"/>
    <tableColumn id="7" name="Evaluation" totalsRowFunction="custom" dataDxfId="186" totalsRowDxfId="185">
      <totalsRowFormula>IF(Tableau2[[#Totals],[Calcul Intermédiaire]]&gt;=3.6,"A",IF(Tableau2[[#Totals],[Calcul Intermédiaire]]&gt;=2.6,"B", IF(Tableau2[[#Totals],[Calcul Intermédiaire]]&gt;=1.6,"C","D")))</totalsRowFormula>
    </tableColumn>
    <tableColumn id="8" name="Calcul Intermédiaire" totalsRowFunction="sum" dataDxfId="184" totalsRowDxfId="183">
      <calculatedColumnFormula>IF(CODE(UPPER(Tableau2[[#This Row],[Evaluation]]))&lt;67, 69-CODE(UPPER(Tableau2[[#This Row],[Evaluation]])),68-CODE(UPPER(Tableau2[[#This Row],[Evaluation]])))*Tableau2[[#This Row],[Poids]]</calculatedColumnFormula>
    </tableColumn>
    <tableColumn id="11" name="Commentaire" dataDxfId="182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A4:J7" totalsRowCount="1" headerRowDxfId="181">
  <autoFilter ref="A4:J6"/>
  <tableColumns count="10">
    <tableColumn id="1" name="Acquis d'apprentissage visé" totalsRowDxfId="180"/>
    <tableColumn id="9" name="Interprétation AAV dans projet" totalsRowDxfId="179"/>
    <tableColumn id="2" name="Poids" totalsRowFunction="custom" totalsRowDxfId="178">
      <totalsRowFormula>SUM(Tableau14[Poids])</totalsRowFormula>
    </tableColumn>
    <tableColumn id="3" name="A" totalsRowDxfId="177"/>
    <tableColumn id="4" name="B" totalsRowDxfId="176"/>
    <tableColumn id="5" name="C"/>
    <tableColumn id="6" name="D"/>
    <tableColumn id="7" name="Evaluation" totalsRowFunction="custom" totalsRowDxfId="175">
      <totalsRowFormula>IF(Tableau14[[#Totals],[Calcul Intermédiaire]]&gt;=3.6,"A",IF(Tableau14[[#Totals],[Calcul Intermédiaire]]&gt;=2.6,"B", IF(Tableau14[[#Totals],[Calcul Intermédiaire]]&gt;=1.6,"C","D")))</totalsRowFormula>
    </tableColumn>
    <tableColumn id="8" name="Calcul Intermédiaire" totalsRowFunction="sum" totalsRowDxfId="174">
      <calculatedColumnFormula>IF(CODE(UPPER(Tableau14[[#This Row],[Evaluation]]))&lt;67, 69-CODE(UPPER(Tableau14[[#This Row],[Evaluation]])),68-CODE(UPPER(Tableau14[[#This Row],[Evaluation]])))*Tableau14[[#This Row],[Poids]]</calculatedColumnFormula>
    </tableColumn>
    <tableColumn id="11" name="Commentaire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4" name="Tableau25" displayName="Tableau25" ref="A12:J16" totalsRowCount="1" headerRowDxfId="173">
  <autoFilter ref="A12:J15"/>
  <tableColumns count="10">
    <tableColumn id="1" name="Acquis d'apprentissage visé" dataDxfId="171" totalsRowDxfId="172"/>
    <tableColumn id="9" name="Interprétation AAV dans projet" dataDxfId="169" totalsRowDxfId="170"/>
    <tableColumn id="2" name="Poids" totalsRowFunction="custom" dataDxfId="167" totalsRowDxfId="168">
      <totalsRowFormula>SUM(C5:C6,C13:C15)</totalsRowFormula>
    </tableColumn>
    <tableColumn id="3" name="A" dataDxfId="165" totalsRowDxfId="166"/>
    <tableColumn id="4" name="B" dataDxfId="163" totalsRowDxfId="164"/>
    <tableColumn id="5" name="C" dataDxfId="162"/>
    <tableColumn id="6" name="D" dataDxfId="161"/>
    <tableColumn id="7" name="Evaluation" totalsRowFunction="custom" dataDxfId="159" totalsRowDxfId="160">
      <totalsRowFormula>IF(Tableau25[[#Totals],[Calcul Intermédiaire]]&gt;=3.6,"A",IF(Tableau25[[#Totals],[Calcul Intermédiaire]]&gt;=2.6,"B", IF(Tableau25[[#Totals],[Calcul Intermédiaire]]&gt;=1.6,"C","D")))</totalsRowFormula>
    </tableColumn>
    <tableColumn id="8" name="Calcul Intermédiaire" totalsRowFunction="sum" dataDxfId="157" totalsRowDxfId="158">
      <calculatedColumnFormula>IF(CODE(UPPER(Tableau25[[#This Row],[Evaluation]]))&lt;67, 69-CODE(UPPER(Tableau25[[#This Row],[Evaluation]])),68-CODE(UPPER(Tableau25[[#This Row],[Evaluation]])))*Tableau25[[#This Row],[Poids]]</calculatedColumnFormula>
    </tableColumn>
    <tableColumn id="11" name="Commentaire" dataDxfId="156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id="15" name="Tableau146816" displayName="Tableau146816" ref="A4:J7" totalsRowCount="1" headerRowDxfId="25">
  <autoFilter ref="A4:J6"/>
  <tableColumns count="10">
    <tableColumn id="1" name="Acquis d'apprentissage visé" totalsRowDxfId="24"/>
    <tableColumn id="9" name="Interprétation AAV dans projet" totalsRowDxfId="23"/>
    <tableColumn id="2" name="Poids" totalsRowFunction="custom" totalsRowDxfId="22">
      <totalsRowFormula>SUM(Tableau146816[Poids])</totalsRowFormula>
    </tableColumn>
    <tableColumn id="3" name="A" totalsRowDxfId="21"/>
    <tableColumn id="4" name="B" totalsRowDxfId="20"/>
    <tableColumn id="5" name="C"/>
    <tableColumn id="6" name="D"/>
    <tableColumn id="7" name="Evaluation" totalsRowFunction="custom" totalsRowDxfId="19">
      <totalsRowFormula>IF(Tableau146816[[#Totals],[Calcul Intermédiaire]]&gt;=3.6,"A",IF(Tableau146816[[#Totals],[Calcul Intermédiaire]]&gt;=2.6,"B", IF(Tableau146816[[#Totals],[Calcul Intermédiaire]]&gt;=1.6,"C","D")))</totalsRowFormula>
    </tableColumn>
    <tableColumn id="8" name="Calcul Intermédiaire" totalsRowFunction="sum" totalsRowDxfId="18">
      <calculatedColumnFormula>IF(CODE(UPPER(Tableau146816[[#This Row],[Evaluation]]))&lt;67, 69-CODE(UPPER(Tableau146816[[#This Row],[Evaluation]])),68-CODE(UPPER(Tableau146816[[#This Row],[Evaluation]])))*Tableau146816[[#This Row],[Poids]]</calculatedColumnFormula>
    </tableColumn>
    <tableColumn id="11" name="Commentaire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id="16" name="Tableau257917" displayName="Tableau257917" ref="A12:J16" totalsRowCount="1" headerRowDxfId="17">
  <autoFilter ref="A12:J15"/>
  <tableColumns count="10">
    <tableColumn id="1" name="Acquis d'apprentissage visé" dataDxfId="15" totalsRowDxfId="16"/>
    <tableColumn id="9" name="Interprétation AAV dans projet" dataDxfId="13" totalsRowDxfId="14"/>
    <tableColumn id="2" name="Poids" totalsRowFunction="custom" dataDxfId="11" totalsRowDxfId="12">
      <totalsRowFormula>SUM(C5:C6,C13:C15)</totalsRowFormula>
    </tableColumn>
    <tableColumn id="3" name="A" dataDxfId="9" totalsRowDxfId="10"/>
    <tableColumn id="4" name="B" dataDxfId="7" totalsRowDxfId="8"/>
    <tableColumn id="5" name="C" dataDxfId="6"/>
    <tableColumn id="6" name="D" dataDxfId="5"/>
    <tableColumn id="7" name="Evaluation" totalsRowFunction="custom" dataDxfId="3" totalsRowDxfId="4">
      <totalsRowFormula>IF(Tableau257917[[#Totals],[Calcul Intermédiaire]]&gt;=3.6,"A",IF(Tableau257917[[#Totals],[Calcul Intermédiaire]]&gt;=2.6,"B", IF(Tableau257917[[#Totals],[Calcul Intermédiaire]]&gt;=1.6,"C","D")))</totalsRowFormula>
    </tableColumn>
    <tableColumn id="8" name="Calcul Intermédiaire" totalsRowFunction="sum" dataDxfId="1" totalsRowDxfId="2">
      <calculatedColumnFormula>IF(CODE(UPPER(Tableau257917[[#This Row],[Evaluation]]))&lt;67, 69-CODE(UPPER(Tableau257917[[#This Row],[Evaluation]])),68-CODE(UPPER(Tableau257917[[#This Row],[Evaluation]])))*Tableau257917[[#This Row],[Poids]]</calculatedColumnFormula>
    </tableColumn>
    <tableColumn id="11" name="Commentaire" dataDxfId="0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id="11" name="Tableau146812" displayName="Tableau146812" ref="A4:J7" totalsRowCount="1" headerRowDxfId="77">
  <autoFilter ref="A4:J6"/>
  <tableColumns count="10">
    <tableColumn id="1" name="Acquis d'apprentissage visé" totalsRowDxfId="76"/>
    <tableColumn id="9" name="Interprétation AAV dans projet" totalsRowDxfId="75"/>
    <tableColumn id="2" name="Poids" totalsRowFunction="custom" totalsRowDxfId="74">
      <totalsRowFormula>SUM(Tableau146812[Poids])</totalsRowFormula>
    </tableColumn>
    <tableColumn id="3" name="A" totalsRowDxfId="73"/>
    <tableColumn id="4" name="B" totalsRowDxfId="72"/>
    <tableColumn id="5" name="C"/>
    <tableColumn id="6" name="D"/>
    <tableColumn id="7" name="Evaluation" totalsRowFunction="custom" totalsRowDxfId="71">
      <totalsRowFormula>IF(Tableau146812[[#Totals],[Calcul Intermédiaire]]&gt;=3.6,"A",IF(Tableau146812[[#Totals],[Calcul Intermédiaire]]&gt;=2.6,"B", IF(Tableau146812[[#Totals],[Calcul Intermédiaire]]&gt;=1.6,"C","D")))</totalsRowFormula>
    </tableColumn>
    <tableColumn id="8" name="Calcul Intermédiaire" totalsRowFunction="sum" totalsRowDxfId="70">
      <calculatedColumnFormula>IF(CODE(UPPER(Tableau146812[[#This Row],[Evaluation]]))&lt;67, 69-CODE(UPPER(Tableau146812[[#This Row],[Evaluation]])),68-CODE(UPPER(Tableau146812[[#This Row],[Evaluation]])))*Tableau146812[[#This Row],[Poids]]</calculatedColumnFormula>
    </tableColumn>
    <tableColumn id="11" name="Commentaire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id="12" name="Tableau257913" displayName="Tableau257913" ref="A12:J16" totalsRowCount="1" headerRowDxfId="69">
  <autoFilter ref="A12:J15"/>
  <tableColumns count="10">
    <tableColumn id="1" name="Acquis d'apprentissage visé" dataDxfId="67" totalsRowDxfId="68"/>
    <tableColumn id="9" name="Interprétation AAV dans projet" dataDxfId="65" totalsRowDxfId="66"/>
    <tableColumn id="2" name="Poids" totalsRowFunction="custom" dataDxfId="63" totalsRowDxfId="64">
      <totalsRowFormula>SUM(C5:C6,C13:C15)</totalsRowFormula>
    </tableColumn>
    <tableColumn id="3" name="A" dataDxfId="61" totalsRowDxfId="62"/>
    <tableColumn id="4" name="B" dataDxfId="59" totalsRowDxfId="60"/>
    <tableColumn id="5" name="C" dataDxfId="58"/>
    <tableColumn id="6" name="D" dataDxfId="57"/>
    <tableColumn id="7" name="Evaluation" totalsRowFunction="custom" dataDxfId="55" totalsRowDxfId="56">
      <totalsRowFormula>IF(Tableau257913[[#Totals],[Calcul Intermédiaire]]&gt;=3.6,"A",IF(Tableau257913[[#Totals],[Calcul Intermédiaire]]&gt;=2.6,"B", IF(Tableau257913[[#Totals],[Calcul Intermédiaire]]&gt;=1.6,"C","D")))</totalsRowFormula>
    </tableColumn>
    <tableColumn id="8" name="Calcul Intermédiaire" totalsRowFunction="sum" dataDxfId="53" totalsRowDxfId="54">
      <calculatedColumnFormula>IF(CODE(UPPER(Tableau257913[[#This Row],[Evaluation]]))&lt;67, 69-CODE(UPPER(Tableau257913[[#This Row],[Evaluation]])),68-CODE(UPPER(Tableau257913[[#This Row],[Evaluation]])))*Tableau257913[[#This Row],[Poids]]</calculatedColumnFormula>
    </tableColumn>
    <tableColumn id="11" name="Commentaire" dataDxfId="52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id="9" name="Tableau146810" displayName="Tableau146810" ref="A4:J7" totalsRowCount="1" headerRowDxfId="103">
  <autoFilter ref="A4:J6"/>
  <tableColumns count="10">
    <tableColumn id="1" name="Acquis d'apprentissage visé" totalsRowDxfId="102"/>
    <tableColumn id="9" name="Interprétation AAV dans projet" totalsRowDxfId="101"/>
    <tableColumn id="2" name="Poids" totalsRowFunction="custom" totalsRowDxfId="100">
      <totalsRowFormula>SUM(Tableau146810[Poids])</totalsRowFormula>
    </tableColumn>
    <tableColumn id="3" name="A" totalsRowDxfId="99"/>
    <tableColumn id="4" name="B" totalsRowDxfId="98"/>
    <tableColumn id="5" name="C"/>
    <tableColumn id="6" name="D"/>
    <tableColumn id="7" name="Evaluation" totalsRowFunction="custom" totalsRowDxfId="97">
      <totalsRowFormula>IF(Tableau146810[[#Totals],[Calcul Intermédiaire]]&gt;=3.6,"A",IF(Tableau146810[[#Totals],[Calcul Intermédiaire]]&gt;=2.6,"B", IF(Tableau146810[[#Totals],[Calcul Intermédiaire]]&gt;=1.6,"C","D")))</totalsRowFormula>
    </tableColumn>
    <tableColumn id="8" name="Calcul Intermédiaire" totalsRowFunction="sum" totalsRowDxfId="96">
      <calculatedColumnFormula>IF(CODE(UPPER(Tableau146810[[#This Row],[Evaluation]]))&lt;67, 69-CODE(UPPER(Tableau146810[[#This Row],[Evaluation]])),68-CODE(UPPER(Tableau146810[[#This Row],[Evaluation]])))*Tableau146810[[#This Row],[Poids]]</calculatedColumnFormula>
    </tableColumn>
    <tableColumn id="11" name="Commentair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zoomScale="85" zoomScaleNormal="85" workbookViewId="0">
      <selection activeCell="D21" sqref="D21"/>
    </sheetView>
  </sheetViews>
  <sheetFormatPr baseColWidth="10" defaultColWidth="9.140625" defaultRowHeight="15" outlineLevelRow="1" outlineLevelCol="1" x14ac:dyDescent="0.25"/>
  <cols>
    <col min="1" max="1" width="49.140625" style="1" customWidth="1"/>
    <col min="2" max="2" width="37.140625" style="1" customWidth="1"/>
    <col min="3" max="3" width="15.85546875" style="1" customWidth="1"/>
    <col min="4" max="4" width="29.140625" style="3" customWidth="1"/>
    <col min="5" max="5" width="27.28515625" style="2" customWidth="1"/>
    <col min="6" max="6" width="27.42578125" customWidth="1"/>
    <col min="7" max="7" width="45.42578125" customWidth="1"/>
    <col min="8" max="8" width="15.28515625" style="2" customWidth="1"/>
    <col min="9" max="9" width="25.7109375" style="2" customWidth="1" outlineLevel="1"/>
    <col min="10" max="10" width="37.42578125" style="2" customWidth="1"/>
    <col min="11" max="11" width="5.42578125" style="2" customWidth="1"/>
    <col min="12" max="18" width="5" customWidth="1"/>
    <col min="19" max="21" width="9.140625" hidden="1" customWidth="1"/>
    <col min="22" max="22" width="9.140625" customWidth="1"/>
    <col min="23" max="23" width="7.5703125" customWidth="1"/>
    <col min="24" max="24" width="8.140625" customWidth="1"/>
  </cols>
  <sheetData>
    <row r="1" spans="1:21" ht="23.25" x14ac:dyDescent="0.25">
      <c r="A1" s="31" t="s">
        <v>0</v>
      </c>
      <c r="B1" s="32"/>
      <c r="C1" s="32"/>
      <c r="D1" s="32"/>
      <c r="E1" s="32"/>
      <c r="F1" s="32"/>
      <c r="G1" s="32"/>
      <c r="H1" s="32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s="1" customFormat="1" ht="40.9" customHeight="1" x14ac:dyDescent="0.25">
      <c r="A2" s="15"/>
      <c r="B2" s="15"/>
      <c r="C2" s="23"/>
      <c r="D2" s="23"/>
      <c r="E2" s="23"/>
      <c r="F2" s="23"/>
      <c r="G2" s="23"/>
      <c r="H2" s="23"/>
      <c r="I2" s="2"/>
      <c r="J2" s="2"/>
      <c r="K2" s="2"/>
    </row>
    <row r="3" spans="1:21" s="1" customFormat="1" ht="23.25" x14ac:dyDescent="0.25">
      <c r="A3" s="5"/>
      <c r="B3" s="5"/>
      <c r="C3" s="5"/>
      <c r="D3" s="30" t="s">
        <v>1</v>
      </c>
      <c r="E3" s="30"/>
      <c r="F3" s="30"/>
      <c r="G3" s="30"/>
      <c r="H3" s="2"/>
      <c r="I3" s="2"/>
      <c r="J3" s="2"/>
      <c r="K3" s="2"/>
    </row>
    <row r="4" spans="1:21" s="1" customFormat="1" ht="15.75" x14ac:dyDescent="0.25">
      <c r="A4" s="9" t="s">
        <v>2</v>
      </c>
      <c r="B4" s="9" t="s">
        <v>3</v>
      </c>
      <c r="C4" s="9" t="s">
        <v>4</v>
      </c>
      <c r="D4" s="13" t="s">
        <v>5</v>
      </c>
      <c r="E4" s="10" t="s">
        <v>6</v>
      </c>
      <c r="F4" s="10" t="s">
        <v>7</v>
      </c>
      <c r="G4" s="10" t="s">
        <v>8</v>
      </c>
      <c r="H4" s="10" t="s">
        <v>9</v>
      </c>
      <c r="I4" s="11" t="s">
        <v>10</v>
      </c>
      <c r="J4" s="11" t="s">
        <v>11</v>
      </c>
      <c r="K4" s="2"/>
      <c r="L4" s="2"/>
    </row>
    <row r="5" spans="1:21" s="1" customFormat="1" ht="90" x14ac:dyDescent="0.25">
      <c r="A5" s="17" t="s">
        <v>12</v>
      </c>
      <c r="B5" s="28" t="s">
        <v>32</v>
      </c>
      <c r="C5" s="14">
        <v>0.2</v>
      </c>
      <c r="D5" s="12" t="s">
        <v>34</v>
      </c>
      <c r="E5" s="12" t="s">
        <v>35</v>
      </c>
      <c r="F5" s="12" t="s">
        <v>36</v>
      </c>
      <c r="G5" s="12" t="s">
        <v>37</v>
      </c>
      <c r="H5" s="21" t="s">
        <v>7</v>
      </c>
      <c r="I5" s="22">
        <f>IF(CODE(UPPER(Tableau1[[#This Row],[Evaluation]]))&lt;67, 69-CODE(UPPER(Tableau1[[#This Row],[Evaluation]])),68-CODE(UPPER(Tableau1[[#This Row],[Evaluation]])))*Tableau1[[#This Row],[Poids]]</f>
        <v>0.2</v>
      </c>
      <c r="J5" s="19"/>
      <c r="K5" s="2"/>
      <c r="L5" s="2"/>
    </row>
    <row r="6" spans="1:21" s="1" customFormat="1" ht="90" x14ac:dyDescent="0.25">
      <c r="A6" s="17" t="s">
        <v>29</v>
      </c>
      <c r="B6" s="28" t="s">
        <v>33</v>
      </c>
      <c r="C6" s="14">
        <v>0.2</v>
      </c>
      <c r="D6" s="12" t="s">
        <v>39</v>
      </c>
      <c r="E6" s="12" t="s">
        <v>41</v>
      </c>
      <c r="F6" s="12" t="s">
        <v>40</v>
      </c>
      <c r="G6" s="12" t="s">
        <v>38</v>
      </c>
      <c r="H6" s="21" t="s">
        <v>6</v>
      </c>
      <c r="I6" s="22">
        <f>IF(CODE(UPPER(Tableau1[[#This Row],[Evaluation]]))&lt;67, 69-CODE(UPPER(Tableau1[[#This Row],[Evaluation]])),68-CODE(UPPER(Tableau1[[#This Row],[Evaluation]])))*Tableau1[[#This Row],[Poids]]</f>
        <v>0.60000000000000009</v>
      </c>
      <c r="J6" s="19"/>
      <c r="K6" s="2"/>
      <c r="L6" s="2"/>
    </row>
    <row r="7" spans="1:21" s="1" customFormat="1" ht="21.75" hidden="1" customHeight="1" outlineLevel="1" thickBot="1" x14ac:dyDescent="0.3">
      <c r="A7" s="18"/>
      <c r="B7" s="5"/>
      <c r="C7" s="7">
        <f>SUM(Tableau1[Poids])</f>
        <v>0.4</v>
      </c>
      <c r="D7" s="3"/>
      <c r="E7" s="6"/>
      <c r="H7" s="8" t="str">
        <f>IF(Tableau1[[#Totals],[Calcul Intermédiaire]]&gt;=3.6,"A",IF(Tableau1[[#Totals],[Calcul Intermédiaire]]&gt;=2.6,"B", IF(Tableau1[[#Totals],[Calcul Intermédiaire]]&gt;=1.6,"C","D")))</f>
        <v>D</v>
      </c>
      <c r="I7" s="21">
        <f>SUBTOTAL(109,Tableau1[Calcul Intermédiaire])</f>
        <v>0.8</v>
      </c>
    </row>
    <row r="8" spans="1:21" s="1" customFormat="1" ht="14.45" customHeight="1" collapsed="1" x14ac:dyDescent="0.25">
      <c r="A8" s="2"/>
      <c r="B8" s="2"/>
      <c r="C8" s="2"/>
      <c r="D8" s="2"/>
      <c r="E8" s="2"/>
      <c r="F8" s="2"/>
    </row>
    <row r="9" spans="1:21" s="1" customFormat="1" ht="27" customHeight="1" x14ac:dyDescent="0.25">
      <c r="A9" s="31" t="s">
        <v>14</v>
      </c>
      <c r="B9" s="32"/>
      <c r="C9" s="32"/>
      <c r="D9" s="32"/>
      <c r="E9" s="32"/>
      <c r="F9" s="32"/>
      <c r="G9" s="32"/>
      <c r="H9" s="32"/>
      <c r="I9" s="2"/>
      <c r="J9" s="2"/>
      <c r="K9" s="2"/>
    </row>
    <row r="10" spans="1:21" s="1" customFormat="1" ht="34.15" customHeight="1" x14ac:dyDescent="0.25">
      <c r="A10" s="15"/>
      <c r="B10" s="15"/>
      <c r="C10" s="23"/>
      <c r="D10" s="23"/>
      <c r="E10" s="23"/>
      <c r="F10" s="23"/>
      <c r="G10" s="23"/>
      <c r="H10" s="23"/>
      <c r="I10" s="2"/>
      <c r="J10" s="2"/>
      <c r="K10" s="2"/>
    </row>
    <row r="11" spans="1:21" s="1" customFormat="1" ht="15" customHeight="1" x14ac:dyDescent="0.25">
      <c r="A11" s="5"/>
      <c r="B11" s="5"/>
      <c r="C11" s="5"/>
      <c r="D11" s="30" t="s">
        <v>1</v>
      </c>
      <c r="E11" s="30"/>
      <c r="F11" s="30"/>
      <c r="G11" s="30"/>
      <c r="H11" s="2"/>
      <c r="I11" s="2"/>
      <c r="J11" s="2"/>
      <c r="K11" s="2"/>
    </row>
    <row r="12" spans="1:21" s="1" customFormat="1" ht="15" customHeight="1" x14ac:dyDescent="0.25">
      <c r="A12" s="9" t="s">
        <v>2</v>
      </c>
      <c r="B12" s="9" t="s">
        <v>3</v>
      </c>
      <c r="C12" s="9" t="s">
        <v>4</v>
      </c>
      <c r="D12" s="13" t="s">
        <v>5</v>
      </c>
      <c r="E12" s="10" t="s">
        <v>6</v>
      </c>
      <c r="F12" s="10" t="s">
        <v>7</v>
      </c>
      <c r="G12" s="10" t="s">
        <v>8</v>
      </c>
      <c r="H12" s="10" t="s">
        <v>9</v>
      </c>
      <c r="I12" s="11" t="s">
        <v>10</v>
      </c>
      <c r="J12" s="11" t="s">
        <v>11</v>
      </c>
      <c r="K12" s="2"/>
      <c r="L12" s="2"/>
    </row>
    <row r="13" spans="1:21" s="1" customFormat="1" ht="39" customHeight="1" x14ac:dyDescent="0.25">
      <c r="A13" s="20" t="s">
        <v>17</v>
      </c>
      <c r="B13" s="28" t="s">
        <v>43</v>
      </c>
      <c r="C13" s="14">
        <v>0.2</v>
      </c>
      <c r="D13" s="24" t="s">
        <v>18</v>
      </c>
      <c r="E13" s="25" t="s">
        <v>42</v>
      </c>
      <c r="F13" s="26" t="s">
        <v>20</v>
      </c>
      <c r="G13" s="26" t="s">
        <v>19</v>
      </c>
      <c r="H13" s="8" t="s">
        <v>7</v>
      </c>
      <c r="I13" s="19">
        <f>IF(CODE(UPPER(Tableau2[[#This Row],[Evaluation]]))&lt;67, 69-CODE(UPPER(Tableau2[[#This Row],[Evaluation]])),68-CODE(UPPER(Tableau2[[#This Row],[Evaluation]])))*Tableau2[[#This Row],[Poids]]</f>
        <v>0.2</v>
      </c>
      <c r="J13" s="19"/>
      <c r="K13" s="2"/>
      <c r="L13" s="2"/>
    </row>
    <row r="14" spans="1:21" s="1" customFormat="1" ht="39" customHeight="1" x14ac:dyDescent="0.25">
      <c r="A14" s="20" t="s">
        <v>15</v>
      </c>
      <c r="B14" s="28" t="s">
        <v>30</v>
      </c>
      <c r="C14" s="14">
        <v>0.2</v>
      </c>
      <c r="D14" s="24" t="s">
        <v>23</v>
      </c>
      <c r="E14" s="25" t="s">
        <v>22</v>
      </c>
      <c r="F14" s="26" t="s">
        <v>21</v>
      </c>
      <c r="G14" s="26" t="s">
        <v>24</v>
      </c>
      <c r="H14" s="8" t="s">
        <v>5</v>
      </c>
      <c r="I14" s="19">
        <f>IF(CODE(UPPER(Tableau2[[#This Row],[Evaluation]]))&lt;67, 69-CODE(UPPER(Tableau2[[#This Row],[Evaluation]])),68-CODE(UPPER(Tableau2[[#This Row],[Evaluation]])))*Tableau2[[#This Row],[Poids]]</f>
        <v>0.8</v>
      </c>
      <c r="J14" s="19"/>
      <c r="K14" s="2"/>
      <c r="L14" s="2"/>
    </row>
    <row r="15" spans="1:21" ht="39.75" customHeight="1" x14ac:dyDescent="0.25">
      <c r="A15" s="20" t="s">
        <v>16</v>
      </c>
      <c r="B15" s="28" t="s">
        <v>31</v>
      </c>
      <c r="C15" s="14">
        <v>0.2</v>
      </c>
      <c r="D15" s="24" t="s">
        <v>25</v>
      </c>
      <c r="E15" s="25" t="s">
        <v>26</v>
      </c>
      <c r="F15" s="26" t="s">
        <v>27</v>
      </c>
      <c r="G15" s="26" t="s">
        <v>28</v>
      </c>
      <c r="H15" s="8" t="s">
        <v>5</v>
      </c>
      <c r="I15" s="8">
        <f>IF(CODE(UPPER(Tableau2[[#This Row],[Evaluation]]))&lt;67, 69-CODE(UPPER(Tableau2[[#This Row],[Evaluation]])),68-CODE(UPPER(Tableau2[[#This Row],[Evaluation]])))*Tableau2[[#This Row],[Poids]]</f>
        <v>0.8</v>
      </c>
      <c r="J15" s="19"/>
      <c r="L15" s="2"/>
      <c r="M15" s="1"/>
      <c r="N15" s="1"/>
      <c r="O15" s="1"/>
      <c r="P15" s="1"/>
      <c r="Q15" s="1"/>
      <c r="R15" s="1"/>
      <c r="S15" s="1"/>
      <c r="T15" s="1"/>
      <c r="U15" s="1"/>
    </row>
    <row r="16" spans="1:21" s="1" customFormat="1" ht="24" hidden="1" customHeight="1" outlineLevel="1" thickBot="1" x14ac:dyDescent="0.3">
      <c r="A16" s="18"/>
      <c r="B16" s="5"/>
      <c r="C16" s="7">
        <f>SUM(C5:C6,C13:C15)</f>
        <v>1</v>
      </c>
      <c r="D16" s="3"/>
      <c r="E16" s="6"/>
      <c r="H16" s="8" t="str">
        <f>IF(Tableau2[[#Totals],[Calcul Intermédiaire]]&gt;=3.6,"A",IF(Tableau2[[#Totals],[Calcul Intermédiaire]]&gt;=2.6,"B", IF(Tableau2[[#Totals],[Calcul Intermédiaire]]&gt;=1.6,"C","D")))</f>
        <v>C</v>
      </c>
      <c r="I16" s="8">
        <f>SUBTOTAL(109,Tableau2[Calcul Intermédiaire])</f>
        <v>1.8</v>
      </c>
    </row>
    <row r="17" spans="1:21" s="1" customFormat="1" ht="15" customHeight="1" collapsed="1" thickBot="1" x14ac:dyDescent="0.3">
      <c r="A17" s="2"/>
      <c r="B17" s="2"/>
      <c r="C17" s="2"/>
      <c r="D17" s="2"/>
      <c r="E17" s="2"/>
      <c r="F17" s="2"/>
    </row>
    <row r="18" spans="1:21" s="1" customFormat="1" ht="15" customHeight="1" thickBot="1" x14ac:dyDescent="0.3">
      <c r="A18" s="2"/>
      <c r="B18" s="2"/>
      <c r="C18" s="2"/>
      <c r="D18" s="2"/>
      <c r="E18" s="2"/>
      <c r="F18" s="2"/>
      <c r="I18" s="29">
        <f>Tableau2[[#Totals],[Calcul Intermédiaire]]+Tableau1[[#Totals],[Calcul Intermédiaire]]</f>
        <v>2.6</v>
      </c>
    </row>
    <row r="19" spans="1:21" s="1" customFormat="1" ht="15.75" customHeight="1" x14ac:dyDescent="0.25">
      <c r="A19" s="2"/>
      <c r="B19" s="2"/>
      <c r="C19" s="2"/>
      <c r="D19" s="2"/>
      <c r="E19" s="2"/>
      <c r="F19" s="2"/>
      <c r="G19" s="16" t="s">
        <v>13</v>
      </c>
      <c r="H19" s="33" t="str">
        <f>IF(I18&gt;=3.6,"A",IF(I18&gt;=2.6,"B", IF(I18&gt;=1.6,"C","D")))</f>
        <v>B</v>
      </c>
    </row>
    <row r="20" spans="1:21" s="1" customFormat="1" ht="15" customHeight="1" thickBot="1" x14ac:dyDescent="0.3">
      <c r="A20" s="2"/>
      <c r="B20" s="2"/>
      <c r="C20" s="2"/>
      <c r="D20" s="2"/>
      <c r="E20" s="2"/>
      <c r="F20" s="2"/>
      <c r="H20" s="34"/>
    </row>
    <row r="21" spans="1:21" s="1" customFormat="1" x14ac:dyDescent="0.25">
      <c r="A21" s="2"/>
      <c r="B21" s="2"/>
      <c r="C21" s="2"/>
      <c r="D21" s="2"/>
      <c r="E21" s="2"/>
      <c r="F21" s="2"/>
    </row>
    <row r="22" spans="1:21" s="1" customFormat="1" x14ac:dyDescent="0.25">
      <c r="A22" s="2"/>
      <c r="B22" s="2"/>
      <c r="C22" s="2"/>
      <c r="D22" s="2"/>
      <c r="E22" s="2"/>
      <c r="F22" s="2"/>
    </row>
    <row r="23" spans="1:21" x14ac:dyDescent="0.25">
      <c r="A23" s="2"/>
      <c r="B23" s="2"/>
      <c r="C23" s="2"/>
      <c r="D23" s="2"/>
      <c r="F23" s="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25">
      <c r="A24" s="2"/>
      <c r="B24" s="2"/>
      <c r="C24" s="2"/>
      <c r="D24" s="2"/>
      <c r="F24" s="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25">
      <c r="A25" s="2"/>
      <c r="B25" s="2"/>
      <c r="C25" s="2"/>
      <c r="D25" s="2"/>
      <c r="F25" s="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25">
      <c r="A26" s="2"/>
      <c r="B26" s="2"/>
      <c r="C26" s="2"/>
      <c r="D26" s="2"/>
      <c r="F26" s="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25">
      <c r="A27" s="2"/>
      <c r="B27" s="2"/>
      <c r="C27" s="2"/>
      <c r="D27" s="2"/>
      <c r="F27" s="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25">
      <c r="A28" s="2"/>
      <c r="B28" s="2"/>
      <c r="C28" s="2"/>
      <c r="D28" s="2"/>
      <c r="F28" s="2"/>
      <c r="G28" s="1"/>
      <c r="H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25">
      <c r="A29" s="2"/>
      <c r="B29" s="2"/>
      <c r="C29" s="2"/>
      <c r="D29" s="2"/>
      <c r="F29" s="2"/>
      <c r="G29" s="1"/>
      <c r="H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25">
      <c r="A30" s="4"/>
      <c r="B30" s="4"/>
      <c r="C30" s="4"/>
      <c r="F30" s="1"/>
      <c r="G30" s="1"/>
      <c r="L30" s="1"/>
      <c r="M30" s="1"/>
      <c r="N30" s="1"/>
      <c r="O30" s="1"/>
      <c r="P30" s="1"/>
      <c r="Q30" s="1"/>
      <c r="R30" s="1"/>
      <c r="S30" s="1"/>
      <c r="T30" s="1"/>
      <c r="U30" s="1"/>
    </row>
  </sheetData>
  <mergeCells count="5">
    <mergeCell ref="D11:G11"/>
    <mergeCell ref="A9:H9"/>
    <mergeCell ref="H19:H20"/>
    <mergeCell ref="A1:H1"/>
    <mergeCell ref="D3:G3"/>
  </mergeCells>
  <dataValidations count="1">
    <dataValidation type="list" allowBlank="1" showInputMessage="1" showErrorMessage="1" sqref="H5:H6 H13:H15">
      <formula1>$D$4:$G$4</formula1>
    </dataValidation>
  </dataValidations>
  <pageMargins left="0.7" right="0.7" top="0.75" bottom="0.75" header="0.3" footer="0.3"/>
  <pageSetup paperSize="9" orientation="landscape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zoomScale="85" zoomScaleNormal="85" workbookViewId="0">
      <selection activeCell="D21" sqref="D21"/>
    </sheetView>
  </sheetViews>
  <sheetFormatPr baseColWidth="10" defaultColWidth="9.140625" defaultRowHeight="15" outlineLevelRow="1" outlineLevelCol="1" x14ac:dyDescent="0.25"/>
  <cols>
    <col min="1" max="1" width="49.140625" style="1" customWidth="1"/>
    <col min="2" max="2" width="37.140625" style="1" customWidth="1"/>
    <col min="3" max="3" width="15.85546875" style="1" customWidth="1"/>
    <col min="4" max="4" width="29.140625" style="3" customWidth="1"/>
    <col min="5" max="5" width="27.28515625" style="2" customWidth="1"/>
    <col min="6" max="6" width="27.42578125" style="1" customWidth="1"/>
    <col min="7" max="7" width="45.42578125" style="1" customWidth="1"/>
    <col min="8" max="8" width="15.28515625" style="2" customWidth="1"/>
    <col min="9" max="9" width="25.7109375" style="2" customWidth="1" outlineLevel="1"/>
    <col min="10" max="10" width="37.42578125" style="2" customWidth="1"/>
    <col min="11" max="11" width="5.42578125" style="2" customWidth="1"/>
    <col min="12" max="18" width="5" style="1" customWidth="1"/>
    <col min="19" max="21" width="9.140625" style="1" hidden="1" customWidth="1"/>
    <col min="22" max="22" width="9.140625" style="1" customWidth="1"/>
    <col min="23" max="23" width="7.5703125" style="1" customWidth="1"/>
    <col min="24" max="24" width="8.140625" style="1" customWidth="1"/>
    <col min="25" max="16384" width="9.140625" style="1"/>
  </cols>
  <sheetData>
    <row r="1" spans="1:12" ht="23.25" x14ac:dyDescent="0.25">
      <c r="A1" s="31" t="s">
        <v>0</v>
      </c>
      <c r="B1" s="32"/>
      <c r="C1" s="32"/>
      <c r="D1" s="32"/>
      <c r="E1" s="32"/>
      <c r="F1" s="32"/>
      <c r="G1" s="32"/>
      <c r="H1" s="32"/>
    </row>
    <row r="2" spans="1:12" ht="40.9" customHeight="1" x14ac:dyDescent="0.25">
      <c r="A2" s="15"/>
      <c r="B2" s="15"/>
      <c r="C2" s="27"/>
      <c r="D2" s="27"/>
      <c r="E2" s="27"/>
      <c r="F2" s="27"/>
      <c r="G2" s="27"/>
      <c r="H2" s="27"/>
    </row>
    <row r="3" spans="1:12" ht="23.25" x14ac:dyDescent="0.25">
      <c r="A3" s="5"/>
      <c r="B3" s="5"/>
      <c r="C3" s="5"/>
      <c r="D3" s="30" t="s">
        <v>1</v>
      </c>
      <c r="E3" s="30"/>
      <c r="F3" s="30"/>
      <c r="G3" s="30"/>
    </row>
    <row r="4" spans="1:12" ht="15.75" x14ac:dyDescent="0.25">
      <c r="A4" s="9" t="s">
        <v>2</v>
      </c>
      <c r="B4" s="9" t="s">
        <v>3</v>
      </c>
      <c r="C4" s="9" t="s">
        <v>4</v>
      </c>
      <c r="D4" s="13" t="s">
        <v>5</v>
      </c>
      <c r="E4" s="10" t="s">
        <v>6</v>
      </c>
      <c r="F4" s="10" t="s">
        <v>7</v>
      </c>
      <c r="G4" s="10" t="s">
        <v>8</v>
      </c>
      <c r="H4" s="10" t="s">
        <v>9</v>
      </c>
      <c r="I4" s="11" t="s">
        <v>10</v>
      </c>
      <c r="J4" s="11" t="s">
        <v>11</v>
      </c>
      <c r="L4" s="2"/>
    </row>
    <row r="5" spans="1:12" ht="90" x14ac:dyDescent="0.25">
      <c r="A5" s="17" t="s">
        <v>12</v>
      </c>
      <c r="B5" s="28" t="s">
        <v>32</v>
      </c>
      <c r="C5" s="14">
        <v>0.2</v>
      </c>
      <c r="D5" s="12" t="s">
        <v>34</v>
      </c>
      <c r="E5" s="12" t="s">
        <v>35</v>
      </c>
      <c r="F5" s="12" t="s">
        <v>36</v>
      </c>
      <c r="G5" s="12" t="s">
        <v>37</v>
      </c>
      <c r="H5" s="21" t="s">
        <v>7</v>
      </c>
      <c r="I5" s="22">
        <f>IF(CODE(UPPER(Tableau14[[#This Row],[Evaluation]]))&lt;67, 69-CODE(UPPER(Tableau14[[#This Row],[Evaluation]])),68-CODE(UPPER(Tableau14[[#This Row],[Evaluation]])))*Tableau14[[#This Row],[Poids]]</f>
        <v>0.2</v>
      </c>
      <c r="J5" s="19"/>
      <c r="L5" s="2"/>
    </row>
    <row r="6" spans="1:12" ht="90" x14ac:dyDescent="0.25">
      <c r="A6" s="17" t="s">
        <v>29</v>
      </c>
      <c r="B6" s="28" t="s">
        <v>33</v>
      </c>
      <c r="C6" s="14">
        <v>0.2</v>
      </c>
      <c r="D6" s="12" t="s">
        <v>39</v>
      </c>
      <c r="E6" s="12" t="s">
        <v>41</v>
      </c>
      <c r="F6" s="12" t="s">
        <v>40</v>
      </c>
      <c r="G6" s="12" t="s">
        <v>38</v>
      </c>
      <c r="H6" s="21" t="s">
        <v>6</v>
      </c>
      <c r="I6" s="22">
        <f>IF(CODE(UPPER(Tableau14[[#This Row],[Evaluation]]))&lt;67, 69-CODE(UPPER(Tableau14[[#This Row],[Evaluation]])),68-CODE(UPPER(Tableau14[[#This Row],[Evaluation]])))*Tableau14[[#This Row],[Poids]]</f>
        <v>0.60000000000000009</v>
      </c>
      <c r="J6" s="19"/>
      <c r="L6" s="2"/>
    </row>
    <row r="7" spans="1:12" ht="21.75" hidden="1" customHeight="1" outlineLevel="1" thickBot="1" x14ac:dyDescent="0.3">
      <c r="A7" s="18"/>
      <c r="B7" s="5"/>
      <c r="C7" s="7">
        <f>SUM(Tableau14[Poids])</f>
        <v>0.4</v>
      </c>
      <c r="E7" s="6"/>
      <c r="H7" s="8" t="str">
        <f>IF(Tableau14[[#Totals],[Calcul Intermédiaire]]&gt;=3.6,"A",IF(Tableau14[[#Totals],[Calcul Intermédiaire]]&gt;=2.6,"B", IF(Tableau14[[#Totals],[Calcul Intermédiaire]]&gt;=1.6,"C","D")))</f>
        <v>D</v>
      </c>
      <c r="I7" s="21">
        <f>SUBTOTAL(109,Tableau14[Calcul Intermédiaire])</f>
        <v>0.8</v>
      </c>
      <c r="J7" s="1"/>
      <c r="K7" s="1"/>
    </row>
    <row r="8" spans="1:12" ht="14.45" customHeight="1" collapsed="1" x14ac:dyDescent="0.25">
      <c r="A8" s="2"/>
      <c r="B8" s="2"/>
      <c r="C8" s="2"/>
      <c r="D8" s="2"/>
      <c r="F8" s="2"/>
      <c r="H8" s="1"/>
      <c r="I8" s="1"/>
      <c r="J8" s="1"/>
      <c r="K8" s="1"/>
    </row>
    <row r="9" spans="1:12" ht="27" customHeight="1" x14ac:dyDescent="0.25">
      <c r="A9" s="31" t="s">
        <v>14</v>
      </c>
      <c r="B9" s="32"/>
      <c r="C9" s="32"/>
      <c r="D9" s="32"/>
      <c r="E9" s="32"/>
      <c r="F9" s="32"/>
      <c r="G9" s="32"/>
      <c r="H9" s="32"/>
    </row>
    <row r="10" spans="1:12" ht="34.15" customHeight="1" x14ac:dyDescent="0.25">
      <c r="A10" s="15"/>
      <c r="B10" s="15"/>
      <c r="C10" s="27"/>
      <c r="D10" s="27"/>
      <c r="E10" s="27"/>
      <c r="F10" s="27"/>
      <c r="G10" s="27"/>
      <c r="H10" s="27"/>
    </row>
    <row r="11" spans="1:12" ht="15" customHeight="1" x14ac:dyDescent="0.25">
      <c r="A11" s="5"/>
      <c r="B11" s="5"/>
      <c r="C11" s="5"/>
      <c r="D11" s="30" t="s">
        <v>1</v>
      </c>
      <c r="E11" s="30"/>
      <c r="F11" s="30"/>
      <c r="G11" s="30"/>
    </row>
    <row r="12" spans="1:12" ht="15" customHeight="1" x14ac:dyDescent="0.25">
      <c r="A12" s="9" t="s">
        <v>2</v>
      </c>
      <c r="B12" s="9" t="s">
        <v>3</v>
      </c>
      <c r="C12" s="9" t="s">
        <v>4</v>
      </c>
      <c r="D12" s="13" t="s">
        <v>5</v>
      </c>
      <c r="E12" s="10" t="s">
        <v>6</v>
      </c>
      <c r="F12" s="10" t="s">
        <v>7</v>
      </c>
      <c r="G12" s="10" t="s">
        <v>8</v>
      </c>
      <c r="H12" s="10" t="s">
        <v>9</v>
      </c>
      <c r="I12" s="11" t="s">
        <v>10</v>
      </c>
      <c r="J12" s="11" t="s">
        <v>11</v>
      </c>
      <c r="L12" s="2"/>
    </row>
    <row r="13" spans="1:12" ht="39" customHeight="1" x14ac:dyDescent="0.25">
      <c r="A13" s="20" t="s">
        <v>17</v>
      </c>
      <c r="B13" s="28" t="s">
        <v>43</v>
      </c>
      <c r="C13" s="14">
        <v>0.2</v>
      </c>
      <c r="D13" s="24" t="s">
        <v>18</v>
      </c>
      <c r="E13" s="25" t="s">
        <v>42</v>
      </c>
      <c r="F13" s="26" t="s">
        <v>20</v>
      </c>
      <c r="G13" s="26" t="s">
        <v>19</v>
      </c>
      <c r="H13" s="8" t="s">
        <v>7</v>
      </c>
      <c r="I13" s="19">
        <f>IF(CODE(UPPER(Tableau25[[#This Row],[Evaluation]]))&lt;67, 69-CODE(UPPER(Tableau25[[#This Row],[Evaluation]])),68-CODE(UPPER(Tableau25[[#This Row],[Evaluation]])))*Tableau25[[#This Row],[Poids]]</f>
        <v>0.2</v>
      </c>
      <c r="J13" s="19"/>
      <c r="L13" s="2"/>
    </row>
    <row r="14" spans="1:12" ht="39" customHeight="1" x14ac:dyDescent="0.25">
      <c r="A14" s="20" t="s">
        <v>15</v>
      </c>
      <c r="B14" s="28" t="s">
        <v>30</v>
      </c>
      <c r="C14" s="14">
        <v>0.2</v>
      </c>
      <c r="D14" s="24" t="s">
        <v>23</v>
      </c>
      <c r="E14" s="25" t="s">
        <v>22</v>
      </c>
      <c r="F14" s="26" t="s">
        <v>21</v>
      </c>
      <c r="G14" s="26" t="s">
        <v>24</v>
      </c>
      <c r="H14" s="8" t="s">
        <v>5</v>
      </c>
      <c r="I14" s="19">
        <f>IF(CODE(UPPER(Tableau25[[#This Row],[Evaluation]]))&lt;67, 69-CODE(UPPER(Tableau25[[#This Row],[Evaluation]])),68-CODE(UPPER(Tableau25[[#This Row],[Evaluation]])))*Tableau25[[#This Row],[Poids]]</f>
        <v>0.8</v>
      </c>
      <c r="J14" s="19"/>
      <c r="L14" s="2"/>
    </row>
    <row r="15" spans="1:12" ht="39.75" customHeight="1" x14ac:dyDescent="0.25">
      <c r="A15" s="20" t="s">
        <v>16</v>
      </c>
      <c r="B15" s="28" t="s">
        <v>31</v>
      </c>
      <c r="C15" s="14">
        <v>0.2</v>
      </c>
      <c r="D15" s="24" t="s">
        <v>25</v>
      </c>
      <c r="E15" s="25" t="s">
        <v>26</v>
      </c>
      <c r="F15" s="26" t="s">
        <v>27</v>
      </c>
      <c r="G15" s="26" t="s">
        <v>28</v>
      </c>
      <c r="H15" s="8" t="s">
        <v>5</v>
      </c>
      <c r="I15" s="8">
        <f>IF(CODE(UPPER(Tableau25[[#This Row],[Evaluation]]))&lt;67, 69-CODE(UPPER(Tableau25[[#This Row],[Evaluation]])),68-CODE(UPPER(Tableau25[[#This Row],[Evaluation]])))*Tableau25[[#This Row],[Poids]]</f>
        <v>0.8</v>
      </c>
      <c r="J15" s="19"/>
      <c r="L15" s="2"/>
    </row>
    <row r="16" spans="1:12" ht="24" hidden="1" customHeight="1" outlineLevel="1" thickBot="1" x14ac:dyDescent="0.3">
      <c r="A16" s="18"/>
      <c r="B16" s="5"/>
      <c r="C16" s="7">
        <f>SUM(C5:C6,C13:C15)</f>
        <v>1</v>
      </c>
      <c r="E16" s="6"/>
      <c r="H16" s="8" t="str">
        <f>IF(Tableau25[[#Totals],[Calcul Intermédiaire]]&gt;=3.6,"A",IF(Tableau25[[#Totals],[Calcul Intermédiaire]]&gt;=2.6,"B", IF(Tableau25[[#Totals],[Calcul Intermédiaire]]&gt;=1.6,"C","D")))</f>
        <v>C</v>
      </c>
      <c r="I16" s="8">
        <f>SUBTOTAL(109,Tableau25[Calcul Intermédiaire])</f>
        <v>1.8</v>
      </c>
      <c r="J16" s="1"/>
      <c r="K16" s="1"/>
    </row>
    <row r="17" spans="1:11" ht="15" customHeight="1" collapsed="1" thickBot="1" x14ac:dyDescent="0.3">
      <c r="A17" s="2"/>
      <c r="B17" s="2"/>
      <c r="C17" s="2"/>
      <c r="D17" s="2"/>
      <c r="F17" s="2"/>
      <c r="H17" s="1"/>
      <c r="I17" s="1"/>
      <c r="J17" s="1"/>
      <c r="K17" s="1"/>
    </row>
    <row r="18" spans="1:11" ht="15" customHeight="1" thickBot="1" x14ac:dyDescent="0.3">
      <c r="A18" s="2"/>
      <c r="B18" s="2"/>
      <c r="C18" s="2"/>
      <c r="D18" s="2"/>
      <c r="F18" s="2"/>
      <c r="H18" s="1"/>
      <c r="I18" s="29">
        <f>Tableau25[[#Totals],[Calcul Intermédiaire]]+Tableau14[[#Totals],[Calcul Intermédiaire]]</f>
        <v>2.6</v>
      </c>
      <c r="J18" s="1"/>
      <c r="K18" s="1"/>
    </row>
    <row r="19" spans="1:11" ht="15.75" customHeight="1" x14ac:dyDescent="0.25">
      <c r="A19" s="2"/>
      <c r="B19" s="2"/>
      <c r="C19" s="2"/>
      <c r="D19" s="2"/>
      <c r="F19" s="2"/>
      <c r="G19" s="16" t="s">
        <v>13</v>
      </c>
      <c r="H19" s="33" t="str">
        <f>IF(I18&gt;=3.6,"A",IF(I18&gt;=2.6,"B", IF(I18&gt;=1.6,"C","D")))</f>
        <v>B</v>
      </c>
      <c r="I19" s="1"/>
      <c r="J19" s="1"/>
      <c r="K19" s="1"/>
    </row>
    <row r="20" spans="1:11" ht="15" customHeight="1" thickBot="1" x14ac:dyDescent="0.3">
      <c r="A20" s="2"/>
      <c r="B20" s="2"/>
      <c r="C20" s="2"/>
      <c r="D20" s="2"/>
      <c r="F20" s="2"/>
      <c r="H20" s="34"/>
      <c r="I20" s="1"/>
      <c r="J20" s="1"/>
      <c r="K20" s="1"/>
    </row>
    <row r="21" spans="1:11" x14ac:dyDescent="0.25">
      <c r="A21" s="2"/>
      <c r="B21" s="2"/>
      <c r="C21" s="2"/>
      <c r="D21" s="2"/>
      <c r="F21" s="2"/>
      <c r="H21" s="1"/>
      <c r="I21" s="1"/>
      <c r="J21" s="1"/>
      <c r="K21" s="1"/>
    </row>
    <row r="22" spans="1:11" x14ac:dyDescent="0.25">
      <c r="A22" s="2"/>
      <c r="B22" s="2"/>
      <c r="C22" s="2"/>
      <c r="D22" s="2"/>
      <c r="F22" s="2"/>
      <c r="H22" s="1"/>
      <c r="I22" s="1"/>
      <c r="J22" s="1"/>
      <c r="K22" s="1"/>
    </row>
    <row r="23" spans="1:11" x14ac:dyDescent="0.25">
      <c r="A23" s="2"/>
      <c r="B23" s="2"/>
      <c r="C23" s="2"/>
      <c r="D23" s="2"/>
      <c r="F23" s="2"/>
      <c r="H23" s="1"/>
      <c r="I23" s="1"/>
      <c r="J23" s="1"/>
      <c r="K23" s="1"/>
    </row>
    <row r="24" spans="1:11" x14ac:dyDescent="0.25">
      <c r="A24" s="2"/>
      <c r="B24" s="2"/>
      <c r="C24" s="2"/>
      <c r="D24" s="2"/>
      <c r="F24" s="2"/>
      <c r="H24" s="1"/>
      <c r="I24" s="1"/>
      <c r="J24" s="1"/>
      <c r="K24" s="1"/>
    </row>
    <row r="25" spans="1:11" x14ac:dyDescent="0.25">
      <c r="A25" s="2"/>
      <c r="B25" s="2"/>
      <c r="C25" s="2"/>
      <c r="D25" s="2"/>
      <c r="F25" s="2"/>
      <c r="H25" s="1"/>
      <c r="I25" s="1"/>
      <c r="J25" s="1"/>
      <c r="K25" s="1"/>
    </row>
    <row r="26" spans="1:11" x14ac:dyDescent="0.25">
      <c r="A26" s="2"/>
      <c r="B26" s="2"/>
      <c r="C26" s="2"/>
      <c r="D26" s="2"/>
      <c r="F26" s="2"/>
      <c r="H26" s="1"/>
      <c r="I26" s="1"/>
      <c r="J26" s="1"/>
      <c r="K26" s="1"/>
    </row>
    <row r="27" spans="1:11" x14ac:dyDescent="0.25">
      <c r="A27" s="2"/>
      <c r="B27" s="2"/>
      <c r="C27" s="2"/>
      <c r="D27" s="2"/>
      <c r="F27" s="2"/>
      <c r="H27" s="1"/>
      <c r="I27" s="1"/>
      <c r="J27" s="1"/>
      <c r="K27" s="1"/>
    </row>
    <row r="28" spans="1:11" x14ac:dyDescent="0.25">
      <c r="A28" s="2"/>
      <c r="B28" s="2"/>
      <c r="C28" s="2"/>
      <c r="D28" s="2"/>
      <c r="F28" s="2"/>
      <c r="H28" s="1"/>
    </row>
    <row r="29" spans="1:11" x14ac:dyDescent="0.25">
      <c r="A29" s="2"/>
      <c r="B29" s="2"/>
      <c r="C29" s="2"/>
      <c r="D29" s="2"/>
      <c r="F29" s="2"/>
      <c r="H29" s="1"/>
    </row>
    <row r="30" spans="1:11" x14ac:dyDescent="0.25">
      <c r="A30" s="4"/>
      <c r="B30" s="4"/>
      <c r="C30" s="4"/>
    </row>
  </sheetData>
  <mergeCells count="5">
    <mergeCell ref="A1:H1"/>
    <mergeCell ref="D3:G3"/>
    <mergeCell ref="A9:H9"/>
    <mergeCell ref="D11:G11"/>
    <mergeCell ref="H19:H20"/>
  </mergeCells>
  <dataValidations count="1">
    <dataValidation type="list" allowBlank="1" showInputMessage="1" showErrorMessage="1" sqref="H5:H6 H13:H15">
      <formula1>$D$4:$G$4</formula1>
    </dataValidation>
  </dataValidations>
  <pageMargins left="0.7" right="0.7" top="0.75" bottom="0.75" header="0.3" footer="0.3"/>
  <pageSetup paperSize="9" orientation="landscape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zoomScale="85" zoomScaleNormal="85" workbookViewId="0">
      <selection activeCell="D21" sqref="D21"/>
    </sheetView>
  </sheetViews>
  <sheetFormatPr baseColWidth="10" defaultColWidth="9.140625" defaultRowHeight="15" outlineLevelRow="1" outlineLevelCol="1" x14ac:dyDescent="0.25"/>
  <cols>
    <col min="1" max="1" width="49.140625" style="1" customWidth="1"/>
    <col min="2" max="2" width="37.140625" style="1" customWidth="1"/>
    <col min="3" max="3" width="15.85546875" style="1" customWidth="1"/>
    <col min="4" max="4" width="29.140625" style="3" customWidth="1"/>
    <col min="5" max="5" width="27.28515625" style="2" customWidth="1"/>
    <col min="6" max="6" width="27.42578125" style="1" customWidth="1"/>
    <col min="7" max="7" width="45.42578125" style="1" customWidth="1"/>
    <col min="8" max="8" width="15.28515625" style="2" customWidth="1"/>
    <col min="9" max="9" width="25.7109375" style="2" customWidth="1" outlineLevel="1"/>
    <col min="10" max="10" width="37.42578125" style="2" customWidth="1"/>
    <col min="11" max="11" width="5.42578125" style="2" customWidth="1"/>
    <col min="12" max="18" width="5" style="1" customWidth="1"/>
    <col min="19" max="21" width="9.140625" style="1" hidden="1" customWidth="1"/>
    <col min="22" max="22" width="9.140625" style="1" customWidth="1"/>
    <col min="23" max="23" width="7.5703125" style="1" customWidth="1"/>
    <col min="24" max="24" width="8.140625" style="1" customWidth="1"/>
    <col min="25" max="16384" width="9.140625" style="1"/>
  </cols>
  <sheetData>
    <row r="1" spans="1:12" ht="23.25" x14ac:dyDescent="0.25">
      <c r="A1" s="31" t="s">
        <v>0</v>
      </c>
      <c r="B1" s="32"/>
      <c r="C1" s="32"/>
      <c r="D1" s="32"/>
      <c r="E1" s="32"/>
      <c r="F1" s="32"/>
      <c r="G1" s="32"/>
      <c r="H1" s="32"/>
    </row>
    <row r="2" spans="1:12" ht="40.9" customHeight="1" x14ac:dyDescent="0.25">
      <c r="A2" s="15"/>
      <c r="B2" s="15"/>
      <c r="C2" s="27"/>
      <c r="D2" s="27"/>
      <c r="E2" s="27"/>
      <c r="F2" s="27"/>
      <c r="G2" s="27"/>
      <c r="H2" s="27"/>
    </row>
    <row r="3" spans="1:12" ht="23.25" x14ac:dyDescent="0.25">
      <c r="A3" s="5"/>
      <c r="B3" s="5"/>
      <c r="C3" s="5"/>
      <c r="D3" s="30" t="s">
        <v>1</v>
      </c>
      <c r="E3" s="30"/>
      <c r="F3" s="30"/>
      <c r="G3" s="30"/>
    </row>
    <row r="4" spans="1:12" ht="15.75" x14ac:dyDescent="0.25">
      <c r="A4" s="9" t="s">
        <v>2</v>
      </c>
      <c r="B4" s="9" t="s">
        <v>3</v>
      </c>
      <c r="C4" s="9" t="s">
        <v>4</v>
      </c>
      <c r="D4" s="13" t="s">
        <v>5</v>
      </c>
      <c r="E4" s="10" t="s">
        <v>6</v>
      </c>
      <c r="F4" s="10" t="s">
        <v>7</v>
      </c>
      <c r="G4" s="10" t="s">
        <v>8</v>
      </c>
      <c r="H4" s="10" t="s">
        <v>9</v>
      </c>
      <c r="I4" s="11" t="s">
        <v>10</v>
      </c>
      <c r="J4" s="11" t="s">
        <v>11</v>
      </c>
      <c r="L4" s="2"/>
    </row>
    <row r="5" spans="1:12" ht="90" x14ac:dyDescent="0.25">
      <c r="A5" s="17" t="s">
        <v>12</v>
      </c>
      <c r="B5" s="28" t="s">
        <v>32</v>
      </c>
      <c r="C5" s="14">
        <v>0.2</v>
      </c>
      <c r="D5" s="12" t="s">
        <v>34</v>
      </c>
      <c r="E5" s="12" t="s">
        <v>35</v>
      </c>
      <c r="F5" s="12" t="s">
        <v>36</v>
      </c>
      <c r="G5" s="12" t="s">
        <v>37</v>
      </c>
      <c r="H5" s="21" t="s">
        <v>7</v>
      </c>
      <c r="I5" s="22">
        <f>IF(CODE(UPPER(Tableau146816[[#This Row],[Evaluation]]))&lt;67, 69-CODE(UPPER(Tableau146816[[#This Row],[Evaluation]])),68-CODE(UPPER(Tableau146816[[#This Row],[Evaluation]])))*Tableau146816[[#This Row],[Poids]]</f>
        <v>0.2</v>
      </c>
      <c r="J5" s="19"/>
      <c r="L5" s="2"/>
    </row>
    <row r="6" spans="1:12" ht="90" x14ac:dyDescent="0.25">
      <c r="A6" s="17" t="s">
        <v>29</v>
      </c>
      <c r="B6" s="28" t="s">
        <v>33</v>
      </c>
      <c r="C6" s="14">
        <v>0.2</v>
      </c>
      <c r="D6" s="12" t="s">
        <v>39</v>
      </c>
      <c r="E6" s="12" t="s">
        <v>41</v>
      </c>
      <c r="F6" s="12" t="s">
        <v>40</v>
      </c>
      <c r="G6" s="12" t="s">
        <v>38</v>
      </c>
      <c r="H6" s="21" t="s">
        <v>6</v>
      </c>
      <c r="I6" s="22">
        <f>IF(CODE(UPPER(Tableau146816[[#This Row],[Evaluation]]))&lt;67, 69-CODE(UPPER(Tableau146816[[#This Row],[Evaluation]])),68-CODE(UPPER(Tableau146816[[#This Row],[Evaluation]])))*Tableau146816[[#This Row],[Poids]]</f>
        <v>0.60000000000000009</v>
      </c>
      <c r="J6" s="19"/>
      <c r="L6" s="2"/>
    </row>
    <row r="7" spans="1:12" ht="21.75" hidden="1" customHeight="1" outlineLevel="1" thickBot="1" x14ac:dyDescent="0.3">
      <c r="A7" s="18"/>
      <c r="B7" s="5"/>
      <c r="C7" s="7">
        <f>SUM(Tableau146816[Poids])</f>
        <v>0.4</v>
      </c>
      <c r="E7" s="6"/>
      <c r="H7" s="8" t="str">
        <f>IF(Tableau146816[[#Totals],[Calcul Intermédiaire]]&gt;=3.6,"A",IF(Tableau146816[[#Totals],[Calcul Intermédiaire]]&gt;=2.6,"B", IF(Tableau146816[[#Totals],[Calcul Intermédiaire]]&gt;=1.6,"C","D")))</f>
        <v>D</v>
      </c>
      <c r="I7" s="21">
        <f>SUBTOTAL(109,Tableau146816[Calcul Intermédiaire])</f>
        <v>0.8</v>
      </c>
      <c r="J7" s="1"/>
      <c r="K7" s="1"/>
    </row>
    <row r="8" spans="1:12" ht="14.45" customHeight="1" collapsed="1" x14ac:dyDescent="0.25">
      <c r="A8" s="2"/>
      <c r="B8" s="2"/>
      <c r="C8" s="2"/>
      <c r="D8" s="2"/>
      <c r="F8" s="2"/>
      <c r="H8" s="1"/>
      <c r="I8" s="1"/>
      <c r="J8" s="1"/>
      <c r="K8" s="1"/>
    </row>
    <row r="9" spans="1:12" ht="27" customHeight="1" x14ac:dyDescent="0.25">
      <c r="A9" s="31" t="s">
        <v>14</v>
      </c>
      <c r="B9" s="32"/>
      <c r="C9" s="32"/>
      <c r="D9" s="32"/>
      <c r="E9" s="32"/>
      <c r="F9" s="32"/>
      <c r="G9" s="32"/>
      <c r="H9" s="32"/>
    </row>
    <row r="10" spans="1:12" ht="34.15" customHeight="1" x14ac:dyDescent="0.25">
      <c r="A10" s="15"/>
      <c r="B10" s="15"/>
      <c r="C10" s="27"/>
      <c r="D10" s="27"/>
      <c r="E10" s="27"/>
      <c r="F10" s="27"/>
      <c r="G10" s="27"/>
      <c r="H10" s="27"/>
    </row>
    <row r="11" spans="1:12" ht="15" customHeight="1" x14ac:dyDescent="0.25">
      <c r="A11" s="5"/>
      <c r="B11" s="5"/>
      <c r="C11" s="5"/>
      <c r="D11" s="30" t="s">
        <v>1</v>
      </c>
      <c r="E11" s="30"/>
      <c r="F11" s="30"/>
      <c r="G11" s="30"/>
    </row>
    <row r="12" spans="1:12" ht="15" customHeight="1" x14ac:dyDescent="0.25">
      <c r="A12" s="9" t="s">
        <v>2</v>
      </c>
      <c r="B12" s="9" t="s">
        <v>3</v>
      </c>
      <c r="C12" s="9" t="s">
        <v>4</v>
      </c>
      <c r="D12" s="13" t="s">
        <v>5</v>
      </c>
      <c r="E12" s="10" t="s">
        <v>6</v>
      </c>
      <c r="F12" s="10" t="s">
        <v>7</v>
      </c>
      <c r="G12" s="10" t="s">
        <v>8</v>
      </c>
      <c r="H12" s="10" t="s">
        <v>9</v>
      </c>
      <c r="I12" s="11" t="s">
        <v>10</v>
      </c>
      <c r="J12" s="11" t="s">
        <v>11</v>
      </c>
      <c r="L12" s="2"/>
    </row>
    <row r="13" spans="1:12" ht="39" customHeight="1" x14ac:dyDescent="0.25">
      <c r="A13" s="20" t="s">
        <v>17</v>
      </c>
      <c r="B13" s="28" t="s">
        <v>43</v>
      </c>
      <c r="C13" s="14">
        <v>0.2</v>
      </c>
      <c r="D13" s="24" t="s">
        <v>18</v>
      </c>
      <c r="E13" s="25" t="s">
        <v>42</v>
      </c>
      <c r="F13" s="26" t="s">
        <v>20</v>
      </c>
      <c r="G13" s="26" t="s">
        <v>19</v>
      </c>
      <c r="H13" s="8" t="s">
        <v>7</v>
      </c>
      <c r="I13" s="19">
        <f>IF(CODE(UPPER(Tableau257917[[#This Row],[Evaluation]]))&lt;67, 69-CODE(UPPER(Tableau257917[[#This Row],[Evaluation]])),68-CODE(UPPER(Tableau257917[[#This Row],[Evaluation]])))*Tableau257917[[#This Row],[Poids]]</f>
        <v>0.2</v>
      </c>
      <c r="J13" s="19"/>
      <c r="L13" s="2"/>
    </row>
    <row r="14" spans="1:12" ht="39" customHeight="1" x14ac:dyDescent="0.25">
      <c r="A14" s="20" t="s">
        <v>15</v>
      </c>
      <c r="B14" s="28" t="s">
        <v>30</v>
      </c>
      <c r="C14" s="14">
        <v>0.2</v>
      </c>
      <c r="D14" s="24" t="s">
        <v>23</v>
      </c>
      <c r="E14" s="25" t="s">
        <v>22</v>
      </c>
      <c r="F14" s="26" t="s">
        <v>21</v>
      </c>
      <c r="G14" s="26" t="s">
        <v>24</v>
      </c>
      <c r="H14" s="8" t="s">
        <v>5</v>
      </c>
      <c r="I14" s="19">
        <f>IF(CODE(UPPER(Tableau257917[[#This Row],[Evaluation]]))&lt;67, 69-CODE(UPPER(Tableau257917[[#This Row],[Evaluation]])),68-CODE(UPPER(Tableau257917[[#This Row],[Evaluation]])))*Tableau257917[[#This Row],[Poids]]</f>
        <v>0.8</v>
      </c>
      <c r="J14" s="19"/>
      <c r="L14" s="2"/>
    </row>
    <row r="15" spans="1:12" ht="39.75" customHeight="1" x14ac:dyDescent="0.25">
      <c r="A15" s="20" t="s">
        <v>16</v>
      </c>
      <c r="B15" s="28" t="s">
        <v>31</v>
      </c>
      <c r="C15" s="14">
        <v>0.2</v>
      </c>
      <c r="D15" s="24" t="s">
        <v>25</v>
      </c>
      <c r="E15" s="25" t="s">
        <v>26</v>
      </c>
      <c r="F15" s="26" t="s">
        <v>27</v>
      </c>
      <c r="G15" s="26" t="s">
        <v>28</v>
      </c>
      <c r="H15" s="8" t="s">
        <v>5</v>
      </c>
      <c r="I15" s="8">
        <f>IF(CODE(UPPER(Tableau257917[[#This Row],[Evaluation]]))&lt;67, 69-CODE(UPPER(Tableau257917[[#This Row],[Evaluation]])),68-CODE(UPPER(Tableau257917[[#This Row],[Evaluation]])))*Tableau257917[[#This Row],[Poids]]</f>
        <v>0.8</v>
      </c>
      <c r="J15" s="19"/>
      <c r="L15" s="2"/>
    </row>
    <row r="16" spans="1:12" ht="24" hidden="1" customHeight="1" outlineLevel="1" thickBot="1" x14ac:dyDescent="0.3">
      <c r="A16" s="18"/>
      <c r="B16" s="5"/>
      <c r="C16" s="7">
        <f>SUM(C5:C6,C13:C15)</f>
        <v>1</v>
      </c>
      <c r="E16" s="6"/>
      <c r="H16" s="8" t="str">
        <f>IF(Tableau257917[[#Totals],[Calcul Intermédiaire]]&gt;=3.6,"A",IF(Tableau257917[[#Totals],[Calcul Intermédiaire]]&gt;=2.6,"B", IF(Tableau257917[[#Totals],[Calcul Intermédiaire]]&gt;=1.6,"C","D")))</f>
        <v>C</v>
      </c>
      <c r="I16" s="8">
        <f>SUBTOTAL(109,Tableau257917[Calcul Intermédiaire])</f>
        <v>1.8</v>
      </c>
      <c r="J16" s="1"/>
      <c r="K16" s="1"/>
    </row>
    <row r="17" spans="1:11" ht="15" customHeight="1" collapsed="1" thickBot="1" x14ac:dyDescent="0.3">
      <c r="A17" s="2"/>
      <c r="B17" s="2"/>
      <c r="C17" s="2"/>
      <c r="D17" s="2"/>
      <c r="F17" s="2"/>
      <c r="H17" s="1"/>
      <c r="I17" s="1"/>
      <c r="J17" s="1"/>
      <c r="K17" s="1"/>
    </row>
    <row r="18" spans="1:11" ht="15" customHeight="1" thickBot="1" x14ac:dyDescent="0.3">
      <c r="A18" s="2"/>
      <c r="B18" s="2"/>
      <c r="C18" s="2"/>
      <c r="D18" s="2"/>
      <c r="F18" s="2"/>
      <c r="H18" s="1"/>
      <c r="I18" s="29">
        <f>Tableau257917[[#Totals],[Calcul Intermédiaire]]+Tableau146816[[#Totals],[Calcul Intermédiaire]]</f>
        <v>2.6</v>
      </c>
      <c r="J18" s="1"/>
      <c r="K18" s="1"/>
    </row>
    <row r="19" spans="1:11" ht="15.75" customHeight="1" x14ac:dyDescent="0.25">
      <c r="A19" s="2"/>
      <c r="B19" s="2"/>
      <c r="C19" s="2"/>
      <c r="D19" s="2"/>
      <c r="F19" s="2"/>
      <c r="G19" s="16" t="s">
        <v>13</v>
      </c>
      <c r="H19" s="33" t="str">
        <f>IF(I18&gt;=3.6,"A",IF(I18&gt;=2.6,"B", IF(I18&gt;=1.6,"C","D")))</f>
        <v>B</v>
      </c>
      <c r="I19" s="1"/>
      <c r="J19" s="1"/>
      <c r="K19" s="1"/>
    </row>
    <row r="20" spans="1:11" ht="15" customHeight="1" thickBot="1" x14ac:dyDescent="0.3">
      <c r="A20" s="2"/>
      <c r="B20" s="2"/>
      <c r="C20" s="2"/>
      <c r="D20" s="2"/>
      <c r="F20" s="2"/>
      <c r="H20" s="34"/>
      <c r="I20" s="1"/>
      <c r="J20" s="1"/>
      <c r="K20" s="1"/>
    </row>
    <row r="21" spans="1:11" x14ac:dyDescent="0.25">
      <c r="A21" s="2"/>
      <c r="B21" s="2"/>
      <c r="C21" s="2"/>
      <c r="D21" s="2"/>
      <c r="F21" s="2"/>
      <c r="H21" s="1"/>
      <c r="I21" s="1"/>
      <c r="J21" s="1"/>
      <c r="K21" s="1"/>
    </row>
    <row r="22" spans="1:11" x14ac:dyDescent="0.25">
      <c r="A22" s="2"/>
      <c r="B22" s="2"/>
      <c r="C22" s="2"/>
      <c r="D22" s="2"/>
      <c r="F22" s="2"/>
      <c r="H22" s="1"/>
      <c r="I22" s="1"/>
      <c r="J22" s="1"/>
      <c r="K22" s="1"/>
    </row>
    <row r="23" spans="1:11" x14ac:dyDescent="0.25">
      <c r="A23" s="2"/>
      <c r="B23" s="2"/>
      <c r="C23" s="2"/>
      <c r="D23" s="2"/>
      <c r="F23" s="2"/>
      <c r="H23" s="1"/>
      <c r="I23" s="1"/>
      <c r="J23" s="1"/>
      <c r="K23" s="1"/>
    </row>
    <row r="24" spans="1:11" x14ac:dyDescent="0.25">
      <c r="A24" s="2"/>
      <c r="B24" s="2"/>
      <c r="C24" s="2"/>
      <c r="D24" s="2"/>
      <c r="F24" s="2"/>
      <c r="H24" s="1"/>
      <c r="I24" s="1"/>
      <c r="J24" s="1"/>
      <c r="K24" s="1"/>
    </row>
    <row r="25" spans="1:11" x14ac:dyDescent="0.25">
      <c r="A25" s="2"/>
      <c r="B25" s="2"/>
      <c r="C25" s="2"/>
      <c r="D25" s="2"/>
      <c r="F25" s="2"/>
      <c r="H25" s="1"/>
      <c r="I25" s="1"/>
      <c r="J25" s="1"/>
      <c r="K25" s="1"/>
    </row>
    <row r="26" spans="1:11" x14ac:dyDescent="0.25">
      <c r="A26" s="2"/>
      <c r="B26" s="2"/>
      <c r="C26" s="2"/>
      <c r="D26" s="2"/>
      <c r="F26" s="2"/>
      <c r="H26" s="1"/>
      <c r="I26" s="1"/>
      <c r="J26" s="1"/>
      <c r="K26" s="1"/>
    </row>
    <row r="27" spans="1:11" x14ac:dyDescent="0.25">
      <c r="A27" s="2"/>
      <c r="B27" s="2"/>
      <c r="C27" s="2"/>
      <c r="D27" s="2"/>
      <c r="F27" s="2"/>
      <c r="H27" s="1"/>
      <c r="I27" s="1"/>
      <c r="J27" s="1"/>
      <c r="K27" s="1"/>
    </row>
    <row r="28" spans="1:11" x14ac:dyDescent="0.25">
      <c r="A28" s="2"/>
      <c r="B28" s="2"/>
      <c r="C28" s="2"/>
      <c r="D28" s="2"/>
      <c r="F28" s="2"/>
      <c r="H28" s="1"/>
    </row>
    <row r="29" spans="1:11" x14ac:dyDescent="0.25">
      <c r="A29" s="2"/>
      <c r="B29" s="2"/>
      <c r="C29" s="2"/>
      <c r="D29" s="2"/>
      <c r="F29" s="2"/>
      <c r="H29" s="1"/>
    </row>
    <row r="30" spans="1:11" x14ac:dyDescent="0.25">
      <c r="A30" s="4"/>
      <c r="B30" s="4"/>
      <c r="C30" s="4"/>
    </row>
  </sheetData>
  <mergeCells count="5">
    <mergeCell ref="A1:H1"/>
    <mergeCell ref="D3:G3"/>
    <mergeCell ref="A9:H9"/>
    <mergeCell ref="D11:G11"/>
    <mergeCell ref="H19:H20"/>
  </mergeCells>
  <dataValidations count="1">
    <dataValidation type="list" allowBlank="1" showInputMessage="1" showErrorMessage="1" sqref="H5:H6 H13:H15">
      <formula1>$D$4:$G$4</formula1>
    </dataValidation>
  </dataValidations>
  <pageMargins left="0.7" right="0.7" top="0.75" bottom="0.75" header="0.3" footer="0.3"/>
  <pageSetup paperSize="9" orientation="landscape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zoomScale="85" zoomScaleNormal="85" workbookViewId="0">
      <selection activeCell="D21" sqref="D21"/>
    </sheetView>
  </sheetViews>
  <sheetFormatPr baseColWidth="10" defaultColWidth="9.140625" defaultRowHeight="15" outlineLevelRow="1" outlineLevelCol="1" x14ac:dyDescent="0.25"/>
  <cols>
    <col min="1" max="1" width="49.140625" style="1" customWidth="1"/>
    <col min="2" max="2" width="37.140625" style="1" customWidth="1"/>
    <col min="3" max="3" width="15.85546875" style="1" customWidth="1"/>
    <col min="4" max="4" width="29.140625" style="3" customWidth="1"/>
    <col min="5" max="5" width="27.28515625" style="2" customWidth="1"/>
    <col min="6" max="6" width="27.42578125" style="1" customWidth="1"/>
    <col min="7" max="7" width="45.42578125" style="1" customWidth="1"/>
    <col min="8" max="8" width="15.28515625" style="2" customWidth="1"/>
    <col min="9" max="9" width="25.7109375" style="2" customWidth="1" outlineLevel="1"/>
    <col min="10" max="10" width="37.42578125" style="2" customWidth="1"/>
    <col min="11" max="11" width="5.42578125" style="2" customWidth="1"/>
    <col min="12" max="18" width="5" style="1" customWidth="1"/>
    <col min="19" max="21" width="9.140625" style="1" hidden="1" customWidth="1"/>
    <col min="22" max="22" width="9.140625" style="1" customWidth="1"/>
    <col min="23" max="23" width="7.5703125" style="1" customWidth="1"/>
    <col min="24" max="24" width="8.140625" style="1" customWidth="1"/>
    <col min="25" max="16384" width="9.140625" style="1"/>
  </cols>
  <sheetData>
    <row r="1" spans="1:12" ht="23.25" x14ac:dyDescent="0.25">
      <c r="A1" s="31" t="s">
        <v>0</v>
      </c>
      <c r="B1" s="32"/>
      <c r="C1" s="32"/>
      <c r="D1" s="32"/>
      <c r="E1" s="32"/>
      <c r="F1" s="32"/>
      <c r="G1" s="32"/>
      <c r="H1" s="32"/>
    </row>
    <row r="2" spans="1:12" ht="40.9" customHeight="1" x14ac:dyDescent="0.25">
      <c r="A2" s="15"/>
      <c r="B2" s="15"/>
      <c r="C2" s="27"/>
      <c r="D2" s="27"/>
      <c r="E2" s="27"/>
      <c r="F2" s="27"/>
      <c r="G2" s="27"/>
      <c r="H2" s="27"/>
    </row>
    <row r="3" spans="1:12" ht="23.25" x14ac:dyDescent="0.25">
      <c r="A3" s="5"/>
      <c r="B3" s="5"/>
      <c r="C3" s="5"/>
      <c r="D3" s="30" t="s">
        <v>1</v>
      </c>
      <c r="E3" s="30"/>
      <c r="F3" s="30"/>
      <c r="G3" s="30"/>
    </row>
    <row r="4" spans="1:12" ht="15.75" x14ac:dyDescent="0.25">
      <c r="A4" s="9" t="s">
        <v>2</v>
      </c>
      <c r="B4" s="9" t="s">
        <v>3</v>
      </c>
      <c r="C4" s="9" t="s">
        <v>4</v>
      </c>
      <c r="D4" s="13" t="s">
        <v>5</v>
      </c>
      <c r="E4" s="10" t="s">
        <v>6</v>
      </c>
      <c r="F4" s="10" t="s">
        <v>7</v>
      </c>
      <c r="G4" s="10" t="s">
        <v>8</v>
      </c>
      <c r="H4" s="10" t="s">
        <v>9</v>
      </c>
      <c r="I4" s="11" t="s">
        <v>10</v>
      </c>
      <c r="J4" s="11" t="s">
        <v>11</v>
      </c>
      <c r="L4" s="2"/>
    </row>
    <row r="5" spans="1:12" ht="90" x14ac:dyDescent="0.25">
      <c r="A5" s="17" t="s">
        <v>12</v>
      </c>
      <c r="B5" s="28" t="s">
        <v>32</v>
      </c>
      <c r="C5" s="14">
        <v>0.2</v>
      </c>
      <c r="D5" s="12" t="s">
        <v>34</v>
      </c>
      <c r="E5" s="12" t="s">
        <v>35</v>
      </c>
      <c r="F5" s="12" t="s">
        <v>36</v>
      </c>
      <c r="G5" s="12" t="s">
        <v>37</v>
      </c>
      <c r="H5" s="21" t="s">
        <v>7</v>
      </c>
      <c r="I5" s="22">
        <f>IF(CODE(UPPER(Tableau146812[[#This Row],[Evaluation]]))&lt;67, 69-CODE(UPPER(Tableau146812[[#This Row],[Evaluation]])),68-CODE(UPPER(Tableau146812[[#This Row],[Evaluation]])))*Tableau146812[[#This Row],[Poids]]</f>
        <v>0.2</v>
      </c>
      <c r="J5" s="19"/>
      <c r="L5" s="2"/>
    </row>
    <row r="6" spans="1:12" ht="90" x14ac:dyDescent="0.25">
      <c r="A6" s="17" t="s">
        <v>29</v>
      </c>
      <c r="B6" s="28" t="s">
        <v>33</v>
      </c>
      <c r="C6" s="14">
        <v>0.2</v>
      </c>
      <c r="D6" s="12" t="s">
        <v>39</v>
      </c>
      <c r="E6" s="12" t="s">
        <v>41</v>
      </c>
      <c r="F6" s="12" t="s">
        <v>40</v>
      </c>
      <c r="G6" s="12" t="s">
        <v>38</v>
      </c>
      <c r="H6" s="21" t="s">
        <v>6</v>
      </c>
      <c r="I6" s="22">
        <f>IF(CODE(UPPER(Tableau146812[[#This Row],[Evaluation]]))&lt;67, 69-CODE(UPPER(Tableau146812[[#This Row],[Evaluation]])),68-CODE(UPPER(Tableau146812[[#This Row],[Evaluation]])))*Tableau146812[[#This Row],[Poids]]</f>
        <v>0.60000000000000009</v>
      </c>
      <c r="J6" s="19"/>
      <c r="L6" s="2"/>
    </row>
    <row r="7" spans="1:12" ht="21.75" hidden="1" customHeight="1" outlineLevel="1" thickBot="1" x14ac:dyDescent="0.3">
      <c r="A7" s="18"/>
      <c r="B7" s="5"/>
      <c r="C7" s="7">
        <f>SUM(Tableau146812[Poids])</f>
        <v>0.4</v>
      </c>
      <c r="E7" s="6"/>
      <c r="H7" s="8" t="str">
        <f>IF(Tableau146812[[#Totals],[Calcul Intermédiaire]]&gt;=3.6,"A",IF(Tableau146812[[#Totals],[Calcul Intermédiaire]]&gt;=2.6,"B", IF(Tableau146812[[#Totals],[Calcul Intermédiaire]]&gt;=1.6,"C","D")))</f>
        <v>D</v>
      </c>
      <c r="I7" s="21">
        <f>SUBTOTAL(109,Tableau146812[Calcul Intermédiaire])</f>
        <v>0.8</v>
      </c>
      <c r="J7" s="1"/>
      <c r="K7" s="1"/>
    </row>
    <row r="8" spans="1:12" ht="14.45" customHeight="1" collapsed="1" x14ac:dyDescent="0.25">
      <c r="A8" s="2"/>
      <c r="B8" s="2"/>
      <c r="C8" s="2"/>
      <c r="D8" s="2"/>
      <c r="F8" s="2"/>
      <c r="H8" s="1"/>
      <c r="I8" s="1"/>
      <c r="J8" s="1"/>
      <c r="K8" s="1"/>
    </row>
    <row r="9" spans="1:12" ht="27" customHeight="1" x14ac:dyDescent="0.25">
      <c r="A9" s="31" t="s">
        <v>14</v>
      </c>
      <c r="B9" s="32"/>
      <c r="C9" s="32"/>
      <c r="D9" s="32"/>
      <c r="E9" s="32"/>
      <c r="F9" s="32"/>
      <c r="G9" s="32"/>
      <c r="H9" s="32"/>
    </row>
    <row r="10" spans="1:12" ht="34.15" customHeight="1" x14ac:dyDescent="0.25">
      <c r="A10" s="15"/>
      <c r="B10" s="15"/>
      <c r="C10" s="27"/>
      <c r="D10" s="27"/>
      <c r="E10" s="27"/>
      <c r="F10" s="27"/>
      <c r="G10" s="27"/>
      <c r="H10" s="27"/>
    </row>
    <row r="11" spans="1:12" ht="15" customHeight="1" x14ac:dyDescent="0.25">
      <c r="A11" s="5"/>
      <c r="B11" s="5"/>
      <c r="C11" s="5"/>
      <c r="D11" s="30" t="s">
        <v>1</v>
      </c>
      <c r="E11" s="30"/>
      <c r="F11" s="30"/>
      <c r="G11" s="30"/>
    </row>
    <row r="12" spans="1:12" ht="15" customHeight="1" x14ac:dyDescent="0.25">
      <c r="A12" s="9" t="s">
        <v>2</v>
      </c>
      <c r="B12" s="9" t="s">
        <v>3</v>
      </c>
      <c r="C12" s="9" t="s">
        <v>4</v>
      </c>
      <c r="D12" s="13" t="s">
        <v>5</v>
      </c>
      <c r="E12" s="10" t="s">
        <v>6</v>
      </c>
      <c r="F12" s="10" t="s">
        <v>7</v>
      </c>
      <c r="G12" s="10" t="s">
        <v>8</v>
      </c>
      <c r="H12" s="10" t="s">
        <v>9</v>
      </c>
      <c r="I12" s="11" t="s">
        <v>10</v>
      </c>
      <c r="J12" s="11" t="s">
        <v>11</v>
      </c>
      <c r="L12" s="2"/>
    </row>
    <row r="13" spans="1:12" ht="39" customHeight="1" x14ac:dyDescent="0.25">
      <c r="A13" s="20" t="s">
        <v>17</v>
      </c>
      <c r="B13" s="28" t="s">
        <v>43</v>
      </c>
      <c r="C13" s="14">
        <v>0.2</v>
      </c>
      <c r="D13" s="24" t="s">
        <v>18</v>
      </c>
      <c r="E13" s="25" t="s">
        <v>42</v>
      </c>
      <c r="F13" s="26" t="s">
        <v>20</v>
      </c>
      <c r="G13" s="26" t="s">
        <v>19</v>
      </c>
      <c r="H13" s="8" t="s">
        <v>7</v>
      </c>
      <c r="I13" s="19">
        <f>IF(CODE(UPPER(Tableau257913[[#This Row],[Evaluation]]))&lt;67, 69-CODE(UPPER(Tableau257913[[#This Row],[Evaluation]])),68-CODE(UPPER(Tableau257913[[#This Row],[Evaluation]])))*Tableau257913[[#This Row],[Poids]]</f>
        <v>0.2</v>
      </c>
      <c r="J13" s="19"/>
      <c r="L13" s="2"/>
    </row>
    <row r="14" spans="1:12" ht="39" customHeight="1" x14ac:dyDescent="0.25">
      <c r="A14" s="20" t="s">
        <v>15</v>
      </c>
      <c r="B14" s="28" t="s">
        <v>30</v>
      </c>
      <c r="C14" s="14">
        <v>0.2</v>
      </c>
      <c r="D14" s="24" t="s">
        <v>23</v>
      </c>
      <c r="E14" s="25" t="s">
        <v>22</v>
      </c>
      <c r="F14" s="26" t="s">
        <v>21</v>
      </c>
      <c r="G14" s="26" t="s">
        <v>24</v>
      </c>
      <c r="H14" s="8" t="s">
        <v>5</v>
      </c>
      <c r="I14" s="19">
        <f>IF(CODE(UPPER(Tableau257913[[#This Row],[Evaluation]]))&lt;67, 69-CODE(UPPER(Tableau257913[[#This Row],[Evaluation]])),68-CODE(UPPER(Tableau257913[[#This Row],[Evaluation]])))*Tableau257913[[#This Row],[Poids]]</f>
        <v>0.8</v>
      </c>
      <c r="J14" s="19"/>
      <c r="L14" s="2"/>
    </row>
    <row r="15" spans="1:12" ht="39.75" customHeight="1" x14ac:dyDescent="0.25">
      <c r="A15" s="20" t="s">
        <v>16</v>
      </c>
      <c r="B15" s="28" t="s">
        <v>31</v>
      </c>
      <c r="C15" s="14">
        <v>0.2</v>
      </c>
      <c r="D15" s="24" t="s">
        <v>25</v>
      </c>
      <c r="E15" s="25" t="s">
        <v>26</v>
      </c>
      <c r="F15" s="26" t="s">
        <v>27</v>
      </c>
      <c r="G15" s="26" t="s">
        <v>28</v>
      </c>
      <c r="H15" s="8" t="s">
        <v>5</v>
      </c>
      <c r="I15" s="8">
        <f>IF(CODE(UPPER(Tableau257913[[#This Row],[Evaluation]]))&lt;67, 69-CODE(UPPER(Tableau257913[[#This Row],[Evaluation]])),68-CODE(UPPER(Tableau257913[[#This Row],[Evaluation]])))*Tableau257913[[#This Row],[Poids]]</f>
        <v>0.8</v>
      </c>
      <c r="J15" s="19"/>
      <c r="L15" s="2"/>
    </row>
    <row r="16" spans="1:12" ht="24" hidden="1" customHeight="1" outlineLevel="1" thickBot="1" x14ac:dyDescent="0.3">
      <c r="A16" s="18"/>
      <c r="B16" s="5"/>
      <c r="C16" s="7">
        <f>SUM(C5:C6,C13:C15)</f>
        <v>1</v>
      </c>
      <c r="E16" s="6"/>
      <c r="H16" s="8" t="str">
        <f>IF(Tableau257913[[#Totals],[Calcul Intermédiaire]]&gt;=3.6,"A",IF(Tableau257913[[#Totals],[Calcul Intermédiaire]]&gt;=2.6,"B", IF(Tableau257913[[#Totals],[Calcul Intermédiaire]]&gt;=1.6,"C","D")))</f>
        <v>C</v>
      </c>
      <c r="I16" s="8">
        <f>SUBTOTAL(109,Tableau257913[Calcul Intermédiaire])</f>
        <v>1.8</v>
      </c>
      <c r="J16" s="1"/>
      <c r="K16" s="1"/>
    </row>
    <row r="17" spans="1:11" ht="15" customHeight="1" collapsed="1" thickBot="1" x14ac:dyDescent="0.3">
      <c r="A17" s="2"/>
      <c r="B17" s="2"/>
      <c r="C17" s="2"/>
      <c r="D17" s="2"/>
      <c r="F17" s="2"/>
      <c r="H17" s="1"/>
      <c r="I17" s="1"/>
      <c r="J17" s="1"/>
      <c r="K17" s="1"/>
    </row>
    <row r="18" spans="1:11" ht="15" customHeight="1" thickBot="1" x14ac:dyDescent="0.3">
      <c r="A18" s="2"/>
      <c r="B18" s="2"/>
      <c r="C18" s="2"/>
      <c r="D18" s="2"/>
      <c r="F18" s="2"/>
      <c r="H18" s="1"/>
      <c r="I18" s="29">
        <f>Tableau257913[[#Totals],[Calcul Intermédiaire]]+Tableau146812[[#Totals],[Calcul Intermédiaire]]</f>
        <v>2.6</v>
      </c>
      <c r="J18" s="1"/>
      <c r="K18" s="1"/>
    </row>
    <row r="19" spans="1:11" ht="15.75" customHeight="1" x14ac:dyDescent="0.25">
      <c r="A19" s="2"/>
      <c r="B19" s="2"/>
      <c r="C19" s="2"/>
      <c r="D19" s="2"/>
      <c r="F19" s="2"/>
      <c r="G19" s="16" t="s">
        <v>13</v>
      </c>
      <c r="H19" s="33" t="str">
        <f>IF(I18&gt;=3.6,"A",IF(I18&gt;=2.6,"B", IF(I18&gt;=1.6,"C","D")))</f>
        <v>B</v>
      </c>
      <c r="I19" s="1"/>
      <c r="J19" s="1"/>
      <c r="K19" s="1"/>
    </row>
    <row r="20" spans="1:11" ht="15" customHeight="1" thickBot="1" x14ac:dyDescent="0.3">
      <c r="A20" s="2"/>
      <c r="B20" s="2"/>
      <c r="C20" s="2"/>
      <c r="D20" s="2"/>
      <c r="F20" s="2"/>
      <c r="H20" s="34"/>
      <c r="I20" s="1"/>
      <c r="J20" s="1"/>
      <c r="K20" s="1"/>
    </row>
    <row r="21" spans="1:11" x14ac:dyDescent="0.25">
      <c r="A21" s="2"/>
      <c r="B21" s="2"/>
      <c r="C21" s="2"/>
      <c r="D21" s="2"/>
      <c r="F21" s="2"/>
      <c r="H21" s="1"/>
      <c r="I21" s="1"/>
      <c r="J21" s="1"/>
      <c r="K21" s="1"/>
    </row>
    <row r="22" spans="1:11" x14ac:dyDescent="0.25">
      <c r="A22" s="2"/>
      <c r="B22" s="2"/>
      <c r="C22" s="2"/>
      <c r="D22" s="2"/>
      <c r="F22" s="2"/>
      <c r="H22" s="1"/>
      <c r="I22" s="1"/>
      <c r="J22" s="1"/>
      <c r="K22" s="1"/>
    </row>
    <row r="23" spans="1:11" x14ac:dyDescent="0.25">
      <c r="A23" s="2"/>
      <c r="B23" s="2"/>
      <c r="C23" s="2"/>
      <c r="D23" s="2"/>
      <c r="F23" s="2"/>
      <c r="H23" s="1"/>
      <c r="I23" s="1"/>
      <c r="J23" s="1"/>
      <c r="K23" s="1"/>
    </row>
    <row r="24" spans="1:11" x14ac:dyDescent="0.25">
      <c r="A24" s="2"/>
      <c r="B24" s="2"/>
      <c r="C24" s="2"/>
      <c r="D24" s="2"/>
      <c r="F24" s="2"/>
      <c r="H24" s="1"/>
      <c r="I24" s="1"/>
      <c r="J24" s="1"/>
      <c r="K24" s="1"/>
    </row>
    <row r="25" spans="1:11" x14ac:dyDescent="0.25">
      <c r="A25" s="2"/>
      <c r="B25" s="2"/>
      <c r="C25" s="2"/>
      <c r="D25" s="2"/>
      <c r="F25" s="2"/>
      <c r="H25" s="1"/>
      <c r="I25" s="1"/>
      <c r="J25" s="1"/>
      <c r="K25" s="1"/>
    </row>
    <row r="26" spans="1:11" x14ac:dyDescent="0.25">
      <c r="A26" s="2"/>
      <c r="B26" s="2"/>
      <c r="C26" s="2"/>
      <c r="D26" s="2"/>
      <c r="F26" s="2"/>
      <c r="H26" s="1"/>
      <c r="I26" s="1"/>
      <c r="J26" s="1"/>
      <c r="K26" s="1"/>
    </row>
    <row r="27" spans="1:11" x14ac:dyDescent="0.25">
      <c r="A27" s="2"/>
      <c r="B27" s="2"/>
      <c r="C27" s="2"/>
      <c r="D27" s="2"/>
      <c r="F27" s="2"/>
      <c r="H27" s="1"/>
      <c r="I27" s="1"/>
      <c r="J27" s="1"/>
      <c r="K27" s="1"/>
    </row>
    <row r="28" spans="1:11" x14ac:dyDescent="0.25">
      <c r="A28" s="2"/>
      <c r="B28" s="2"/>
      <c r="C28" s="2"/>
      <c r="D28" s="2"/>
      <c r="F28" s="2"/>
      <c r="H28" s="1"/>
    </row>
    <row r="29" spans="1:11" x14ac:dyDescent="0.25">
      <c r="A29" s="2"/>
      <c r="B29" s="2"/>
      <c r="C29" s="2"/>
      <c r="D29" s="2"/>
      <c r="F29" s="2"/>
      <c r="H29" s="1"/>
    </row>
    <row r="30" spans="1:11" x14ac:dyDescent="0.25">
      <c r="A30" s="4"/>
      <c r="B30" s="4"/>
      <c r="C30" s="4"/>
    </row>
  </sheetData>
  <mergeCells count="5">
    <mergeCell ref="A1:H1"/>
    <mergeCell ref="D3:G3"/>
    <mergeCell ref="A9:H9"/>
    <mergeCell ref="D11:G11"/>
    <mergeCell ref="H19:H20"/>
  </mergeCells>
  <dataValidations count="1">
    <dataValidation type="list" allowBlank="1" showInputMessage="1" showErrorMessage="1" sqref="H5:H6 H13:H15">
      <formula1>$D$4:$G$4</formula1>
    </dataValidation>
  </dataValidations>
  <pageMargins left="0.7" right="0.7" top="0.75" bottom="0.75" header="0.3" footer="0.3"/>
  <pageSetup paperSize="9" orientation="landscape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zoomScale="85" zoomScaleNormal="85" workbookViewId="0">
      <selection activeCell="D21" sqref="D21"/>
    </sheetView>
  </sheetViews>
  <sheetFormatPr baseColWidth="10" defaultColWidth="9.140625" defaultRowHeight="15" outlineLevelRow="1" outlineLevelCol="1" x14ac:dyDescent="0.25"/>
  <cols>
    <col min="1" max="1" width="49.140625" style="1" customWidth="1"/>
    <col min="2" max="2" width="37.140625" style="1" customWidth="1"/>
    <col min="3" max="3" width="15.85546875" style="1" customWidth="1"/>
    <col min="4" max="4" width="29.140625" style="3" customWidth="1"/>
    <col min="5" max="5" width="27.28515625" style="2" customWidth="1"/>
    <col min="6" max="6" width="27.42578125" style="1" customWidth="1"/>
    <col min="7" max="7" width="45.42578125" style="1" customWidth="1"/>
    <col min="8" max="8" width="15.28515625" style="2" customWidth="1"/>
    <col min="9" max="9" width="25.7109375" style="2" customWidth="1" outlineLevel="1"/>
    <col min="10" max="10" width="37.42578125" style="2" customWidth="1"/>
    <col min="11" max="11" width="5.42578125" style="2" customWidth="1"/>
    <col min="12" max="18" width="5" style="1" customWidth="1"/>
    <col min="19" max="21" width="9.140625" style="1" hidden="1" customWidth="1"/>
    <col min="22" max="22" width="9.140625" style="1" customWidth="1"/>
    <col min="23" max="23" width="7.5703125" style="1" customWidth="1"/>
    <col min="24" max="24" width="8.140625" style="1" customWidth="1"/>
    <col min="25" max="16384" width="9.140625" style="1"/>
  </cols>
  <sheetData>
    <row r="1" spans="1:12" ht="23.25" x14ac:dyDescent="0.25">
      <c r="A1" s="31" t="s">
        <v>0</v>
      </c>
      <c r="B1" s="32"/>
      <c r="C1" s="32"/>
      <c r="D1" s="32"/>
      <c r="E1" s="32"/>
      <c r="F1" s="32"/>
      <c r="G1" s="32"/>
      <c r="H1" s="32"/>
    </row>
    <row r="2" spans="1:12" ht="40.9" customHeight="1" x14ac:dyDescent="0.25">
      <c r="A2" s="15"/>
      <c r="B2" s="15"/>
      <c r="C2" s="27"/>
      <c r="D2" s="27"/>
      <c r="E2" s="27"/>
      <c r="F2" s="27"/>
      <c r="G2" s="27"/>
      <c r="H2" s="27"/>
    </row>
    <row r="3" spans="1:12" ht="23.25" x14ac:dyDescent="0.25">
      <c r="A3" s="5"/>
      <c r="B3" s="5"/>
      <c r="C3" s="5"/>
      <c r="D3" s="30" t="s">
        <v>1</v>
      </c>
      <c r="E3" s="30"/>
      <c r="F3" s="30"/>
      <c r="G3" s="30"/>
    </row>
    <row r="4" spans="1:12" ht="15.75" x14ac:dyDescent="0.25">
      <c r="A4" s="9" t="s">
        <v>2</v>
      </c>
      <c r="B4" s="9" t="s">
        <v>3</v>
      </c>
      <c r="C4" s="9" t="s">
        <v>4</v>
      </c>
      <c r="D4" s="13" t="s">
        <v>5</v>
      </c>
      <c r="E4" s="10" t="s">
        <v>6</v>
      </c>
      <c r="F4" s="10" t="s">
        <v>7</v>
      </c>
      <c r="G4" s="10" t="s">
        <v>8</v>
      </c>
      <c r="H4" s="10" t="s">
        <v>9</v>
      </c>
      <c r="I4" s="11" t="s">
        <v>10</v>
      </c>
      <c r="J4" s="11" t="s">
        <v>11</v>
      </c>
      <c r="L4" s="2"/>
    </row>
    <row r="5" spans="1:12" ht="90" x14ac:dyDescent="0.25">
      <c r="A5" s="17" t="s">
        <v>12</v>
      </c>
      <c r="B5" s="28" t="s">
        <v>32</v>
      </c>
      <c r="C5" s="14">
        <v>0.2</v>
      </c>
      <c r="D5" s="12" t="s">
        <v>34</v>
      </c>
      <c r="E5" s="12" t="s">
        <v>35</v>
      </c>
      <c r="F5" s="12" t="s">
        <v>36</v>
      </c>
      <c r="G5" s="12" t="s">
        <v>37</v>
      </c>
      <c r="H5" s="21" t="s">
        <v>7</v>
      </c>
      <c r="I5" s="22">
        <f>IF(CODE(UPPER(Tableau146810[[#This Row],[Evaluation]]))&lt;67, 69-CODE(UPPER(Tableau146810[[#This Row],[Evaluation]])),68-CODE(UPPER(Tableau146810[[#This Row],[Evaluation]])))*Tableau146810[[#This Row],[Poids]]</f>
        <v>0.2</v>
      </c>
      <c r="J5" s="19"/>
      <c r="L5" s="2"/>
    </row>
    <row r="6" spans="1:12" ht="90" x14ac:dyDescent="0.25">
      <c r="A6" s="17" t="s">
        <v>29</v>
      </c>
      <c r="B6" s="28" t="s">
        <v>33</v>
      </c>
      <c r="C6" s="14">
        <v>0.2</v>
      </c>
      <c r="D6" s="12" t="s">
        <v>39</v>
      </c>
      <c r="E6" s="12" t="s">
        <v>41</v>
      </c>
      <c r="F6" s="12" t="s">
        <v>40</v>
      </c>
      <c r="G6" s="12" t="s">
        <v>38</v>
      </c>
      <c r="H6" s="21" t="s">
        <v>6</v>
      </c>
      <c r="I6" s="22">
        <f>IF(CODE(UPPER(Tableau146810[[#This Row],[Evaluation]]))&lt;67, 69-CODE(UPPER(Tableau146810[[#This Row],[Evaluation]])),68-CODE(UPPER(Tableau146810[[#This Row],[Evaluation]])))*Tableau146810[[#This Row],[Poids]]</f>
        <v>0.60000000000000009</v>
      </c>
      <c r="J6" s="19"/>
      <c r="L6" s="2"/>
    </row>
    <row r="7" spans="1:12" ht="21.75" hidden="1" customHeight="1" outlineLevel="1" thickBot="1" x14ac:dyDescent="0.3">
      <c r="A7" s="18"/>
      <c r="B7" s="5"/>
      <c r="C7" s="7">
        <f>SUM(Tableau146810[Poids])</f>
        <v>0.4</v>
      </c>
      <c r="E7" s="6"/>
      <c r="H7" s="8" t="str">
        <f>IF(Tableau146810[[#Totals],[Calcul Intermédiaire]]&gt;=3.6,"A",IF(Tableau146810[[#Totals],[Calcul Intermédiaire]]&gt;=2.6,"B", IF(Tableau146810[[#Totals],[Calcul Intermédiaire]]&gt;=1.6,"C","D")))</f>
        <v>D</v>
      </c>
      <c r="I7" s="21">
        <f>SUBTOTAL(109,Tableau146810[Calcul Intermédiaire])</f>
        <v>0.8</v>
      </c>
      <c r="J7" s="1"/>
      <c r="K7" s="1"/>
    </row>
    <row r="8" spans="1:12" ht="14.45" customHeight="1" collapsed="1" x14ac:dyDescent="0.25">
      <c r="A8" s="2"/>
      <c r="B8" s="2"/>
      <c r="C8" s="2"/>
      <c r="D8" s="2"/>
      <c r="F8" s="2"/>
      <c r="H8" s="1"/>
      <c r="I8" s="1"/>
      <c r="J8" s="1"/>
      <c r="K8" s="1"/>
    </row>
    <row r="9" spans="1:12" ht="27" customHeight="1" x14ac:dyDescent="0.25">
      <c r="A9" s="31" t="s">
        <v>14</v>
      </c>
      <c r="B9" s="32"/>
      <c r="C9" s="32"/>
      <c r="D9" s="32"/>
      <c r="E9" s="32"/>
      <c r="F9" s="32"/>
      <c r="G9" s="32"/>
      <c r="H9" s="32"/>
    </row>
    <row r="10" spans="1:12" ht="34.15" customHeight="1" x14ac:dyDescent="0.25">
      <c r="A10" s="15"/>
      <c r="B10" s="15"/>
      <c r="C10" s="27"/>
      <c r="D10" s="27"/>
      <c r="E10" s="27"/>
      <c r="F10" s="27"/>
      <c r="G10" s="27"/>
      <c r="H10" s="27"/>
    </row>
    <row r="11" spans="1:12" ht="15" customHeight="1" x14ac:dyDescent="0.25">
      <c r="A11" s="5"/>
      <c r="B11" s="5"/>
      <c r="C11" s="5"/>
      <c r="D11" s="30" t="s">
        <v>1</v>
      </c>
      <c r="E11" s="30"/>
      <c r="F11" s="30"/>
      <c r="G11" s="30"/>
    </row>
    <row r="12" spans="1:12" ht="15" customHeight="1" x14ac:dyDescent="0.25">
      <c r="A12" s="9" t="s">
        <v>2</v>
      </c>
      <c r="B12" s="9" t="s">
        <v>3</v>
      </c>
      <c r="C12" s="9" t="s">
        <v>4</v>
      </c>
      <c r="D12" s="13" t="s">
        <v>5</v>
      </c>
      <c r="E12" s="10" t="s">
        <v>6</v>
      </c>
      <c r="F12" s="10" t="s">
        <v>7</v>
      </c>
      <c r="G12" s="10" t="s">
        <v>8</v>
      </c>
      <c r="H12" s="10" t="s">
        <v>9</v>
      </c>
      <c r="I12" s="11" t="s">
        <v>10</v>
      </c>
      <c r="J12" s="11" t="s">
        <v>11</v>
      </c>
      <c r="L12" s="2"/>
    </row>
    <row r="13" spans="1:12" ht="39" customHeight="1" x14ac:dyDescent="0.25">
      <c r="A13" s="20" t="s">
        <v>17</v>
      </c>
      <c r="B13" s="28" t="s">
        <v>43</v>
      </c>
      <c r="C13" s="14">
        <v>0.2</v>
      </c>
      <c r="D13" s="24" t="s">
        <v>18</v>
      </c>
      <c r="E13" s="25" t="s">
        <v>42</v>
      </c>
      <c r="F13" s="26" t="s">
        <v>20</v>
      </c>
      <c r="G13" s="26" t="s">
        <v>19</v>
      </c>
      <c r="H13" s="8" t="s">
        <v>7</v>
      </c>
      <c r="I13" s="19">
        <f>IF(CODE(UPPER(Tableau257911[[#This Row],[Evaluation]]))&lt;67, 69-CODE(UPPER(Tableau257911[[#This Row],[Evaluation]])),68-CODE(UPPER(Tableau257911[[#This Row],[Evaluation]])))*Tableau257911[[#This Row],[Poids]]</f>
        <v>0.2</v>
      </c>
      <c r="J13" s="19"/>
      <c r="L13" s="2"/>
    </row>
    <row r="14" spans="1:12" ht="39" customHeight="1" x14ac:dyDescent="0.25">
      <c r="A14" s="20" t="s">
        <v>15</v>
      </c>
      <c r="B14" s="28" t="s">
        <v>30</v>
      </c>
      <c r="C14" s="14">
        <v>0.2</v>
      </c>
      <c r="D14" s="24" t="s">
        <v>23</v>
      </c>
      <c r="E14" s="25" t="s">
        <v>22</v>
      </c>
      <c r="F14" s="26" t="s">
        <v>21</v>
      </c>
      <c r="G14" s="26" t="s">
        <v>24</v>
      </c>
      <c r="H14" s="8" t="s">
        <v>5</v>
      </c>
      <c r="I14" s="19">
        <f>IF(CODE(UPPER(Tableau257911[[#This Row],[Evaluation]]))&lt;67, 69-CODE(UPPER(Tableau257911[[#This Row],[Evaluation]])),68-CODE(UPPER(Tableau257911[[#This Row],[Evaluation]])))*Tableau257911[[#This Row],[Poids]]</f>
        <v>0.8</v>
      </c>
      <c r="J14" s="19"/>
      <c r="L14" s="2"/>
    </row>
    <row r="15" spans="1:12" ht="39.75" customHeight="1" x14ac:dyDescent="0.25">
      <c r="A15" s="20" t="s">
        <v>16</v>
      </c>
      <c r="B15" s="28" t="s">
        <v>31</v>
      </c>
      <c r="C15" s="14">
        <v>0.2</v>
      </c>
      <c r="D15" s="24" t="s">
        <v>25</v>
      </c>
      <c r="E15" s="25" t="s">
        <v>26</v>
      </c>
      <c r="F15" s="26" t="s">
        <v>27</v>
      </c>
      <c r="G15" s="26" t="s">
        <v>28</v>
      </c>
      <c r="H15" s="8" t="s">
        <v>5</v>
      </c>
      <c r="I15" s="8">
        <f>IF(CODE(UPPER(Tableau257911[[#This Row],[Evaluation]]))&lt;67, 69-CODE(UPPER(Tableau257911[[#This Row],[Evaluation]])),68-CODE(UPPER(Tableau257911[[#This Row],[Evaluation]])))*Tableau257911[[#This Row],[Poids]]</f>
        <v>0.8</v>
      </c>
      <c r="J15" s="19"/>
      <c r="L15" s="2"/>
    </row>
    <row r="16" spans="1:12" ht="24" hidden="1" customHeight="1" outlineLevel="1" thickBot="1" x14ac:dyDescent="0.3">
      <c r="A16" s="18"/>
      <c r="B16" s="5"/>
      <c r="C16" s="7">
        <f>SUM(C5:C6,C13:C15)</f>
        <v>1</v>
      </c>
      <c r="E16" s="6"/>
      <c r="H16" s="8" t="str">
        <f>IF(Tableau257911[[#Totals],[Calcul Intermédiaire]]&gt;=3.6,"A",IF(Tableau257911[[#Totals],[Calcul Intermédiaire]]&gt;=2.6,"B", IF(Tableau257911[[#Totals],[Calcul Intermédiaire]]&gt;=1.6,"C","D")))</f>
        <v>C</v>
      </c>
      <c r="I16" s="8">
        <f>SUBTOTAL(109,Tableau257911[Calcul Intermédiaire])</f>
        <v>1.8</v>
      </c>
      <c r="J16" s="1"/>
      <c r="K16" s="1"/>
    </row>
    <row r="17" spans="1:11" ht="15" customHeight="1" collapsed="1" thickBot="1" x14ac:dyDescent="0.3">
      <c r="A17" s="2"/>
      <c r="B17" s="2"/>
      <c r="C17" s="2"/>
      <c r="D17" s="2"/>
      <c r="F17" s="2"/>
      <c r="H17" s="1"/>
      <c r="I17" s="1"/>
      <c r="J17" s="1"/>
      <c r="K17" s="1"/>
    </row>
    <row r="18" spans="1:11" ht="15" customHeight="1" thickBot="1" x14ac:dyDescent="0.3">
      <c r="A18" s="2"/>
      <c r="B18" s="2"/>
      <c r="C18" s="2"/>
      <c r="D18" s="2"/>
      <c r="F18" s="2"/>
      <c r="H18" s="1"/>
      <c r="I18" s="29">
        <f>Tableau257911[[#Totals],[Calcul Intermédiaire]]+Tableau146810[[#Totals],[Calcul Intermédiaire]]</f>
        <v>2.6</v>
      </c>
      <c r="J18" s="1"/>
      <c r="K18" s="1"/>
    </row>
    <row r="19" spans="1:11" ht="15.75" customHeight="1" x14ac:dyDescent="0.25">
      <c r="A19" s="2"/>
      <c r="B19" s="2"/>
      <c r="C19" s="2"/>
      <c r="D19" s="2"/>
      <c r="F19" s="2"/>
      <c r="G19" s="16" t="s">
        <v>13</v>
      </c>
      <c r="H19" s="33" t="str">
        <f>IF(I18&gt;=3.6,"A",IF(I18&gt;=2.6,"B", IF(I18&gt;=1.6,"C","D")))</f>
        <v>B</v>
      </c>
      <c r="I19" s="1"/>
      <c r="J19" s="1"/>
      <c r="K19" s="1"/>
    </row>
    <row r="20" spans="1:11" ht="15" customHeight="1" thickBot="1" x14ac:dyDescent="0.3">
      <c r="A20" s="2"/>
      <c r="B20" s="2"/>
      <c r="C20" s="2"/>
      <c r="D20" s="2"/>
      <c r="F20" s="2"/>
      <c r="H20" s="34"/>
      <c r="I20" s="1"/>
      <c r="J20" s="1"/>
      <c r="K20" s="1"/>
    </row>
    <row r="21" spans="1:11" x14ac:dyDescent="0.25">
      <c r="A21" s="2"/>
      <c r="B21" s="2"/>
      <c r="C21" s="2"/>
      <c r="D21" s="2"/>
      <c r="F21" s="2"/>
      <c r="H21" s="1"/>
      <c r="I21" s="1"/>
      <c r="J21" s="1"/>
      <c r="K21" s="1"/>
    </row>
    <row r="22" spans="1:11" x14ac:dyDescent="0.25">
      <c r="A22" s="2"/>
      <c r="B22" s="2"/>
      <c r="C22" s="2"/>
      <c r="D22" s="2"/>
      <c r="F22" s="2"/>
      <c r="H22" s="1"/>
      <c r="I22" s="1"/>
      <c r="J22" s="1"/>
      <c r="K22" s="1"/>
    </row>
    <row r="23" spans="1:11" x14ac:dyDescent="0.25">
      <c r="A23" s="2"/>
      <c r="B23" s="2"/>
      <c r="C23" s="2"/>
      <c r="D23" s="2"/>
      <c r="F23" s="2"/>
      <c r="H23" s="1"/>
      <c r="I23" s="1"/>
      <c r="J23" s="1"/>
      <c r="K23" s="1"/>
    </row>
    <row r="24" spans="1:11" x14ac:dyDescent="0.25">
      <c r="A24" s="2"/>
      <c r="B24" s="2"/>
      <c r="C24" s="2"/>
      <c r="D24" s="2"/>
      <c r="F24" s="2"/>
      <c r="H24" s="1"/>
      <c r="I24" s="1"/>
      <c r="J24" s="1"/>
      <c r="K24" s="1"/>
    </row>
    <row r="25" spans="1:11" x14ac:dyDescent="0.25">
      <c r="A25" s="2"/>
      <c r="B25" s="2"/>
      <c r="C25" s="2"/>
      <c r="D25" s="2"/>
      <c r="F25" s="2"/>
      <c r="H25" s="1"/>
      <c r="I25" s="1"/>
      <c r="J25" s="1"/>
      <c r="K25" s="1"/>
    </row>
    <row r="26" spans="1:11" x14ac:dyDescent="0.25">
      <c r="A26" s="2"/>
      <c r="B26" s="2"/>
      <c r="C26" s="2"/>
      <c r="D26" s="2"/>
      <c r="F26" s="2"/>
      <c r="H26" s="1"/>
      <c r="I26" s="1"/>
      <c r="J26" s="1"/>
      <c r="K26" s="1"/>
    </row>
    <row r="27" spans="1:11" x14ac:dyDescent="0.25">
      <c r="A27" s="2"/>
      <c r="B27" s="2"/>
      <c r="C27" s="2"/>
      <c r="D27" s="2"/>
      <c r="F27" s="2"/>
      <c r="H27" s="1"/>
      <c r="I27" s="1"/>
      <c r="J27" s="1"/>
      <c r="K27" s="1"/>
    </row>
    <row r="28" spans="1:11" x14ac:dyDescent="0.25">
      <c r="A28" s="2"/>
      <c r="B28" s="2"/>
      <c r="C28" s="2"/>
      <c r="D28" s="2"/>
      <c r="F28" s="2"/>
      <c r="H28" s="1"/>
    </row>
    <row r="29" spans="1:11" x14ac:dyDescent="0.25">
      <c r="A29" s="2"/>
      <c r="B29" s="2"/>
      <c r="C29" s="2"/>
      <c r="D29" s="2"/>
      <c r="F29" s="2"/>
      <c r="H29" s="1"/>
    </row>
    <row r="30" spans="1:11" x14ac:dyDescent="0.25">
      <c r="A30" s="4"/>
      <c r="B30" s="4"/>
      <c r="C30" s="4"/>
    </row>
  </sheetData>
  <mergeCells count="5">
    <mergeCell ref="A1:H1"/>
    <mergeCell ref="D3:G3"/>
    <mergeCell ref="A9:H9"/>
    <mergeCell ref="D11:G11"/>
    <mergeCell ref="H19:H20"/>
  </mergeCells>
  <dataValidations count="1">
    <dataValidation type="list" allowBlank="1" showInputMessage="1" showErrorMessage="1" sqref="H5:H6 H13:H15">
      <formula1>$D$4:$G$4</formula1>
    </dataValidation>
  </dataValidations>
  <pageMargins left="0.7" right="0.7" top="0.75" bottom="0.75" header="0.3" footer="0.3"/>
  <pageSetup paperSize="9" orientation="landscape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zoomScale="85" zoomScaleNormal="85" workbookViewId="0">
      <selection activeCell="D21" sqref="D21"/>
    </sheetView>
  </sheetViews>
  <sheetFormatPr baseColWidth="10" defaultColWidth="9.140625" defaultRowHeight="15" outlineLevelRow="1" outlineLevelCol="1" x14ac:dyDescent="0.25"/>
  <cols>
    <col min="1" max="1" width="49.140625" style="1" customWidth="1"/>
    <col min="2" max="2" width="37.140625" style="1" customWidth="1"/>
    <col min="3" max="3" width="15.85546875" style="1" customWidth="1"/>
    <col min="4" max="4" width="29.140625" style="3" customWidth="1"/>
    <col min="5" max="5" width="27.28515625" style="2" customWidth="1"/>
    <col min="6" max="6" width="27.42578125" style="1" customWidth="1"/>
    <col min="7" max="7" width="45.42578125" style="1" customWidth="1"/>
    <col min="8" max="8" width="15.28515625" style="2" customWidth="1"/>
    <col min="9" max="9" width="25.7109375" style="2" customWidth="1" outlineLevel="1"/>
    <col min="10" max="10" width="37.42578125" style="2" customWidth="1"/>
    <col min="11" max="11" width="5.42578125" style="2" customWidth="1"/>
    <col min="12" max="18" width="5" style="1" customWidth="1"/>
    <col min="19" max="21" width="9.140625" style="1" hidden="1" customWidth="1"/>
    <col min="22" max="22" width="9.140625" style="1" customWidth="1"/>
    <col min="23" max="23" width="7.5703125" style="1" customWidth="1"/>
    <col min="24" max="24" width="8.140625" style="1" customWidth="1"/>
    <col min="25" max="16384" width="9.140625" style="1"/>
  </cols>
  <sheetData>
    <row r="1" spans="1:12" ht="23.25" x14ac:dyDescent="0.25">
      <c r="A1" s="31" t="s">
        <v>0</v>
      </c>
      <c r="B1" s="32"/>
      <c r="C1" s="32"/>
      <c r="D1" s="32"/>
      <c r="E1" s="32"/>
      <c r="F1" s="32"/>
      <c r="G1" s="32"/>
      <c r="H1" s="32"/>
    </row>
    <row r="2" spans="1:12" ht="40.9" customHeight="1" x14ac:dyDescent="0.25">
      <c r="A2" s="15"/>
      <c r="B2" s="15"/>
      <c r="C2" s="27"/>
      <c r="D2" s="27"/>
      <c r="E2" s="27"/>
      <c r="F2" s="27"/>
      <c r="G2" s="27"/>
      <c r="H2" s="27"/>
    </row>
    <row r="3" spans="1:12" ht="23.25" x14ac:dyDescent="0.25">
      <c r="A3" s="5"/>
      <c r="B3" s="5"/>
      <c r="C3" s="5"/>
      <c r="D3" s="30" t="s">
        <v>1</v>
      </c>
      <c r="E3" s="30"/>
      <c r="F3" s="30"/>
      <c r="G3" s="30"/>
    </row>
    <row r="4" spans="1:12" ht="15.75" x14ac:dyDescent="0.25">
      <c r="A4" s="9" t="s">
        <v>2</v>
      </c>
      <c r="B4" s="9" t="s">
        <v>3</v>
      </c>
      <c r="C4" s="9" t="s">
        <v>4</v>
      </c>
      <c r="D4" s="13" t="s">
        <v>5</v>
      </c>
      <c r="E4" s="10" t="s">
        <v>6</v>
      </c>
      <c r="F4" s="10" t="s">
        <v>7</v>
      </c>
      <c r="G4" s="10" t="s">
        <v>8</v>
      </c>
      <c r="H4" s="10" t="s">
        <v>9</v>
      </c>
      <c r="I4" s="11" t="s">
        <v>10</v>
      </c>
      <c r="J4" s="11" t="s">
        <v>11</v>
      </c>
      <c r="L4" s="2"/>
    </row>
    <row r="5" spans="1:12" ht="90" x14ac:dyDescent="0.25">
      <c r="A5" s="17" t="s">
        <v>12</v>
      </c>
      <c r="B5" s="28" t="s">
        <v>32</v>
      </c>
      <c r="C5" s="14">
        <v>0.2</v>
      </c>
      <c r="D5" s="12" t="s">
        <v>34</v>
      </c>
      <c r="E5" s="12" t="s">
        <v>35</v>
      </c>
      <c r="F5" s="12" t="s">
        <v>36</v>
      </c>
      <c r="G5" s="12" t="s">
        <v>37</v>
      </c>
      <c r="H5" s="21" t="s">
        <v>7</v>
      </c>
      <c r="I5" s="22">
        <f>IF(CODE(UPPER(Tableau146814[[#This Row],[Evaluation]]))&lt;67, 69-CODE(UPPER(Tableau146814[[#This Row],[Evaluation]])),68-CODE(UPPER(Tableau146814[[#This Row],[Evaluation]])))*Tableau146814[[#This Row],[Poids]]</f>
        <v>0.2</v>
      </c>
      <c r="J5" s="19"/>
      <c r="L5" s="2"/>
    </row>
    <row r="6" spans="1:12" ht="90" x14ac:dyDescent="0.25">
      <c r="A6" s="17" t="s">
        <v>29</v>
      </c>
      <c r="B6" s="28" t="s">
        <v>33</v>
      </c>
      <c r="C6" s="14">
        <v>0.2</v>
      </c>
      <c r="D6" s="12" t="s">
        <v>39</v>
      </c>
      <c r="E6" s="12" t="s">
        <v>41</v>
      </c>
      <c r="F6" s="12" t="s">
        <v>40</v>
      </c>
      <c r="G6" s="12" t="s">
        <v>38</v>
      </c>
      <c r="H6" s="21" t="s">
        <v>6</v>
      </c>
      <c r="I6" s="22">
        <f>IF(CODE(UPPER(Tableau146814[[#This Row],[Evaluation]]))&lt;67, 69-CODE(UPPER(Tableau146814[[#This Row],[Evaluation]])),68-CODE(UPPER(Tableau146814[[#This Row],[Evaluation]])))*Tableau146814[[#This Row],[Poids]]</f>
        <v>0.60000000000000009</v>
      </c>
      <c r="J6" s="19"/>
      <c r="L6" s="2"/>
    </row>
    <row r="7" spans="1:12" ht="21.75" hidden="1" customHeight="1" outlineLevel="1" thickBot="1" x14ac:dyDescent="0.3">
      <c r="A7" s="18"/>
      <c r="B7" s="5"/>
      <c r="C7" s="7">
        <f>SUM(Tableau146814[Poids])</f>
        <v>0.4</v>
      </c>
      <c r="E7" s="6"/>
      <c r="H7" s="8" t="str">
        <f>IF(Tableau146814[[#Totals],[Calcul Intermédiaire]]&gt;=3.6,"A",IF(Tableau146814[[#Totals],[Calcul Intermédiaire]]&gt;=2.6,"B", IF(Tableau146814[[#Totals],[Calcul Intermédiaire]]&gt;=1.6,"C","D")))</f>
        <v>D</v>
      </c>
      <c r="I7" s="21">
        <f>SUBTOTAL(109,Tableau146814[Calcul Intermédiaire])</f>
        <v>0.8</v>
      </c>
      <c r="J7" s="1"/>
      <c r="K7" s="1"/>
    </row>
    <row r="8" spans="1:12" ht="14.45" customHeight="1" collapsed="1" x14ac:dyDescent="0.25">
      <c r="A8" s="2"/>
      <c r="B8" s="2"/>
      <c r="C8" s="2"/>
      <c r="D8" s="2"/>
      <c r="F8" s="2"/>
      <c r="H8" s="1"/>
      <c r="I8" s="1"/>
      <c r="J8" s="1"/>
      <c r="K8" s="1"/>
    </row>
    <row r="9" spans="1:12" ht="27" customHeight="1" x14ac:dyDescent="0.25">
      <c r="A9" s="31" t="s">
        <v>14</v>
      </c>
      <c r="B9" s="32"/>
      <c r="C9" s="32"/>
      <c r="D9" s="32"/>
      <c r="E9" s="32"/>
      <c r="F9" s="32"/>
      <c r="G9" s="32"/>
      <c r="H9" s="32"/>
    </row>
    <row r="10" spans="1:12" ht="34.15" customHeight="1" x14ac:dyDescent="0.25">
      <c r="A10" s="15"/>
      <c r="B10" s="15"/>
      <c r="C10" s="27"/>
      <c r="D10" s="27"/>
      <c r="E10" s="27"/>
      <c r="F10" s="27"/>
      <c r="G10" s="27"/>
      <c r="H10" s="27"/>
    </row>
    <row r="11" spans="1:12" ht="15" customHeight="1" x14ac:dyDescent="0.25">
      <c r="A11" s="5"/>
      <c r="B11" s="5"/>
      <c r="C11" s="5"/>
      <c r="D11" s="30" t="s">
        <v>1</v>
      </c>
      <c r="E11" s="30"/>
      <c r="F11" s="30"/>
      <c r="G11" s="30"/>
    </row>
    <row r="12" spans="1:12" ht="15" customHeight="1" x14ac:dyDescent="0.25">
      <c r="A12" s="9" t="s">
        <v>2</v>
      </c>
      <c r="B12" s="9" t="s">
        <v>3</v>
      </c>
      <c r="C12" s="9" t="s">
        <v>4</v>
      </c>
      <c r="D12" s="13" t="s">
        <v>5</v>
      </c>
      <c r="E12" s="10" t="s">
        <v>6</v>
      </c>
      <c r="F12" s="10" t="s">
        <v>7</v>
      </c>
      <c r="G12" s="10" t="s">
        <v>8</v>
      </c>
      <c r="H12" s="10" t="s">
        <v>9</v>
      </c>
      <c r="I12" s="11" t="s">
        <v>10</v>
      </c>
      <c r="J12" s="11" t="s">
        <v>11</v>
      </c>
      <c r="L12" s="2"/>
    </row>
    <row r="13" spans="1:12" ht="39" customHeight="1" x14ac:dyDescent="0.25">
      <c r="A13" s="20" t="s">
        <v>17</v>
      </c>
      <c r="B13" s="28" t="s">
        <v>43</v>
      </c>
      <c r="C13" s="14">
        <v>0.2</v>
      </c>
      <c r="D13" s="24" t="s">
        <v>18</v>
      </c>
      <c r="E13" s="25" t="s">
        <v>42</v>
      </c>
      <c r="F13" s="26" t="s">
        <v>20</v>
      </c>
      <c r="G13" s="26" t="s">
        <v>19</v>
      </c>
      <c r="H13" s="8" t="s">
        <v>7</v>
      </c>
      <c r="I13" s="19">
        <f>IF(CODE(UPPER(Tableau257915[[#This Row],[Evaluation]]))&lt;67, 69-CODE(UPPER(Tableau257915[[#This Row],[Evaluation]])),68-CODE(UPPER(Tableau257915[[#This Row],[Evaluation]])))*Tableau257915[[#This Row],[Poids]]</f>
        <v>0.2</v>
      </c>
      <c r="J13" s="19"/>
      <c r="L13" s="2"/>
    </row>
    <row r="14" spans="1:12" ht="39" customHeight="1" x14ac:dyDescent="0.25">
      <c r="A14" s="20" t="s">
        <v>15</v>
      </c>
      <c r="B14" s="28" t="s">
        <v>30</v>
      </c>
      <c r="C14" s="14">
        <v>0.2</v>
      </c>
      <c r="D14" s="24" t="s">
        <v>23</v>
      </c>
      <c r="E14" s="25" t="s">
        <v>22</v>
      </c>
      <c r="F14" s="26" t="s">
        <v>21</v>
      </c>
      <c r="G14" s="26" t="s">
        <v>24</v>
      </c>
      <c r="H14" s="8" t="s">
        <v>5</v>
      </c>
      <c r="I14" s="19">
        <f>IF(CODE(UPPER(Tableau257915[[#This Row],[Evaluation]]))&lt;67, 69-CODE(UPPER(Tableau257915[[#This Row],[Evaluation]])),68-CODE(UPPER(Tableau257915[[#This Row],[Evaluation]])))*Tableau257915[[#This Row],[Poids]]</f>
        <v>0.8</v>
      </c>
      <c r="J14" s="19"/>
      <c r="L14" s="2"/>
    </row>
    <row r="15" spans="1:12" ht="39.75" customHeight="1" x14ac:dyDescent="0.25">
      <c r="A15" s="20" t="s">
        <v>16</v>
      </c>
      <c r="B15" s="28" t="s">
        <v>31</v>
      </c>
      <c r="C15" s="14">
        <v>0.2</v>
      </c>
      <c r="D15" s="24" t="s">
        <v>25</v>
      </c>
      <c r="E15" s="25" t="s">
        <v>26</v>
      </c>
      <c r="F15" s="26" t="s">
        <v>27</v>
      </c>
      <c r="G15" s="26" t="s">
        <v>28</v>
      </c>
      <c r="H15" s="8" t="s">
        <v>5</v>
      </c>
      <c r="I15" s="8">
        <f>IF(CODE(UPPER(Tableau257915[[#This Row],[Evaluation]]))&lt;67, 69-CODE(UPPER(Tableau257915[[#This Row],[Evaluation]])),68-CODE(UPPER(Tableau257915[[#This Row],[Evaluation]])))*Tableau257915[[#This Row],[Poids]]</f>
        <v>0.8</v>
      </c>
      <c r="J15" s="19"/>
      <c r="L15" s="2"/>
    </row>
    <row r="16" spans="1:12" ht="24" hidden="1" customHeight="1" outlineLevel="1" thickBot="1" x14ac:dyDescent="0.3">
      <c r="A16" s="18"/>
      <c r="B16" s="5"/>
      <c r="C16" s="7">
        <f>SUM(C5:C6,C13:C15)</f>
        <v>1</v>
      </c>
      <c r="E16" s="6"/>
      <c r="H16" s="8" t="str">
        <f>IF(Tableau257915[[#Totals],[Calcul Intermédiaire]]&gt;=3.6,"A",IF(Tableau257915[[#Totals],[Calcul Intermédiaire]]&gt;=2.6,"B", IF(Tableau257915[[#Totals],[Calcul Intermédiaire]]&gt;=1.6,"C","D")))</f>
        <v>C</v>
      </c>
      <c r="I16" s="8">
        <f>SUBTOTAL(109,Tableau257915[Calcul Intermédiaire])</f>
        <v>1.8</v>
      </c>
      <c r="J16" s="1"/>
      <c r="K16" s="1"/>
    </row>
    <row r="17" spans="1:11" ht="15" customHeight="1" collapsed="1" thickBot="1" x14ac:dyDescent="0.3">
      <c r="A17" s="2"/>
      <c r="B17" s="2"/>
      <c r="C17" s="2"/>
      <c r="D17" s="2"/>
      <c r="F17" s="2"/>
      <c r="H17" s="1"/>
      <c r="I17" s="1"/>
      <c r="J17" s="1"/>
      <c r="K17" s="1"/>
    </row>
    <row r="18" spans="1:11" ht="15" customHeight="1" thickBot="1" x14ac:dyDescent="0.3">
      <c r="A18" s="2"/>
      <c r="B18" s="2"/>
      <c r="C18" s="2"/>
      <c r="D18" s="2"/>
      <c r="F18" s="2"/>
      <c r="H18" s="1"/>
      <c r="I18" s="29">
        <f>Tableau257915[[#Totals],[Calcul Intermédiaire]]+Tableau146814[[#Totals],[Calcul Intermédiaire]]</f>
        <v>2.6</v>
      </c>
      <c r="J18" s="1"/>
      <c r="K18" s="1"/>
    </row>
    <row r="19" spans="1:11" ht="15.75" customHeight="1" x14ac:dyDescent="0.25">
      <c r="A19" s="2"/>
      <c r="B19" s="2"/>
      <c r="C19" s="2"/>
      <c r="D19" s="2"/>
      <c r="F19" s="2"/>
      <c r="G19" s="16" t="s">
        <v>13</v>
      </c>
      <c r="H19" s="33" t="str">
        <f>IF(I18&gt;=3.6,"A",IF(I18&gt;=2.6,"B", IF(I18&gt;=1.6,"C","D")))</f>
        <v>B</v>
      </c>
      <c r="I19" s="1"/>
      <c r="J19" s="1"/>
      <c r="K19" s="1"/>
    </row>
    <row r="20" spans="1:11" ht="15" customHeight="1" thickBot="1" x14ac:dyDescent="0.3">
      <c r="A20" s="2"/>
      <c r="B20" s="2"/>
      <c r="C20" s="2"/>
      <c r="D20" s="2"/>
      <c r="F20" s="2"/>
      <c r="H20" s="34"/>
      <c r="I20" s="1"/>
      <c r="J20" s="1"/>
      <c r="K20" s="1"/>
    </row>
    <row r="21" spans="1:11" x14ac:dyDescent="0.25">
      <c r="A21" s="2"/>
      <c r="B21" s="2"/>
      <c r="C21" s="2"/>
      <c r="D21" s="2"/>
      <c r="F21" s="2"/>
      <c r="H21" s="1"/>
      <c r="I21" s="1"/>
      <c r="J21" s="1"/>
      <c r="K21" s="1"/>
    </row>
    <row r="22" spans="1:11" x14ac:dyDescent="0.25">
      <c r="A22" s="2"/>
      <c r="B22" s="2"/>
      <c r="C22" s="2"/>
      <c r="D22" s="2"/>
      <c r="F22" s="2"/>
      <c r="H22" s="1"/>
      <c r="I22" s="1"/>
      <c r="J22" s="1"/>
      <c r="K22" s="1"/>
    </row>
    <row r="23" spans="1:11" x14ac:dyDescent="0.25">
      <c r="A23" s="2"/>
      <c r="B23" s="2"/>
      <c r="C23" s="2"/>
      <c r="D23" s="2"/>
      <c r="F23" s="2"/>
      <c r="H23" s="1"/>
      <c r="I23" s="1"/>
      <c r="J23" s="1"/>
      <c r="K23" s="1"/>
    </row>
    <row r="24" spans="1:11" x14ac:dyDescent="0.25">
      <c r="A24" s="2"/>
      <c r="B24" s="2"/>
      <c r="C24" s="2"/>
      <c r="D24" s="2"/>
      <c r="F24" s="2"/>
      <c r="H24" s="1"/>
      <c r="I24" s="1"/>
      <c r="J24" s="1"/>
      <c r="K24" s="1"/>
    </row>
    <row r="25" spans="1:11" x14ac:dyDescent="0.25">
      <c r="A25" s="2"/>
      <c r="B25" s="2"/>
      <c r="C25" s="2"/>
      <c r="D25" s="2"/>
      <c r="F25" s="2"/>
      <c r="H25" s="1"/>
      <c r="I25" s="1"/>
      <c r="J25" s="1"/>
      <c r="K25" s="1"/>
    </row>
    <row r="26" spans="1:11" x14ac:dyDescent="0.25">
      <c r="A26" s="2"/>
      <c r="B26" s="2"/>
      <c r="C26" s="2"/>
      <c r="D26" s="2"/>
      <c r="F26" s="2"/>
      <c r="H26" s="1"/>
      <c r="I26" s="1"/>
      <c r="J26" s="1"/>
      <c r="K26" s="1"/>
    </row>
    <row r="27" spans="1:11" x14ac:dyDescent="0.25">
      <c r="A27" s="2"/>
      <c r="B27" s="2"/>
      <c r="C27" s="2"/>
      <c r="D27" s="2"/>
      <c r="F27" s="2"/>
      <c r="H27" s="1"/>
      <c r="I27" s="1"/>
      <c r="J27" s="1"/>
      <c r="K27" s="1"/>
    </row>
    <row r="28" spans="1:11" x14ac:dyDescent="0.25">
      <c r="A28" s="2"/>
      <c r="B28" s="2"/>
      <c r="C28" s="2"/>
      <c r="D28" s="2"/>
      <c r="F28" s="2"/>
      <c r="H28" s="1"/>
    </row>
    <row r="29" spans="1:11" x14ac:dyDescent="0.25">
      <c r="A29" s="2"/>
      <c r="B29" s="2"/>
      <c r="C29" s="2"/>
      <c r="D29" s="2"/>
      <c r="F29" s="2"/>
      <c r="H29" s="1"/>
    </row>
    <row r="30" spans="1:11" x14ac:dyDescent="0.25">
      <c r="A30" s="4"/>
      <c r="B30" s="4"/>
      <c r="C30" s="4"/>
    </row>
  </sheetData>
  <mergeCells count="5">
    <mergeCell ref="A1:H1"/>
    <mergeCell ref="D3:G3"/>
    <mergeCell ref="A9:H9"/>
    <mergeCell ref="D11:G11"/>
    <mergeCell ref="H19:H20"/>
  </mergeCells>
  <dataValidations count="1">
    <dataValidation type="list" allowBlank="1" showInputMessage="1" showErrorMessage="1" sqref="H5:H6 H13:H15">
      <formula1>$D$4:$G$4</formula1>
    </dataValidation>
  </dataValidations>
  <pageMargins left="0.7" right="0.7" top="0.75" bottom="0.75" header="0.3" footer="0.3"/>
  <pageSetup paperSize="9" orientation="landscape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zoomScale="85" zoomScaleNormal="85" workbookViewId="0">
      <selection activeCell="D21" sqref="D21"/>
    </sheetView>
  </sheetViews>
  <sheetFormatPr baseColWidth="10" defaultColWidth="9.140625" defaultRowHeight="15" outlineLevelRow="1" outlineLevelCol="1" x14ac:dyDescent="0.25"/>
  <cols>
    <col min="1" max="1" width="49.140625" style="1" customWidth="1"/>
    <col min="2" max="2" width="37.140625" style="1" customWidth="1"/>
    <col min="3" max="3" width="15.85546875" style="1" customWidth="1"/>
    <col min="4" max="4" width="29.140625" style="3" customWidth="1"/>
    <col min="5" max="5" width="27.28515625" style="2" customWidth="1"/>
    <col min="6" max="6" width="27.42578125" style="1" customWidth="1"/>
    <col min="7" max="7" width="45.42578125" style="1" customWidth="1"/>
    <col min="8" max="8" width="15.28515625" style="2" customWidth="1"/>
    <col min="9" max="9" width="25.7109375" style="2" customWidth="1" outlineLevel="1"/>
    <col min="10" max="10" width="37.42578125" style="2" customWidth="1"/>
    <col min="11" max="11" width="5.42578125" style="2" customWidth="1"/>
    <col min="12" max="18" width="5" style="1" customWidth="1"/>
    <col min="19" max="21" width="9.140625" style="1" hidden="1" customWidth="1"/>
    <col min="22" max="22" width="9.140625" style="1" customWidth="1"/>
    <col min="23" max="23" width="7.5703125" style="1" customWidth="1"/>
    <col min="24" max="24" width="8.140625" style="1" customWidth="1"/>
    <col min="25" max="16384" width="9.140625" style="1"/>
  </cols>
  <sheetData>
    <row r="1" spans="1:12" ht="23.25" x14ac:dyDescent="0.25">
      <c r="A1" s="31" t="s">
        <v>0</v>
      </c>
      <c r="B1" s="32"/>
      <c r="C1" s="32"/>
      <c r="D1" s="32"/>
      <c r="E1" s="32"/>
      <c r="F1" s="32"/>
      <c r="G1" s="32"/>
      <c r="H1" s="32"/>
    </row>
    <row r="2" spans="1:12" ht="40.9" customHeight="1" x14ac:dyDescent="0.25">
      <c r="A2" s="15"/>
      <c r="B2" s="15"/>
      <c r="C2" s="27"/>
      <c r="D2" s="27"/>
      <c r="E2" s="27"/>
      <c r="F2" s="27"/>
      <c r="G2" s="27"/>
      <c r="H2" s="27"/>
    </row>
    <row r="3" spans="1:12" ht="23.25" x14ac:dyDescent="0.25">
      <c r="A3" s="5"/>
      <c r="B3" s="5"/>
      <c r="C3" s="5"/>
      <c r="D3" s="30" t="s">
        <v>1</v>
      </c>
      <c r="E3" s="30"/>
      <c r="F3" s="30"/>
      <c r="G3" s="30"/>
    </row>
    <row r="4" spans="1:12" ht="15.75" x14ac:dyDescent="0.25">
      <c r="A4" s="9" t="s">
        <v>2</v>
      </c>
      <c r="B4" s="9" t="s">
        <v>3</v>
      </c>
      <c r="C4" s="9" t="s">
        <v>4</v>
      </c>
      <c r="D4" s="13" t="s">
        <v>5</v>
      </c>
      <c r="E4" s="10" t="s">
        <v>6</v>
      </c>
      <c r="F4" s="10" t="s">
        <v>7</v>
      </c>
      <c r="G4" s="10" t="s">
        <v>8</v>
      </c>
      <c r="H4" s="10" t="s">
        <v>9</v>
      </c>
      <c r="I4" s="11" t="s">
        <v>10</v>
      </c>
      <c r="J4" s="11" t="s">
        <v>11</v>
      </c>
      <c r="L4" s="2"/>
    </row>
    <row r="5" spans="1:12" ht="90" x14ac:dyDescent="0.25">
      <c r="A5" s="17" t="s">
        <v>12</v>
      </c>
      <c r="B5" s="28" t="s">
        <v>32</v>
      </c>
      <c r="C5" s="14">
        <v>0.2</v>
      </c>
      <c r="D5" s="12" t="s">
        <v>34</v>
      </c>
      <c r="E5" s="12" t="s">
        <v>35</v>
      </c>
      <c r="F5" s="12" t="s">
        <v>36</v>
      </c>
      <c r="G5" s="12" t="s">
        <v>37</v>
      </c>
      <c r="H5" s="21" t="s">
        <v>7</v>
      </c>
      <c r="I5" s="22">
        <f>IF(CODE(UPPER(Tableau146[[#This Row],[Evaluation]]))&lt;67, 69-CODE(UPPER(Tableau146[[#This Row],[Evaluation]])),68-CODE(UPPER(Tableau146[[#This Row],[Evaluation]])))*Tableau146[[#This Row],[Poids]]</f>
        <v>0.2</v>
      </c>
      <c r="J5" s="19"/>
      <c r="L5" s="2"/>
    </row>
    <row r="6" spans="1:12" ht="90" x14ac:dyDescent="0.25">
      <c r="A6" s="17" t="s">
        <v>29</v>
      </c>
      <c r="B6" s="28" t="s">
        <v>33</v>
      </c>
      <c r="C6" s="14">
        <v>0.2</v>
      </c>
      <c r="D6" s="12" t="s">
        <v>39</v>
      </c>
      <c r="E6" s="12" t="s">
        <v>41</v>
      </c>
      <c r="F6" s="12" t="s">
        <v>40</v>
      </c>
      <c r="G6" s="12" t="s">
        <v>38</v>
      </c>
      <c r="H6" s="21" t="s">
        <v>6</v>
      </c>
      <c r="I6" s="22">
        <f>IF(CODE(UPPER(Tableau146[[#This Row],[Evaluation]]))&lt;67, 69-CODE(UPPER(Tableau146[[#This Row],[Evaluation]])),68-CODE(UPPER(Tableau146[[#This Row],[Evaluation]])))*Tableau146[[#This Row],[Poids]]</f>
        <v>0.60000000000000009</v>
      </c>
      <c r="J6" s="19"/>
      <c r="L6" s="2"/>
    </row>
    <row r="7" spans="1:12" ht="21.75" hidden="1" customHeight="1" outlineLevel="1" thickBot="1" x14ac:dyDescent="0.3">
      <c r="A7" s="18"/>
      <c r="B7" s="5"/>
      <c r="C7" s="7">
        <f>SUM(Tableau146[Poids])</f>
        <v>0.4</v>
      </c>
      <c r="E7" s="6"/>
      <c r="H7" s="8" t="str">
        <f>IF(Tableau146[[#Totals],[Calcul Intermédiaire]]&gt;=3.6,"A",IF(Tableau146[[#Totals],[Calcul Intermédiaire]]&gt;=2.6,"B", IF(Tableau146[[#Totals],[Calcul Intermédiaire]]&gt;=1.6,"C","D")))</f>
        <v>D</v>
      </c>
      <c r="I7" s="21">
        <f>SUBTOTAL(109,Tableau146[Calcul Intermédiaire])</f>
        <v>0.8</v>
      </c>
      <c r="J7" s="1"/>
      <c r="K7" s="1"/>
    </row>
    <row r="8" spans="1:12" ht="14.45" customHeight="1" collapsed="1" x14ac:dyDescent="0.25">
      <c r="A8" s="2"/>
      <c r="B8" s="2"/>
      <c r="C8" s="2"/>
      <c r="D8" s="2"/>
      <c r="F8" s="2"/>
      <c r="H8" s="1"/>
      <c r="I8" s="1"/>
      <c r="J8" s="1"/>
      <c r="K8" s="1"/>
    </row>
    <row r="9" spans="1:12" ht="27" customHeight="1" x14ac:dyDescent="0.25">
      <c r="A9" s="31" t="s">
        <v>14</v>
      </c>
      <c r="B9" s="32"/>
      <c r="C9" s="32"/>
      <c r="D9" s="32"/>
      <c r="E9" s="32"/>
      <c r="F9" s="32"/>
      <c r="G9" s="32"/>
      <c r="H9" s="32"/>
    </row>
    <row r="10" spans="1:12" ht="34.15" customHeight="1" x14ac:dyDescent="0.25">
      <c r="A10" s="15"/>
      <c r="B10" s="15"/>
      <c r="C10" s="27"/>
      <c r="D10" s="27"/>
      <c r="E10" s="27"/>
      <c r="F10" s="27"/>
      <c r="G10" s="27"/>
      <c r="H10" s="27"/>
    </row>
    <row r="11" spans="1:12" ht="15" customHeight="1" x14ac:dyDescent="0.25">
      <c r="A11" s="5"/>
      <c r="B11" s="5"/>
      <c r="C11" s="5"/>
      <c r="D11" s="30" t="s">
        <v>1</v>
      </c>
      <c r="E11" s="30"/>
      <c r="F11" s="30"/>
      <c r="G11" s="30"/>
    </row>
    <row r="12" spans="1:12" ht="15" customHeight="1" x14ac:dyDescent="0.25">
      <c r="A12" s="9" t="s">
        <v>2</v>
      </c>
      <c r="B12" s="9" t="s">
        <v>3</v>
      </c>
      <c r="C12" s="9" t="s">
        <v>4</v>
      </c>
      <c r="D12" s="13" t="s">
        <v>5</v>
      </c>
      <c r="E12" s="10" t="s">
        <v>6</v>
      </c>
      <c r="F12" s="10" t="s">
        <v>7</v>
      </c>
      <c r="G12" s="10" t="s">
        <v>8</v>
      </c>
      <c r="H12" s="10" t="s">
        <v>9</v>
      </c>
      <c r="I12" s="11" t="s">
        <v>10</v>
      </c>
      <c r="J12" s="11" t="s">
        <v>11</v>
      </c>
      <c r="L12" s="2"/>
    </row>
    <row r="13" spans="1:12" ht="39" customHeight="1" x14ac:dyDescent="0.25">
      <c r="A13" s="20" t="s">
        <v>17</v>
      </c>
      <c r="B13" s="28" t="s">
        <v>43</v>
      </c>
      <c r="C13" s="14">
        <v>0.2</v>
      </c>
      <c r="D13" s="24" t="s">
        <v>18</v>
      </c>
      <c r="E13" s="25" t="s">
        <v>42</v>
      </c>
      <c r="F13" s="26" t="s">
        <v>20</v>
      </c>
      <c r="G13" s="26" t="s">
        <v>19</v>
      </c>
      <c r="H13" s="8" t="s">
        <v>7</v>
      </c>
      <c r="I13" s="19">
        <f>IF(CODE(UPPER(Tableau257[[#This Row],[Evaluation]]))&lt;67, 69-CODE(UPPER(Tableau257[[#This Row],[Evaluation]])),68-CODE(UPPER(Tableau257[[#This Row],[Evaluation]])))*Tableau257[[#This Row],[Poids]]</f>
        <v>0.2</v>
      </c>
      <c r="J13" s="19"/>
      <c r="L13" s="2"/>
    </row>
    <row r="14" spans="1:12" ht="39" customHeight="1" x14ac:dyDescent="0.25">
      <c r="A14" s="20" t="s">
        <v>15</v>
      </c>
      <c r="B14" s="28" t="s">
        <v>30</v>
      </c>
      <c r="C14" s="14">
        <v>0.2</v>
      </c>
      <c r="D14" s="24" t="s">
        <v>23</v>
      </c>
      <c r="E14" s="25" t="s">
        <v>22</v>
      </c>
      <c r="F14" s="26" t="s">
        <v>21</v>
      </c>
      <c r="G14" s="26" t="s">
        <v>24</v>
      </c>
      <c r="H14" s="8" t="s">
        <v>5</v>
      </c>
      <c r="I14" s="19">
        <f>IF(CODE(UPPER(Tableau257[[#This Row],[Evaluation]]))&lt;67, 69-CODE(UPPER(Tableau257[[#This Row],[Evaluation]])),68-CODE(UPPER(Tableau257[[#This Row],[Evaluation]])))*Tableau257[[#This Row],[Poids]]</f>
        <v>0.8</v>
      </c>
      <c r="J14" s="19"/>
      <c r="L14" s="2"/>
    </row>
    <row r="15" spans="1:12" ht="39.75" customHeight="1" x14ac:dyDescent="0.25">
      <c r="A15" s="20" t="s">
        <v>16</v>
      </c>
      <c r="B15" s="28" t="s">
        <v>31</v>
      </c>
      <c r="C15" s="14">
        <v>0.2</v>
      </c>
      <c r="D15" s="24" t="s">
        <v>25</v>
      </c>
      <c r="E15" s="25" t="s">
        <v>26</v>
      </c>
      <c r="F15" s="26" t="s">
        <v>27</v>
      </c>
      <c r="G15" s="26" t="s">
        <v>28</v>
      </c>
      <c r="H15" s="8" t="s">
        <v>5</v>
      </c>
      <c r="I15" s="8">
        <f>IF(CODE(UPPER(Tableau257[[#This Row],[Evaluation]]))&lt;67, 69-CODE(UPPER(Tableau257[[#This Row],[Evaluation]])),68-CODE(UPPER(Tableau257[[#This Row],[Evaluation]])))*Tableau257[[#This Row],[Poids]]</f>
        <v>0.8</v>
      </c>
      <c r="J15" s="19"/>
      <c r="L15" s="2"/>
    </row>
    <row r="16" spans="1:12" ht="24" hidden="1" customHeight="1" outlineLevel="1" thickBot="1" x14ac:dyDescent="0.3">
      <c r="A16" s="18"/>
      <c r="B16" s="5"/>
      <c r="C16" s="7">
        <f>SUM(C5:C6,C13:C15)</f>
        <v>1</v>
      </c>
      <c r="E16" s="6"/>
      <c r="H16" s="8" t="str">
        <f>IF(Tableau257[[#Totals],[Calcul Intermédiaire]]&gt;=3.6,"A",IF(Tableau257[[#Totals],[Calcul Intermédiaire]]&gt;=2.6,"B", IF(Tableau257[[#Totals],[Calcul Intermédiaire]]&gt;=1.6,"C","D")))</f>
        <v>C</v>
      </c>
      <c r="I16" s="8">
        <f>SUBTOTAL(109,Tableau257[Calcul Intermédiaire])</f>
        <v>1.8</v>
      </c>
      <c r="J16" s="1"/>
      <c r="K16" s="1"/>
    </row>
    <row r="17" spans="1:11" ht="15" customHeight="1" collapsed="1" thickBot="1" x14ac:dyDescent="0.3">
      <c r="A17" s="2"/>
      <c r="B17" s="2"/>
      <c r="C17" s="2"/>
      <c r="D17" s="2"/>
      <c r="F17" s="2"/>
      <c r="H17" s="1"/>
      <c r="I17" s="1"/>
      <c r="J17" s="1"/>
      <c r="K17" s="1"/>
    </row>
    <row r="18" spans="1:11" ht="15" customHeight="1" thickBot="1" x14ac:dyDescent="0.3">
      <c r="A18" s="2"/>
      <c r="B18" s="2"/>
      <c r="C18" s="2"/>
      <c r="D18" s="2"/>
      <c r="F18" s="2"/>
      <c r="H18" s="1"/>
      <c r="I18" s="29">
        <f>Tableau257[[#Totals],[Calcul Intermédiaire]]+Tableau146[[#Totals],[Calcul Intermédiaire]]</f>
        <v>2.6</v>
      </c>
      <c r="J18" s="1"/>
      <c r="K18" s="1"/>
    </row>
    <row r="19" spans="1:11" ht="15.75" customHeight="1" x14ac:dyDescent="0.25">
      <c r="A19" s="2"/>
      <c r="B19" s="2"/>
      <c r="C19" s="2"/>
      <c r="D19" s="2"/>
      <c r="F19" s="2"/>
      <c r="G19" s="16" t="s">
        <v>13</v>
      </c>
      <c r="H19" s="33" t="str">
        <f>IF(I18&gt;=3.6,"A",IF(I18&gt;=2.6,"B", IF(I18&gt;=1.6,"C","D")))</f>
        <v>B</v>
      </c>
      <c r="I19" s="1"/>
      <c r="J19" s="1"/>
      <c r="K19" s="1"/>
    </row>
    <row r="20" spans="1:11" ht="15" customHeight="1" thickBot="1" x14ac:dyDescent="0.3">
      <c r="A20" s="2"/>
      <c r="B20" s="2"/>
      <c r="C20" s="2"/>
      <c r="D20" s="2"/>
      <c r="F20" s="2"/>
      <c r="H20" s="34"/>
      <c r="I20" s="1"/>
      <c r="J20" s="1"/>
      <c r="K20" s="1"/>
    </row>
    <row r="21" spans="1:11" x14ac:dyDescent="0.25">
      <c r="A21" s="2"/>
      <c r="B21" s="2"/>
      <c r="C21" s="2"/>
      <c r="D21" s="2"/>
      <c r="F21" s="2"/>
      <c r="H21" s="1"/>
      <c r="I21" s="1"/>
      <c r="J21" s="1"/>
      <c r="K21" s="1"/>
    </row>
    <row r="22" spans="1:11" x14ac:dyDescent="0.25">
      <c r="A22" s="2"/>
      <c r="B22" s="2"/>
      <c r="C22" s="2"/>
      <c r="D22" s="2"/>
      <c r="F22" s="2"/>
      <c r="H22" s="1"/>
      <c r="I22" s="1"/>
      <c r="J22" s="1"/>
      <c r="K22" s="1"/>
    </row>
    <row r="23" spans="1:11" x14ac:dyDescent="0.25">
      <c r="A23" s="2"/>
      <c r="B23" s="2"/>
      <c r="C23" s="2"/>
      <c r="D23" s="2"/>
      <c r="F23" s="2"/>
      <c r="H23" s="1"/>
      <c r="I23" s="1"/>
      <c r="J23" s="1"/>
      <c r="K23" s="1"/>
    </row>
    <row r="24" spans="1:11" x14ac:dyDescent="0.25">
      <c r="A24" s="2"/>
      <c r="B24" s="2"/>
      <c r="C24" s="2"/>
      <c r="D24" s="2"/>
      <c r="F24" s="2"/>
      <c r="H24" s="1"/>
      <c r="I24" s="1"/>
      <c r="J24" s="1"/>
      <c r="K24" s="1"/>
    </row>
    <row r="25" spans="1:11" x14ac:dyDescent="0.25">
      <c r="A25" s="2"/>
      <c r="B25" s="2"/>
      <c r="C25" s="2"/>
      <c r="D25" s="2"/>
      <c r="F25" s="2"/>
      <c r="H25" s="1"/>
      <c r="I25" s="1"/>
      <c r="J25" s="1"/>
      <c r="K25" s="1"/>
    </row>
    <row r="26" spans="1:11" x14ac:dyDescent="0.25">
      <c r="A26" s="2"/>
      <c r="B26" s="2"/>
      <c r="C26" s="2"/>
      <c r="D26" s="2"/>
      <c r="F26" s="2"/>
      <c r="H26" s="1"/>
      <c r="I26" s="1"/>
      <c r="J26" s="1"/>
      <c r="K26" s="1"/>
    </row>
    <row r="27" spans="1:11" x14ac:dyDescent="0.25">
      <c r="A27" s="2"/>
      <c r="B27" s="2"/>
      <c r="C27" s="2"/>
      <c r="D27" s="2"/>
      <c r="F27" s="2"/>
      <c r="H27" s="1"/>
      <c r="I27" s="1"/>
      <c r="J27" s="1"/>
      <c r="K27" s="1"/>
    </row>
    <row r="28" spans="1:11" x14ac:dyDescent="0.25">
      <c r="A28" s="2"/>
      <c r="B28" s="2"/>
      <c r="C28" s="2"/>
      <c r="D28" s="2"/>
      <c r="F28" s="2"/>
      <c r="H28" s="1"/>
    </row>
    <row r="29" spans="1:11" x14ac:dyDescent="0.25">
      <c r="A29" s="2"/>
      <c r="B29" s="2"/>
      <c r="C29" s="2"/>
      <c r="D29" s="2"/>
      <c r="F29" s="2"/>
      <c r="H29" s="1"/>
    </row>
    <row r="30" spans="1:11" x14ac:dyDescent="0.25">
      <c r="A30" s="4"/>
      <c r="B30" s="4"/>
      <c r="C30" s="4"/>
    </row>
  </sheetData>
  <mergeCells count="5">
    <mergeCell ref="A1:H1"/>
    <mergeCell ref="D3:G3"/>
    <mergeCell ref="A9:H9"/>
    <mergeCell ref="D11:G11"/>
    <mergeCell ref="H19:H20"/>
  </mergeCells>
  <dataValidations count="1">
    <dataValidation type="list" allowBlank="1" showInputMessage="1" showErrorMessage="1" sqref="H5:H6 H13:H15">
      <formula1>$D$4:$G$4</formula1>
    </dataValidation>
  </dataValidations>
  <pageMargins left="0.7" right="0.7" top="0.75" bottom="0.75" header="0.3" footer="0.3"/>
  <pageSetup paperSize="9" orientation="landscape" r:id="rId1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zoomScale="85" zoomScaleNormal="85" workbookViewId="0">
      <selection activeCell="D21" sqref="D21"/>
    </sheetView>
  </sheetViews>
  <sheetFormatPr baseColWidth="10" defaultColWidth="9.140625" defaultRowHeight="15" outlineLevelRow="1" outlineLevelCol="1" x14ac:dyDescent="0.25"/>
  <cols>
    <col min="1" max="1" width="49.140625" style="1" customWidth="1"/>
    <col min="2" max="2" width="37.140625" style="1" customWidth="1"/>
    <col min="3" max="3" width="15.85546875" style="1" customWidth="1"/>
    <col min="4" max="4" width="29.140625" style="3" customWidth="1"/>
    <col min="5" max="5" width="27.28515625" style="2" customWidth="1"/>
    <col min="6" max="6" width="27.42578125" style="1" customWidth="1"/>
    <col min="7" max="7" width="45.42578125" style="1" customWidth="1"/>
    <col min="8" max="8" width="15.28515625" style="2" customWidth="1"/>
    <col min="9" max="9" width="25.7109375" style="2" customWidth="1" outlineLevel="1"/>
    <col min="10" max="10" width="37.42578125" style="2" customWidth="1"/>
    <col min="11" max="11" width="5.42578125" style="2" customWidth="1"/>
    <col min="12" max="18" width="5" style="1" customWidth="1"/>
    <col min="19" max="21" width="9.140625" style="1" hidden="1" customWidth="1"/>
    <col min="22" max="22" width="9.140625" style="1" customWidth="1"/>
    <col min="23" max="23" width="7.5703125" style="1" customWidth="1"/>
    <col min="24" max="24" width="8.140625" style="1" customWidth="1"/>
    <col min="25" max="16384" width="9.140625" style="1"/>
  </cols>
  <sheetData>
    <row r="1" spans="1:12" ht="23.25" x14ac:dyDescent="0.25">
      <c r="A1" s="31" t="s">
        <v>0</v>
      </c>
      <c r="B1" s="32"/>
      <c r="C1" s="32"/>
      <c r="D1" s="32"/>
      <c r="E1" s="32"/>
      <c r="F1" s="32"/>
      <c r="G1" s="32"/>
      <c r="H1" s="32"/>
    </row>
    <row r="2" spans="1:12" ht="40.9" customHeight="1" x14ac:dyDescent="0.25">
      <c r="A2" s="15"/>
      <c r="B2" s="15"/>
      <c r="C2" s="27"/>
      <c r="D2" s="27"/>
      <c r="E2" s="27"/>
      <c r="F2" s="27"/>
      <c r="G2" s="27"/>
      <c r="H2" s="27"/>
    </row>
    <row r="3" spans="1:12" ht="23.25" x14ac:dyDescent="0.25">
      <c r="A3" s="5"/>
      <c r="B3" s="5"/>
      <c r="C3" s="5"/>
      <c r="D3" s="30" t="s">
        <v>1</v>
      </c>
      <c r="E3" s="30"/>
      <c r="F3" s="30"/>
      <c r="G3" s="30"/>
    </row>
    <row r="4" spans="1:12" ht="15.75" x14ac:dyDescent="0.25">
      <c r="A4" s="9" t="s">
        <v>2</v>
      </c>
      <c r="B4" s="9" t="s">
        <v>3</v>
      </c>
      <c r="C4" s="9" t="s">
        <v>4</v>
      </c>
      <c r="D4" s="13" t="s">
        <v>5</v>
      </c>
      <c r="E4" s="10" t="s">
        <v>6</v>
      </c>
      <c r="F4" s="10" t="s">
        <v>7</v>
      </c>
      <c r="G4" s="10" t="s">
        <v>8</v>
      </c>
      <c r="H4" s="10" t="s">
        <v>9</v>
      </c>
      <c r="I4" s="11" t="s">
        <v>10</v>
      </c>
      <c r="J4" s="11" t="s">
        <v>11</v>
      </c>
      <c r="L4" s="2"/>
    </row>
    <row r="5" spans="1:12" ht="90" x14ac:dyDescent="0.25">
      <c r="A5" s="17" t="s">
        <v>12</v>
      </c>
      <c r="B5" s="28" t="s">
        <v>32</v>
      </c>
      <c r="C5" s="14">
        <v>0.2</v>
      </c>
      <c r="D5" s="12" t="s">
        <v>34</v>
      </c>
      <c r="E5" s="12" t="s">
        <v>35</v>
      </c>
      <c r="F5" s="12" t="s">
        <v>36</v>
      </c>
      <c r="G5" s="12" t="s">
        <v>37</v>
      </c>
      <c r="H5" s="21" t="s">
        <v>7</v>
      </c>
      <c r="I5" s="22">
        <f>IF(CODE(UPPER(Tableau1468[[#This Row],[Evaluation]]))&lt;67, 69-CODE(UPPER(Tableau1468[[#This Row],[Evaluation]])),68-CODE(UPPER(Tableau1468[[#This Row],[Evaluation]])))*Tableau1468[[#This Row],[Poids]]</f>
        <v>0.2</v>
      </c>
      <c r="J5" s="19"/>
      <c r="L5" s="2"/>
    </row>
    <row r="6" spans="1:12" ht="90" x14ac:dyDescent="0.25">
      <c r="A6" s="17" t="s">
        <v>29</v>
      </c>
      <c r="B6" s="28" t="s">
        <v>33</v>
      </c>
      <c r="C6" s="14">
        <v>0.2</v>
      </c>
      <c r="D6" s="12" t="s">
        <v>39</v>
      </c>
      <c r="E6" s="12" t="s">
        <v>41</v>
      </c>
      <c r="F6" s="12" t="s">
        <v>40</v>
      </c>
      <c r="G6" s="12" t="s">
        <v>38</v>
      </c>
      <c r="H6" s="21" t="s">
        <v>6</v>
      </c>
      <c r="I6" s="22">
        <f>IF(CODE(UPPER(Tableau1468[[#This Row],[Evaluation]]))&lt;67, 69-CODE(UPPER(Tableau1468[[#This Row],[Evaluation]])),68-CODE(UPPER(Tableau1468[[#This Row],[Evaluation]])))*Tableau1468[[#This Row],[Poids]]</f>
        <v>0.60000000000000009</v>
      </c>
      <c r="J6" s="19"/>
      <c r="L6" s="2"/>
    </row>
    <row r="7" spans="1:12" ht="21.75" hidden="1" customHeight="1" outlineLevel="1" thickBot="1" x14ac:dyDescent="0.3">
      <c r="A7" s="18"/>
      <c r="B7" s="5"/>
      <c r="C7" s="7">
        <f>SUM(Tableau1468[Poids])</f>
        <v>0.4</v>
      </c>
      <c r="E7" s="6"/>
      <c r="H7" s="8" t="str">
        <f>IF(Tableau1468[[#Totals],[Calcul Intermédiaire]]&gt;=3.6,"A",IF(Tableau1468[[#Totals],[Calcul Intermédiaire]]&gt;=2.6,"B", IF(Tableau1468[[#Totals],[Calcul Intermédiaire]]&gt;=1.6,"C","D")))</f>
        <v>D</v>
      </c>
      <c r="I7" s="21">
        <f>SUBTOTAL(109,Tableau1468[Calcul Intermédiaire])</f>
        <v>0.8</v>
      </c>
      <c r="J7" s="1"/>
      <c r="K7" s="1"/>
    </row>
    <row r="8" spans="1:12" ht="14.45" customHeight="1" collapsed="1" x14ac:dyDescent="0.25">
      <c r="A8" s="2"/>
      <c r="B8" s="2"/>
      <c r="C8" s="2"/>
      <c r="D8" s="2"/>
      <c r="F8" s="2"/>
      <c r="H8" s="1"/>
      <c r="I8" s="1"/>
      <c r="J8" s="1"/>
      <c r="K8" s="1"/>
    </row>
    <row r="9" spans="1:12" ht="27" customHeight="1" x14ac:dyDescent="0.25">
      <c r="A9" s="31" t="s">
        <v>14</v>
      </c>
      <c r="B9" s="32"/>
      <c r="C9" s="32"/>
      <c r="D9" s="32"/>
      <c r="E9" s="32"/>
      <c r="F9" s="32"/>
      <c r="G9" s="32"/>
      <c r="H9" s="32"/>
    </row>
    <row r="10" spans="1:12" ht="34.15" customHeight="1" x14ac:dyDescent="0.25">
      <c r="A10" s="15"/>
      <c r="B10" s="15"/>
      <c r="C10" s="27"/>
      <c r="D10" s="27"/>
      <c r="E10" s="27"/>
      <c r="F10" s="27"/>
      <c r="G10" s="27"/>
      <c r="H10" s="27"/>
    </row>
    <row r="11" spans="1:12" ht="15" customHeight="1" x14ac:dyDescent="0.25">
      <c r="A11" s="5"/>
      <c r="B11" s="5"/>
      <c r="C11" s="5"/>
      <c r="D11" s="30" t="s">
        <v>1</v>
      </c>
      <c r="E11" s="30"/>
      <c r="F11" s="30"/>
      <c r="G11" s="30"/>
    </row>
    <row r="12" spans="1:12" ht="15" customHeight="1" x14ac:dyDescent="0.25">
      <c r="A12" s="9" t="s">
        <v>2</v>
      </c>
      <c r="B12" s="9" t="s">
        <v>3</v>
      </c>
      <c r="C12" s="9" t="s">
        <v>4</v>
      </c>
      <c r="D12" s="13" t="s">
        <v>5</v>
      </c>
      <c r="E12" s="10" t="s">
        <v>6</v>
      </c>
      <c r="F12" s="10" t="s">
        <v>7</v>
      </c>
      <c r="G12" s="10" t="s">
        <v>8</v>
      </c>
      <c r="H12" s="10" t="s">
        <v>9</v>
      </c>
      <c r="I12" s="11" t="s">
        <v>10</v>
      </c>
      <c r="J12" s="11" t="s">
        <v>11</v>
      </c>
      <c r="L12" s="2"/>
    </row>
    <row r="13" spans="1:12" ht="39" customHeight="1" x14ac:dyDescent="0.25">
      <c r="A13" s="20" t="s">
        <v>17</v>
      </c>
      <c r="B13" s="28" t="s">
        <v>43</v>
      </c>
      <c r="C13" s="14">
        <v>0.2</v>
      </c>
      <c r="D13" s="24" t="s">
        <v>18</v>
      </c>
      <c r="E13" s="25" t="s">
        <v>42</v>
      </c>
      <c r="F13" s="26" t="s">
        <v>20</v>
      </c>
      <c r="G13" s="26" t="s">
        <v>19</v>
      </c>
      <c r="H13" s="8" t="s">
        <v>7</v>
      </c>
      <c r="I13" s="19">
        <f>IF(CODE(UPPER(Tableau2579[[#This Row],[Evaluation]]))&lt;67, 69-CODE(UPPER(Tableau2579[[#This Row],[Evaluation]])),68-CODE(UPPER(Tableau2579[[#This Row],[Evaluation]])))*Tableau2579[[#This Row],[Poids]]</f>
        <v>0.2</v>
      </c>
      <c r="J13" s="19"/>
      <c r="L13" s="2"/>
    </row>
    <row r="14" spans="1:12" ht="39" customHeight="1" x14ac:dyDescent="0.25">
      <c r="A14" s="20" t="s">
        <v>15</v>
      </c>
      <c r="B14" s="28" t="s">
        <v>30</v>
      </c>
      <c r="C14" s="14">
        <v>0.2</v>
      </c>
      <c r="D14" s="24" t="s">
        <v>23</v>
      </c>
      <c r="E14" s="25" t="s">
        <v>22</v>
      </c>
      <c r="F14" s="26" t="s">
        <v>21</v>
      </c>
      <c r="G14" s="26" t="s">
        <v>24</v>
      </c>
      <c r="H14" s="8" t="s">
        <v>5</v>
      </c>
      <c r="I14" s="19">
        <f>IF(CODE(UPPER(Tableau2579[[#This Row],[Evaluation]]))&lt;67, 69-CODE(UPPER(Tableau2579[[#This Row],[Evaluation]])),68-CODE(UPPER(Tableau2579[[#This Row],[Evaluation]])))*Tableau2579[[#This Row],[Poids]]</f>
        <v>0.8</v>
      </c>
      <c r="J14" s="19"/>
      <c r="L14" s="2"/>
    </row>
    <row r="15" spans="1:12" ht="39.75" customHeight="1" x14ac:dyDescent="0.25">
      <c r="A15" s="20" t="s">
        <v>16</v>
      </c>
      <c r="B15" s="28" t="s">
        <v>31</v>
      </c>
      <c r="C15" s="14">
        <v>0.2</v>
      </c>
      <c r="D15" s="24" t="s">
        <v>25</v>
      </c>
      <c r="E15" s="25" t="s">
        <v>26</v>
      </c>
      <c r="F15" s="26" t="s">
        <v>27</v>
      </c>
      <c r="G15" s="26" t="s">
        <v>28</v>
      </c>
      <c r="H15" s="8" t="s">
        <v>5</v>
      </c>
      <c r="I15" s="8">
        <f>IF(CODE(UPPER(Tableau2579[[#This Row],[Evaluation]]))&lt;67, 69-CODE(UPPER(Tableau2579[[#This Row],[Evaluation]])),68-CODE(UPPER(Tableau2579[[#This Row],[Evaluation]])))*Tableau2579[[#This Row],[Poids]]</f>
        <v>0.8</v>
      </c>
      <c r="J15" s="19"/>
      <c r="L15" s="2"/>
    </row>
    <row r="16" spans="1:12" ht="24" hidden="1" customHeight="1" outlineLevel="1" thickBot="1" x14ac:dyDescent="0.3">
      <c r="A16" s="18"/>
      <c r="B16" s="5"/>
      <c r="C16" s="7">
        <f>SUM(C5:C6,C13:C15)</f>
        <v>1</v>
      </c>
      <c r="E16" s="6"/>
      <c r="H16" s="8" t="str">
        <f>IF(Tableau2579[[#Totals],[Calcul Intermédiaire]]&gt;=3.6,"A",IF(Tableau2579[[#Totals],[Calcul Intermédiaire]]&gt;=2.6,"B", IF(Tableau2579[[#Totals],[Calcul Intermédiaire]]&gt;=1.6,"C","D")))</f>
        <v>C</v>
      </c>
      <c r="I16" s="8">
        <f>SUBTOTAL(109,Tableau2579[Calcul Intermédiaire])</f>
        <v>1.8</v>
      </c>
      <c r="J16" s="1"/>
      <c r="K16" s="1"/>
    </row>
    <row r="17" spans="1:11" ht="15" customHeight="1" collapsed="1" thickBot="1" x14ac:dyDescent="0.3">
      <c r="A17" s="2"/>
      <c r="B17" s="2"/>
      <c r="C17" s="2"/>
      <c r="D17" s="2"/>
      <c r="F17" s="2"/>
      <c r="H17" s="1"/>
      <c r="I17" s="1"/>
      <c r="J17" s="1"/>
      <c r="K17" s="1"/>
    </row>
    <row r="18" spans="1:11" ht="15" customHeight="1" thickBot="1" x14ac:dyDescent="0.3">
      <c r="A18" s="2"/>
      <c r="B18" s="2"/>
      <c r="C18" s="2"/>
      <c r="D18" s="2"/>
      <c r="F18" s="2"/>
      <c r="H18" s="1"/>
      <c r="I18" s="29">
        <f>Tableau2579[[#Totals],[Calcul Intermédiaire]]+Tableau1468[[#Totals],[Calcul Intermédiaire]]</f>
        <v>2.6</v>
      </c>
      <c r="J18" s="1"/>
      <c r="K18" s="1"/>
    </row>
    <row r="19" spans="1:11" ht="15.75" customHeight="1" x14ac:dyDescent="0.25">
      <c r="A19" s="2"/>
      <c r="B19" s="2"/>
      <c r="C19" s="2"/>
      <c r="D19" s="2"/>
      <c r="F19" s="2"/>
      <c r="G19" s="16" t="s">
        <v>13</v>
      </c>
      <c r="H19" s="33" t="str">
        <f>IF(I18&gt;=3.6,"A",IF(I18&gt;=2.6,"B", IF(I18&gt;=1.6,"C","D")))</f>
        <v>B</v>
      </c>
      <c r="I19" s="1"/>
      <c r="J19" s="1"/>
      <c r="K19" s="1"/>
    </row>
    <row r="20" spans="1:11" ht="15" customHeight="1" thickBot="1" x14ac:dyDescent="0.3">
      <c r="A20" s="2"/>
      <c r="B20" s="2"/>
      <c r="C20" s="2"/>
      <c r="D20" s="2"/>
      <c r="F20" s="2"/>
      <c r="H20" s="34"/>
      <c r="I20" s="1"/>
      <c r="J20" s="1"/>
      <c r="K20" s="1"/>
    </row>
    <row r="21" spans="1:11" x14ac:dyDescent="0.25">
      <c r="A21" s="2"/>
      <c r="B21" s="2"/>
      <c r="C21" s="2"/>
      <c r="D21" s="2"/>
      <c r="F21" s="2"/>
      <c r="H21" s="1"/>
      <c r="I21" s="1"/>
      <c r="J21" s="1"/>
      <c r="K21" s="1"/>
    </row>
    <row r="22" spans="1:11" x14ac:dyDescent="0.25">
      <c r="A22" s="2"/>
      <c r="B22" s="2"/>
      <c r="C22" s="2"/>
      <c r="D22" s="2"/>
      <c r="F22" s="2"/>
      <c r="H22" s="1"/>
      <c r="I22" s="1"/>
      <c r="J22" s="1"/>
      <c r="K22" s="1"/>
    </row>
    <row r="23" spans="1:11" x14ac:dyDescent="0.25">
      <c r="A23" s="2"/>
      <c r="B23" s="2"/>
      <c r="C23" s="2"/>
      <c r="D23" s="2"/>
      <c r="F23" s="2"/>
      <c r="H23" s="1"/>
      <c r="I23" s="1"/>
      <c r="J23" s="1"/>
      <c r="K23" s="1"/>
    </row>
    <row r="24" spans="1:11" x14ac:dyDescent="0.25">
      <c r="A24" s="2"/>
      <c r="B24" s="2"/>
      <c r="C24" s="2"/>
      <c r="D24" s="2"/>
      <c r="F24" s="2"/>
      <c r="H24" s="1"/>
      <c r="I24" s="1"/>
      <c r="J24" s="1"/>
      <c r="K24" s="1"/>
    </row>
    <row r="25" spans="1:11" x14ac:dyDescent="0.25">
      <c r="A25" s="2"/>
      <c r="B25" s="2"/>
      <c r="C25" s="2"/>
      <c r="D25" s="2"/>
      <c r="F25" s="2"/>
      <c r="H25" s="1"/>
      <c r="I25" s="1"/>
      <c r="J25" s="1"/>
      <c r="K25" s="1"/>
    </row>
    <row r="26" spans="1:11" x14ac:dyDescent="0.25">
      <c r="A26" s="2"/>
      <c r="B26" s="2"/>
      <c r="C26" s="2"/>
      <c r="D26" s="2"/>
      <c r="F26" s="2"/>
      <c r="H26" s="1"/>
      <c r="I26" s="1"/>
      <c r="J26" s="1"/>
      <c r="K26" s="1"/>
    </row>
    <row r="27" spans="1:11" x14ac:dyDescent="0.25">
      <c r="A27" s="2"/>
      <c r="B27" s="2"/>
      <c r="C27" s="2"/>
      <c r="D27" s="2"/>
      <c r="F27" s="2"/>
      <c r="H27" s="1"/>
      <c r="I27" s="1"/>
      <c r="J27" s="1"/>
      <c r="K27" s="1"/>
    </row>
    <row r="28" spans="1:11" x14ac:dyDescent="0.25">
      <c r="A28" s="2"/>
      <c r="B28" s="2"/>
      <c r="C28" s="2"/>
      <c r="D28" s="2"/>
      <c r="F28" s="2"/>
      <c r="H28" s="1"/>
    </row>
    <row r="29" spans="1:11" x14ac:dyDescent="0.25">
      <c r="A29" s="2"/>
      <c r="B29" s="2"/>
      <c r="C29" s="2"/>
      <c r="D29" s="2"/>
      <c r="F29" s="2"/>
      <c r="H29" s="1"/>
    </row>
    <row r="30" spans="1:11" x14ac:dyDescent="0.25">
      <c r="A30" s="4"/>
      <c r="B30" s="4"/>
      <c r="C30" s="4"/>
    </row>
  </sheetData>
  <mergeCells count="5">
    <mergeCell ref="A1:H1"/>
    <mergeCell ref="D3:G3"/>
    <mergeCell ref="A9:H9"/>
    <mergeCell ref="D11:G11"/>
    <mergeCell ref="H19:H20"/>
  </mergeCells>
  <dataValidations count="1">
    <dataValidation type="list" allowBlank="1" showInputMessage="1" showErrorMessage="1" sqref="H5:H6 H13:H15">
      <formula1>$D$4:$G$4</formula1>
    </dataValidation>
  </dataValidations>
  <pageMargins left="0.7" right="0.7" top="0.75" bottom="0.75" header="0.3" footer="0.3"/>
  <pageSetup paperSize="9" orientation="landscape" r:id="rId1"/>
  <drawing r:id="rId2"/>
  <tableParts count="2"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2EF9387AFE154180253C70684E6A1F" ma:contentTypeVersion="9" ma:contentTypeDescription="Crée un document." ma:contentTypeScope="" ma:versionID="b7d800624c7fe3416aebbad1f5f483e7">
  <xsd:schema xmlns:xsd="http://www.w3.org/2001/XMLSchema" xmlns:xs="http://www.w3.org/2001/XMLSchema" xmlns:p="http://schemas.microsoft.com/office/2006/metadata/properties" xmlns:ns2="12a06510-49c4-4c02-8123-cb6461314b2d" targetNamespace="http://schemas.microsoft.com/office/2006/metadata/properties" ma:root="true" ma:fieldsID="db4b15453ab1ec11b534c5563fc2d580" ns2:_="">
    <xsd:import namespace="12a06510-49c4-4c02-8123-cb6461314b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a06510-49c4-4c02-8123-cb6461314b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7276B75-1DC9-4E69-B1E6-FFF72BD2DE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801A40B-D31F-4982-8880-A1EE7B3D95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a06510-49c4-4c02-8123-cb6461314b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82C74-8FE4-4B93-B8C7-4961500081CA}">
  <ds:schemaRefs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  <ds:schemaRef ds:uri="12a06510-49c4-4c02-8123-cb6461314b2d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Grille evaluation</vt:lpstr>
      <vt:lpstr>Gr.1</vt:lpstr>
      <vt:lpstr>Gr.2</vt:lpstr>
      <vt:lpstr>Gr.3</vt:lpstr>
      <vt:lpstr>Gr.4</vt:lpstr>
      <vt:lpstr>Gr.5</vt:lpstr>
      <vt:lpstr>Gr.6</vt:lpstr>
      <vt:lpstr>Gr.7</vt:lpstr>
      <vt:lpstr>Feuil2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2020-12-03T15:06:28Z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0x0101006F2EF9387AFE154180253C70684E6A1F</vt:lpwstr>
  </property>
</Properties>
</file>