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7850" windowHeight="8490" activeTab="3"/>
  </bookViews>
  <sheets>
    <sheet name="Schématisation" sheetId="2" r:id="rId1"/>
    <sheet name="Calculs Généraux" sheetId="1" r:id="rId2"/>
    <sheet name=" PdC échangeur" sheetId="8" r:id="rId3"/>
    <sheet name="choix de la pompe" sheetId="3" r:id="rId4"/>
    <sheet name="Choix du broyeur" sheetId="6" r:id="rId5"/>
    <sheet name="Ref pompes" sheetId="5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26" i="1" l="1"/>
  <c r="B33" i="1" l="1"/>
  <c r="C22" i="1" l="1"/>
  <c r="B29" i="1" l="1"/>
  <c r="G18" i="1" l="1"/>
  <c r="C5" i="3" l="1"/>
  <c r="B5" i="3"/>
  <c r="A5" i="3"/>
  <c r="B12" i="1"/>
  <c r="G38" i="1"/>
  <c r="G39" i="1"/>
  <c r="G40" i="1"/>
  <c r="G41" i="1"/>
  <c r="G42" i="1"/>
  <c r="G43" i="1"/>
  <c r="G32" i="1" l="1"/>
  <c r="G33" i="1"/>
  <c r="G34" i="1"/>
  <c r="G35" i="1"/>
  <c r="G36" i="1"/>
  <c r="G37" i="1"/>
  <c r="G31" i="1"/>
  <c r="G30" i="1"/>
  <c r="K6" i="1" l="1"/>
  <c r="G11" i="1"/>
  <c r="G10" i="1"/>
  <c r="C8" i="3"/>
  <c r="A8" i="3"/>
  <c r="C4" i="3"/>
  <c r="A4" i="3"/>
  <c r="A7" i="3"/>
  <c r="A3" i="3"/>
  <c r="O5" i="1" l="1"/>
  <c r="C19" i="1" s="1"/>
  <c r="J34" i="1"/>
  <c r="J42" i="1"/>
  <c r="J35" i="1"/>
  <c r="J43" i="1"/>
  <c r="J30" i="1"/>
  <c r="J38" i="1"/>
  <c r="J31" i="1"/>
  <c r="J39" i="1"/>
  <c r="J32" i="1"/>
  <c r="J40" i="1"/>
  <c r="J33" i="1"/>
  <c r="J41" i="1"/>
  <c r="J36" i="1"/>
  <c r="J37" i="1"/>
  <c r="C23" i="6"/>
  <c r="O4" i="1" l="1"/>
  <c r="P4" i="1" s="1"/>
  <c r="O8" i="1"/>
  <c r="O7" i="1"/>
  <c r="C17" i="1" s="1"/>
  <c r="D11" i="1" l="1"/>
  <c r="D12" i="1"/>
  <c r="C18" i="1" s="1"/>
  <c r="B28" i="1" l="1"/>
  <c r="C16" i="1"/>
  <c r="G22" i="1" s="1"/>
  <c r="B34" i="1"/>
  <c r="C28" i="1"/>
  <c r="D28" i="1" s="1"/>
  <c r="B4" i="3" l="1"/>
  <c r="D5" i="3" s="1"/>
  <c r="C29" i="1"/>
  <c r="B8" i="3"/>
  <c r="D9" i="3" l="1"/>
  <c r="H42" i="1"/>
  <c r="I42" i="1" s="1"/>
  <c r="H34" i="1"/>
  <c r="I34" i="1" s="1"/>
  <c r="H41" i="1"/>
  <c r="I41" i="1" s="1"/>
  <c r="H40" i="1"/>
  <c r="I40" i="1" s="1"/>
  <c r="H32" i="1"/>
  <c r="I32" i="1" s="1"/>
  <c r="H35" i="1"/>
  <c r="I35" i="1" s="1"/>
  <c r="H39" i="1"/>
  <c r="I39" i="1" s="1"/>
  <c r="H36" i="1"/>
  <c r="I36" i="1" s="1"/>
  <c r="H37" i="1"/>
  <c r="I37" i="1" s="1"/>
  <c r="H43" i="1"/>
  <c r="I43" i="1" s="1"/>
  <c r="H33" i="1"/>
  <c r="I33" i="1" s="1"/>
  <c r="H30" i="1"/>
  <c r="I30" i="1" s="1"/>
  <c r="H38" i="1"/>
  <c r="I38" i="1" s="1"/>
  <c r="H31" i="1"/>
  <c r="I31" i="1" s="1"/>
</calcChain>
</file>

<file path=xl/sharedStrings.xml><?xml version="1.0" encoding="utf-8"?>
<sst xmlns="http://schemas.openxmlformats.org/spreadsheetml/2006/main" count="186" uniqueCount="152">
  <si>
    <t>Objectif : Dimensionner les pompes (circulateur)  et les diamètres des tuyauteries vers la  PAC</t>
  </si>
  <si>
    <t>Choix et dimensionnement des circuits chaud et froid de la PAC et du circuit des eaux usées.</t>
  </si>
  <si>
    <t xml:space="preserve"> (Voir schéma de l’installation du dossier technique).</t>
  </si>
  <si>
    <r>
      <t>·</t>
    </r>
    <r>
      <rPr>
        <sz val="7"/>
        <color rgb="FF505050"/>
        <rFont val="Times New Roman"/>
        <family val="1"/>
      </rPr>
      <t xml:space="preserve">         </t>
    </r>
    <r>
      <rPr>
        <sz val="11"/>
        <color rgb="FF505050"/>
        <rFont val="Calibri"/>
        <family val="2"/>
        <scheme val="minor"/>
      </rPr>
      <t>-Le circuit chaud relie l’échangeur eaux usées à la PAC. Il devra comporter 7 coudes, 8 m de tuyauterie, 2 vannes à passage direct et une pompe</t>
    </r>
  </si>
  <si>
    <r>
      <t>·</t>
    </r>
    <r>
      <rPr>
        <sz val="7"/>
        <color rgb="FF505050"/>
        <rFont val="Times New Roman"/>
        <family val="1"/>
      </rPr>
      <t xml:space="preserve">         </t>
    </r>
    <r>
      <rPr>
        <sz val="11"/>
        <color rgb="FF505050"/>
        <rFont val="Calibri"/>
        <family val="2"/>
        <scheme val="minor"/>
      </rPr>
      <t xml:space="preserve">Le circuit froid relie la PAC au ballon tampon Il devra comporter 6 coudes, 4 m de tuyauterie et deux vannes à passage direct. </t>
    </r>
    <r>
      <rPr>
        <b/>
        <sz val="11"/>
        <color rgb="FF505050"/>
        <rFont val="Calibri"/>
        <family val="2"/>
        <scheme val="minor"/>
      </rPr>
      <t>La pompe de ce circuit est intégrée à la PAC</t>
    </r>
  </si>
  <si>
    <r>
      <t>·</t>
    </r>
    <r>
      <rPr>
        <sz val="7"/>
        <color rgb="FF505050"/>
        <rFont val="Times New Roman"/>
        <family val="1"/>
      </rPr>
      <t xml:space="preserve">         </t>
    </r>
    <r>
      <rPr>
        <sz val="11"/>
        <color rgb="FF505050"/>
        <rFont val="Calibri"/>
        <family val="2"/>
        <scheme val="minor"/>
      </rPr>
      <t>Le circuit eaux usées sera dimensionné en fonction de l’échangeur et le broyeur</t>
    </r>
  </si>
  <si>
    <t>Dimensionner les pompes et les diamètres des tuyauteries de la PAC.</t>
  </si>
  <si>
    <t>Quantifier les pertes de charges</t>
  </si>
  <si>
    <t>Données d'entrée</t>
  </si>
  <si>
    <t>Paramètres</t>
  </si>
  <si>
    <t>Nombre de Reynolds</t>
  </si>
  <si>
    <t>Donnée d'entrée</t>
  </si>
  <si>
    <t>Nombre</t>
  </si>
  <si>
    <t>coefficient de perte de charge</t>
  </si>
  <si>
    <t>Re</t>
  </si>
  <si>
    <t>choix des étudiants</t>
  </si>
  <si>
    <t>coudes asp</t>
  </si>
  <si>
    <t xml:space="preserve">masse volumique </t>
  </si>
  <si>
    <t>kg/m3</t>
  </si>
  <si>
    <t>diamètre des sections du réseaux</t>
  </si>
  <si>
    <t>Umoyen</t>
  </si>
  <si>
    <t>m/s</t>
  </si>
  <si>
    <t>Convergent-divergent 65/100 (broyeur)</t>
  </si>
  <si>
    <t>pesanteur</t>
  </si>
  <si>
    <t>m/s²</t>
  </si>
  <si>
    <t>DN 200</t>
  </si>
  <si>
    <t>mm</t>
  </si>
  <si>
    <t>vannes de passage asp</t>
  </si>
  <si>
    <t>débit egout</t>
  </si>
  <si>
    <t>l/s</t>
  </si>
  <si>
    <t>DN 60</t>
  </si>
  <si>
    <t>choix 1 car DN pompe</t>
  </si>
  <si>
    <t>coudes Ref</t>
  </si>
  <si>
    <t>débit échangeur</t>
  </si>
  <si>
    <t>DN 100</t>
  </si>
  <si>
    <t>Umoyen ref</t>
  </si>
  <si>
    <t>Convergent-divergent 65/100 (échangeur)</t>
  </si>
  <si>
    <t>vannes de passage Ref</t>
  </si>
  <si>
    <t>l/min</t>
  </si>
  <si>
    <t>tuyauterie Asp (conduite PVC)</t>
  </si>
  <si>
    <t>m</t>
  </si>
  <si>
    <t>m3/h</t>
  </si>
  <si>
    <t>tuyauterie Ref (conduite PVC)</t>
  </si>
  <si>
    <t>Hauteurs</t>
  </si>
  <si>
    <t>Hauteur h1 (asp et ref)</t>
  </si>
  <si>
    <t>choix 2 (valeur à compléter Cf onglet suivant) Elle conditionne l'installation finale</t>
  </si>
  <si>
    <t>Calcul des pertes de charge par section et type</t>
  </si>
  <si>
    <t>hauteur h1+h2 (ref et pompe)</t>
  </si>
  <si>
    <t>hauteur h2 (asp et pompe)</t>
  </si>
  <si>
    <t>(valeur à compléter Cf onglet suivant) Elle conditionne le NPSH</t>
  </si>
  <si>
    <t>perte de charge régulière Asp</t>
  </si>
  <si>
    <t>Pa</t>
  </si>
  <si>
    <t>Pasp</t>
  </si>
  <si>
    <t>bar</t>
  </si>
  <si>
    <t>perte de charge singulière Asp</t>
  </si>
  <si>
    <t>Pref</t>
  </si>
  <si>
    <t>perte de charge régulière Ref</t>
  </si>
  <si>
    <t>Pvap</t>
  </si>
  <si>
    <t>perte de charge singulière Ref</t>
  </si>
  <si>
    <t>NPSH requis</t>
  </si>
  <si>
    <t>choix 1 car NPSH pompe</t>
  </si>
  <si>
    <t>PdC Echangeur</t>
  </si>
  <si>
    <t>Hauteur manométrique (Ha+Hr+Ja+Jr+Pu)=Ja+Jr (circuit fermé)</t>
  </si>
  <si>
    <t>Données d'entrée PdC</t>
  </si>
  <si>
    <t>Donnée échangeur</t>
  </si>
  <si>
    <t>Hmt</t>
  </si>
  <si>
    <t>Rappel 1bars =10 mCE</t>
  </si>
  <si>
    <t>Charge pompe deltaP</t>
  </si>
  <si>
    <t>DeltaP</t>
  </si>
  <si>
    <t>débit nomi</t>
  </si>
  <si>
    <t>DP =AQ²+B</t>
  </si>
  <si>
    <t>A</t>
  </si>
  <si>
    <t>Visualiser la courbe réseau</t>
  </si>
  <si>
    <t>B</t>
  </si>
  <si>
    <t>Débit [m3/h]</t>
  </si>
  <si>
    <t>Débit [m3/s]</t>
  </si>
  <si>
    <t>Hmt [mCE]</t>
  </si>
  <si>
    <t>Hmt [bars]</t>
  </si>
  <si>
    <t>NPSH</t>
  </si>
  <si>
    <t>Vérification 1</t>
  </si>
  <si>
    <t>ecart</t>
  </si>
  <si>
    <t>régle up to 0,5</t>
  </si>
  <si>
    <t>Attention au signede de h2 si la pompe est en aspiration mettre h2 négative</t>
  </si>
  <si>
    <t xml:space="preserve">Biblio </t>
  </si>
  <si>
    <t>http://processs.free.fr/Pages/VersionWeb.php?page=0906#Vannes_et_clapets</t>
  </si>
  <si>
    <t>Objectif : Dimensionner les pertes de charge dans l'échangeur spiralé</t>
  </si>
  <si>
    <t>Echangeur spiralé</t>
  </si>
  <si>
    <t>model 30L</t>
  </si>
  <si>
    <t>DN100</t>
  </si>
  <si>
    <t>PdC</t>
  </si>
  <si>
    <t>http://formation.xpair.com/ Tous droits</t>
  </si>
  <si>
    <t>La technologie retenue :</t>
  </si>
  <si>
    <t>Objectif : valider le choix de la pompe</t>
  </si>
  <si>
    <t>Méthode :</t>
  </si>
  <si>
    <t>Pour sélectionner un circulateur il faut :</t>
  </si>
  <si>
    <t>- connaître le débit du circuit,</t>
  </si>
  <si>
    <t>Hmt HF4</t>
  </si>
  <si>
    <t xml:space="preserve"> connaître les pertes de charge du circuit le plus défavorisé.</t>
  </si>
  <si>
    <t>perte de
charge à créer sur le réseau</t>
  </si>
  <si>
    <t>Démarche à suivre pour effectuer une sélection</t>
  </si>
  <si>
    <t>1- Sélectionner le type du circulateur sur le diagramme général</t>
  </si>
  <si>
    <t>A ajouter en hauteur entre asp et pompe</t>
  </si>
  <si>
    <t>2- Sélectionner la courbe de fonctionnement du circulateur sur son diagramme spécifique</t>
  </si>
  <si>
    <t>Biblio</t>
  </si>
  <si>
    <t>https://www.maxicours.com/se/cours/selection-des-pompes-hydrauliques-volumetriques/</t>
  </si>
  <si>
    <t>https://www.youtube.com/watch?v=q7xM_XgAIGQ</t>
  </si>
  <si>
    <t>Fournisseur</t>
  </si>
  <si>
    <t>https://www.labonnepompe.com/60-pompe-a-eau-pedrollo-hf-25-110-centrifuge-triphase-380v.html</t>
  </si>
  <si>
    <t>Objectif : valider le choix du broyeur</t>
  </si>
  <si>
    <t>Débit projet</t>
  </si>
  <si>
    <t>Débit broyeur refoulement</t>
  </si>
  <si>
    <t>DN projet</t>
  </si>
  <si>
    <t>DN HPL</t>
  </si>
  <si>
    <t xml:space="preserve">Presion max </t>
  </si>
  <si>
    <t>Pression max HPL</t>
  </si>
  <si>
    <t>Référence Fournisseur</t>
  </si>
  <si>
    <t>https://www.boerger.com/fr_FR/produits/appareils-de-broyage/vue-densemble.html</t>
  </si>
  <si>
    <t>Illustration :</t>
  </si>
  <si>
    <t>type</t>
  </si>
  <si>
    <t>pompes à engrenages (interne/externe)</t>
  </si>
  <si>
    <t>pompes à piston</t>
  </si>
  <si>
    <t>pompes à palettes</t>
  </si>
  <si>
    <t>pompe à vis</t>
  </si>
  <si>
    <t>debit</t>
  </si>
  <si>
    <t>debit constant</t>
  </si>
  <si>
    <t>très grand débits</t>
  </si>
  <si>
    <t>rappel le débit dépend de la vitesse de rotation, de la pression existant au refoulement et de la viscosité du fluide</t>
  </si>
  <si>
    <t>pression</t>
  </si>
  <si>
    <t>50-210 bars</t>
  </si>
  <si>
    <t>300-450 bars</t>
  </si>
  <si>
    <t>hautes</t>
  </si>
  <si>
    <t>vitesse</t>
  </si>
  <si>
    <t>3000-600 tr/min</t>
  </si>
  <si>
    <t>grande vitesse</t>
  </si>
  <si>
    <t>&lt;3000 tr/min</t>
  </si>
  <si>
    <t>avantage</t>
  </si>
  <si>
    <t>peu couteuse</t>
  </si>
  <si>
    <t>meilleur rendement volumétrique/fiables</t>
  </si>
  <si>
    <t>meilleur que les engrenages sur le rendement volumétrique/bruit faible</t>
  </si>
  <si>
    <t>peu de bruit</t>
  </si>
  <si>
    <t>inconvenient</t>
  </si>
  <si>
    <t>rendenmtn volumétrique faible</t>
  </si>
  <si>
    <t>couteuse</t>
  </si>
  <si>
    <t>plus couteuse que les pompes àengrenages et moins que à pistons/fragiles</t>
  </si>
  <si>
    <t>peu efficace et couteuse</t>
  </si>
  <si>
    <t>usage courant</t>
  </si>
  <si>
    <t>Engrenage extern : ascencsuer, fenduse de buche  Engrnage interner :hydraulique non mobiles(machines outils, presse etc et véhicules das un espace clos c(chariot élévateur)</t>
  </si>
  <si>
    <t>engin de chantier, vérin hydraulique, transport hydraucarbure, achine de découpe</t>
  </si>
  <si>
    <t>matériel de travaucpublicc/ machine de moulage sous pression</t>
  </si>
  <si>
    <t>pompage de fluides visqueux à HP (pétrole brut)</t>
  </si>
  <si>
    <t xml:space="preserve">Aide : Généralement, dans le cas de pressions nominales (en fonctionnement continu) qui ne dépassent par 100 bars, on peut choisir n'importe quel type de pompe. </t>
  </si>
  <si>
    <t>environ 1.2m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</si>
</sst>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11"/>
      <color rgb="FF505050"/>
      <name val="Calibri"/>
      <family val="2"/>
      <scheme val="minor"/>
    </font>
    <font>
      <sz val="11"/>
      <color rgb="FF505050"/>
      <name val="Symbol"/>
      <family val="1"/>
      <charset val="2"/>
    </font>
    <font>
      <sz val="7"/>
      <color rgb="FF505050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Fill="1" applyBorder="1"/>
    <xf numFmtId="0" fontId="1" fillId="0" borderId="0" xfId="0" applyFont="1"/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Fill="1" applyBorder="1"/>
    <xf numFmtId="0" fontId="1" fillId="2" borderId="0" xfId="0" applyFont="1" applyFill="1" applyBorder="1" applyAlignment="1">
      <alignment horizontal="center"/>
    </xf>
    <xf numFmtId="0" fontId="0" fillId="6" borderId="0" xfId="0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10" xfId="0" applyNumberFormat="1" applyBorder="1"/>
    <xf numFmtId="2" fontId="0" fillId="0" borderId="0" xfId="0" applyNumberFormat="1" applyFill="1" applyBorder="1"/>
    <xf numFmtId="0" fontId="0" fillId="0" borderId="7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3" borderId="0" xfId="0" applyFill="1"/>
    <xf numFmtId="2" fontId="0" fillId="6" borderId="0" xfId="0" applyNumberFormat="1" applyFill="1" applyBorder="1"/>
    <xf numFmtId="0" fontId="0" fillId="6" borderId="0" xfId="0" applyFill="1"/>
    <xf numFmtId="0" fontId="0" fillId="0" borderId="0" xfId="0" applyAlignment="1"/>
    <xf numFmtId="2" fontId="0" fillId="0" borderId="0" xfId="0" applyNumberFormat="1"/>
    <xf numFmtId="2" fontId="0" fillId="0" borderId="10" xfId="0" applyNumberFormat="1" applyFill="1" applyBorder="1"/>
    <xf numFmtId="0" fontId="0" fillId="0" borderId="7" xfId="0" applyFill="1" applyBorder="1"/>
    <xf numFmtId="0" fontId="0" fillId="6" borderId="0" xfId="0" applyFill="1" applyBorder="1" applyAlignment="1"/>
    <xf numFmtId="0" fontId="8" fillId="0" borderId="0" xfId="1"/>
    <xf numFmtId="11" fontId="0" fillId="0" borderId="10" xfId="0" applyNumberFormat="1" applyBorder="1"/>
    <xf numFmtId="0" fontId="0" fillId="0" borderId="0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8" borderId="0" xfId="0" applyFill="1"/>
    <xf numFmtId="2" fontId="0" fillId="8" borderId="0" xfId="0" applyNumberFormat="1" applyFill="1" applyBorder="1"/>
    <xf numFmtId="0" fontId="0" fillId="0" borderId="0" xfId="0" applyFill="1"/>
    <xf numFmtId="0" fontId="6" fillId="0" borderId="0" xfId="0" applyFont="1" applyFill="1" applyAlignment="1">
      <alignment vertical="center" wrapText="1"/>
    </xf>
    <xf numFmtId="0" fontId="0" fillId="0" borderId="0" xfId="0" applyFill="1" applyBorder="1" applyAlignment="1"/>
    <xf numFmtId="0" fontId="0" fillId="0" borderId="0" xfId="0" applyFill="1" applyAlignment="1"/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6" borderId="0" xfId="0" applyFill="1" applyBorder="1" applyAlignment="1">
      <alignment horizontal="left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Lien hypertexte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Hmt [mCE] en fonction du débit [m3/h]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'Calculs Généraux'!$H$29</c:f>
              <c:strCache>
                <c:ptCount val="1"/>
                <c:pt idx="0">
                  <c:v>Hmt [mCE]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'Calculs Généraux'!$F$30:$F$36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'Calculs Généraux'!$H$30:$H$36</c:f>
              <c:numCache>
                <c:formatCode>0.00</c:formatCode>
                <c:ptCount val="7"/>
                <c:pt idx="0">
                  <c:v>6.2968399592252799</c:v>
                </c:pt>
                <c:pt idx="1">
                  <c:v>6.2987163732279745</c:v>
                </c:pt>
                <c:pt idx="2">
                  <c:v>6.3437503092926457</c:v>
                </c:pt>
                <c:pt idx="3">
                  <c:v>6.4844813594947439</c:v>
                </c:pt>
                <c:pt idx="4">
                  <c:v>7.0474055603031367</c:v>
                </c:pt>
                <c:pt idx="5">
                  <c:v>7.9856125616504583</c:v>
                </c:pt>
                <c:pt idx="6">
                  <c:v>9.2991023635367078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22-4C21-AF53-0A0C92F23398}"/>
            </c:ext>
          </c:extLst>
        </c:ser>
        <c:ser>
          <c:idx val="1"/>
          <c:order val="1"/>
          <c:tx>
            <c:v>Débit réseau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'Calculs Généraux'!$J$30:$J$36</c:f>
              <c:numCache>
                <c:formatCode>0.00</c:formatCode>
                <c:ptCount val="7"/>
                <c:pt idx="0">
                  <c:v>21.6</c:v>
                </c:pt>
                <c:pt idx="1">
                  <c:v>21.6</c:v>
                </c:pt>
                <c:pt idx="2">
                  <c:v>21.6</c:v>
                </c:pt>
                <c:pt idx="3">
                  <c:v>21.6</c:v>
                </c:pt>
                <c:pt idx="4">
                  <c:v>21.6</c:v>
                </c:pt>
                <c:pt idx="5">
                  <c:v>21.6</c:v>
                </c:pt>
                <c:pt idx="6">
                  <c:v>21.6</c:v>
                </c:pt>
              </c:numCache>
            </c:numRef>
          </c:xVal>
          <c:yVal>
            <c:numRef>
              <c:f>'Calculs Généraux'!$H$30:$H$36</c:f>
              <c:numCache>
                <c:formatCode>0.00</c:formatCode>
                <c:ptCount val="7"/>
                <c:pt idx="0">
                  <c:v>6.2968399592252799</c:v>
                </c:pt>
                <c:pt idx="1">
                  <c:v>6.2987163732279745</c:v>
                </c:pt>
                <c:pt idx="2">
                  <c:v>6.3437503092926457</c:v>
                </c:pt>
                <c:pt idx="3">
                  <c:v>6.4844813594947439</c:v>
                </c:pt>
                <c:pt idx="4">
                  <c:v>7.0474055603031367</c:v>
                </c:pt>
                <c:pt idx="5">
                  <c:v>7.9856125616504583</c:v>
                </c:pt>
                <c:pt idx="6">
                  <c:v>9.2991023635367078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22-4C21-AF53-0A0C92F23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7056"/>
        <c:axId val="93716480"/>
      </c:scatterChart>
      <c:valAx>
        <c:axId val="833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716480"/>
        <c:crosses val="autoZero"/>
        <c:crossBetween val="midCat"/>
      </c:valAx>
      <c:valAx>
        <c:axId val="93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3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94129</xdr:colOff>
      <xdr:row>12</xdr:row>
      <xdr:rowOff>105335</xdr:rowOff>
    </xdr:from>
    <xdr:to>
      <xdr:col>1</xdr:col>
      <xdr:colOff>7034755</xdr:colOff>
      <xdr:row>28</xdr:row>
      <xdr:rowOff>89647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129" y="2817159"/>
          <a:ext cx="6940626" cy="3032312"/>
        </a:xfrm>
        <a:prstGeom prst="rect">
          <a:avLst/>
        </a:prstGeom>
      </xdr:spPr>
    </xdr:pic>
    <xdr:clientData/>
  </xdr:twoCellAnchor>
  <xdr:twoCellAnchor editAs="oneCell">
    <xdr:from>
      <xdr:col>2</xdr:col>
      <xdr:colOff>297197</xdr:colOff>
      <xdr:row>10</xdr:row>
      <xdr:rowOff>119261</xdr:rowOff>
    </xdr:from>
    <xdr:to>
      <xdr:col>10</xdr:col>
      <xdr:colOff>612417</xdr:colOff>
      <xdr:row>28</xdr:row>
      <xdr:rowOff>129266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7697" y="2450085"/>
          <a:ext cx="6411220" cy="3439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22</xdr:row>
      <xdr:rowOff>152399</xdr:rowOff>
    </xdr:from>
    <xdr:to>
      <xdr:col>19</xdr:col>
      <xdr:colOff>11206</xdr:colOff>
      <xdr:row>43</xdr:row>
      <xdr:rowOff>168087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122465</xdr:colOff>
      <xdr:row>34</xdr:row>
      <xdr:rowOff>54429</xdr:rowOff>
    </xdr:from>
    <xdr:to>
      <xdr:col>4</xdr:col>
      <xdr:colOff>274865</xdr:colOff>
      <xdr:row>47</xdr:row>
      <xdr:rowOff>87086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5" y="5783036"/>
          <a:ext cx="4724400" cy="2509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258536</xdr:colOff>
      <xdr:row>10</xdr:row>
      <xdr:rowOff>136071</xdr:rowOff>
    </xdr:from>
    <xdr:to>
      <xdr:col>15</xdr:col>
      <xdr:colOff>742439</xdr:colOff>
      <xdr:row>33</xdr:row>
      <xdr:rowOff>95251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2536" y="2095500"/>
          <a:ext cx="6579903" cy="4340680"/>
        </a:xfrm>
        <a:prstGeom prst="rect">
          <a:avLst/>
        </a:prstGeom>
      </xdr:spPr>
    </xdr:pic>
    <xdr:clientData/>
  </xdr:twoCellAnchor>
  <xdr:twoCellAnchor editAs="oneCell">
    <xdr:from>
      <xdr:col>0</xdr:col>
      <xdr:colOff>13608</xdr:colOff>
      <xdr:row>9</xdr:row>
      <xdr:rowOff>136072</xdr:rowOff>
    </xdr:from>
    <xdr:to>
      <xdr:col>7</xdr:col>
      <xdr:colOff>462643</xdr:colOff>
      <xdr:row>33</xdr:row>
      <xdr:rowOff>52978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8" y="1905001"/>
          <a:ext cx="5783035" cy="4488906"/>
        </a:xfrm>
        <a:prstGeom prst="rect">
          <a:avLst/>
        </a:prstGeom>
      </xdr:spPr>
    </xdr:pic>
    <xdr:clientData/>
  </xdr:twoCellAnchor>
  <xdr:twoCellAnchor editAs="oneCell">
    <xdr:from>
      <xdr:col>12</xdr:col>
      <xdr:colOff>187943</xdr:colOff>
      <xdr:row>38</xdr:row>
      <xdr:rowOff>81643</xdr:rowOff>
    </xdr:from>
    <xdr:to>
      <xdr:col>16</xdr:col>
      <xdr:colOff>268060</xdr:colOff>
      <xdr:row>62</xdr:row>
      <xdr:rowOff>167368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943" y="9661072"/>
          <a:ext cx="3128117" cy="465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476250</xdr:colOff>
      <xdr:row>38</xdr:row>
      <xdr:rowOff>27594</xdr:rowOff>
    </xdr:from>
    <xdr:to>
      <xdr:col>11</xdr:col>
      <xdr:colOff>43867</xdr:colOff>
      <xdr:row>68</xdr:row>
      <xdr:rowOff>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9607023"/>
          <a:ext cx="7949617" cy="5687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37794</xdr:colOff>
      <xdr:row>21</xdr:row>
      <xdr:rowOff>178400</xdr:rowOff>
    </xdr:from>
    <xdr:to>
      <xdr:col>4</xdr:col>
      <xdr:colOff>37794</xdr:colOff>
      <xdr:row>23</xdr:row>
      <xdr:rowOff>114900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CxnSpPr/>
      </xdr:nvCxnSpPr>
      <xdr:spPr>
        <a:xfrm>
          <a:off x="3473598" y="4940900"/>
          <a:ext cx="0" cy="317500"/>
        </a:xfrm>
        <a:prstGeom prst="line">
          <a:avLst/>
        </a:prstGeom>
        <a:ln w="38100"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132291</xdr:colOff>
      <xdr:row>2</xdr:row>
      <xdr:rowOff>79375</xdr:rowOff>
    </xdr:from>
    <xdr:to>
      <xdr:col>14</xdr:col>
      <xdr:colOff>133349</xdr:colOff>
      <xdr:row>37</xdr:row>
      <xdr:rowOff>79375</xdr:rowOff>
    </xdr:to>
    <xdr:grpSp>
      <xdr:nvGrpSpPr>
        <xdr:cNvPr id="7" name="Group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pSpPr/>
      </xdr:nvGrpSpPr>
      <xdr:grpSpPr>
        <a:xfrm>
          <a:off x="3569229" y="460375"/>
          <a:ext cx="7621058" cy="7620000"/>
          <a:chOff x="10414000" y="444500"/>
          <a:chExt cx="7621058" cy="7620000"/>
        </a:xfrm>
      </xdr:grpSpPr>
      <xdr:pic>
        <xdr:nvPicPr>
          <xdr:cNvPr id="13" name="Image 12" descr="https://www.labonnepompe.com/3555-large_default/o.jpg">
            <a:extLst>
              <a:ext uri="{FF2B5EF4-FFF2-40B4-BE49-F238E27FC236}">
                <a16:creationId xmlns:a16="http://schemas.microsoft.com/office/drawing/2014/main" xmlns="" id="{00000000-0008-0000-03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14000" y="444500"/>
            <a:ext cx="7621058" cy="762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5" name="Connecteur droit 14">
            <a:extLst>
              <a:ext uri="{FF2B5EF4-FFF2-40B4-BE49-F238E27FC236}">
                <a16:creationId xmlns:a16="http://schemas.microsoft.com/office/drawing/2014/main" xmlns="" id="{00000000-0008-0000-0300-00000F000000}"/>
              </a:ext>
            </a:extLst>
          </xdr:cNvPr>
          <xdr:cNvCxnSpPr/>
        </xdr:nvCxnSpPr>
        <xdr:spPr>
          <a:xfrm flipH="1" flipV="1">
            <a:off x="12354530" y="4883831"/>
            <a:ext cx="15874" cy="1716384"/>
          </a:xfrm>
          <a:prstGeom prst="line">
            <a:avLst/>
          </a:prstGeom>
          <a:ln/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xmlns="" id="{00000000-0008-0000-0300-000010000000}"/>
              </a:ext>
            </a:extLst>
          </xdr:cNvPr>
          <xdr:cNvCxnSpPr/>
        </xdr:nvCxnSpPr>
        <xdr:spPr>
          <a:xfrm flipH="1" flipV="1">
            <a:off x="11929308" y="4823733"/>
            <a:ext cx="12471" cy="1753053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Connecteur droit 17">
            <a:extLst>
              <a:ext uri="{FF2B5EF4-FFF2-40B4-BE49-F238E27FC236}">
                <a16:creationId xmlns:a16="http://schemas.microsoft.com/office/drawing/2014/main" xmlns="" id="{00000000-0008-0000-0300-000012000000}"/>
              </a:ext>
            </a:extLst>
          </xdr:cNvPr>
          <xdr:cNvCxnSpPr/>
        </xdr:nvCxnSpPr>
        <xdr:spPr>
          <a:xfrm flipH="1">
            <a:off x="10844138" y="5216071"/>
            <a:ext cx="1662338" cy="0"/>
          </a:xfrm>
          <a:prstGeom prst="line">
            <a:avLst/>
          </a:prstGeom>
          <a:ln/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730250</xdr:colOff>
      <xdr:row>11</xdr:row>
      <xdr:rowOff>179917</xdr:rowOff>
    </xdr:from>
    <xdr:to>
      <xdr:col>3</xdr:col>
      <xdr:colOff>1102179</xdr:colOff>
      <xdr:row>22</xdr:row>
      <xdr:rowOff>156482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 flipH="1" flipV="1">
          <a:off x="1492250" y="3037417"/>
          <a:ext cx="1895929" cy="207206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306916</xdr:colOff>
      <xdr:row>13</xdr:row>
      <xdr:rowOff>42333</xdr:rowOff>
    </xdr:from>
    <xdr:to>
      <xdr:col>22</xdr:col>
      <xdr:colOff>88555</xdr:colOff>
      <xdr:row>37</xdr:row>
      <xdr:rowOff>42998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8499" y="3280833"/>
          <a:ext cx="5115639" cy="476316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31</xdr:row>
      <xdr:rowOff>95250</xdr:rowOff>
    </xdr:from>
    <xdr:to>
      <xdr:col>14</xdr:col>
      <xdr:colOff>533852</xdr:colOff>
      <xdr:row>58</xdr:row>
      <xdr:rowOff>105494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6419" y="6953250"/>
          <a:ext cx="8130040" cy="5153744"/>
        </a:xfrm>
        <a:prstGeom prst="rect">
          <a:avLst/>
        </a:prstGeom>
      </xdr:spPr>
    </xdr:pic>
    <xdr:clientData/>
  </xdr:twoCellAnchor>
  <xdr:twoCellAnchor>
    <xdr:from>
      <xdr:col>4</xdr:col>
      <xdr:colOff>84666</xdr:colOff>
      <xdr:row>2</xdr:row>
      <xdr:rowOff>63500</xdr:rowOff>
    </xdr:from>
    <xdr:to>
      <xdr:col>5</xdr:col>
      <xdr:colOff>761998</xdr:colOff>
      <xdr:row>2</xdr:row>
      <xdr:rowOff>74083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 flipH="1">
          <a:off x="3521604" y="444500"/>
          <a:ext cx="1439332" cy="10583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237066</xdr:colOff>
      <xdr:row>3</xdr:row>
      <xdr:rowOff>25400</xdr:rowOff>
    </xdr:from>
    <xdr:to>
      <xdr:col>6</xdr:col>
      <xdr:colOff>152398</xdr:colOff>
      <xdr:row>3</xdr:row>
      <xdr:rowOff>35983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 flipH="1">
          <a:off x="3674004" y="596900"/>
          <a:ext cx="1439332" cy="10583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389466</xdr:colOff>
      <xdr:row>3</xdr:row>
      <xdr:rowOff>177800</xdr:rowOff>
    </xdr:from>
    <xdr:to>
      <xdr:col>6</xdr:col>
      <xdr:colOff>304798</xdr:colOff>
      <xdr:row>3</xdr:row>
      <xdr:rowOff>188383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 flipH="1">
          <a:off x="3826404" y="749300"/>
          <a:ext cx="1439332" cy="10583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342446</xdr:colOff>
      <xdr:row>22</xdr:row>
      <xdr:rowOff>64634</xdr:rowOff>
    </xdr:from>
    <xdr:to>
      <xdr:col>6</xdr:col>
      <xdr:colOff>257778</xdr:colOff>
      <xdr:row>22</xdr:row>
      <xdr:rowOff>75217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 flipH="1">
          <a:off x="3778250" y="5017634"/>
          <a:ext cx="1439332" cy="10583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3</xdr:row>
      <xdr:rowOff>38100</xdr:rowOff>
    </xdr:from>
    <xdr:to>
      <xdr:col>6</xdr:col>
      <xdr:colOff>648519</xdr:colOff>
      <xdr:row>19</xdr:row>
      <xdr:rowOff>76631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09600"/>
          <a:ext cx="5868219" cy="3086531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3</xdr:row>
      <xdr:rowOff>133350</xdr:rowOff>
    </xdr:from>
    <xdr:to>
      <xdr:col>15</xdr:col>
      <xdr:colOff>724724</xdr:colOff>
      <xdr:row>20</xdr:row>
      <xdr:rowOff>38539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704850"/>
          <a:ext cx="5906324" cy="3143689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11</xdr:row>
      <xdr:rowOff>95250</xdr:rowOff>
    </xdr:from>
    <xdr:to>
      <xdr:col>16</xdr:col>
      <xdr:colOff>315202</xdr:colOff>
      <xdr:row>37</xdr:row>
      <xdr:rowOff>76889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9825" y="2190750"/>
          <a:ext cx="6287377" cy="4934639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</xdr:colOff>
      <xdr:row>5</xdr:row>
      <xdr:rowOff>152400</xdr:rowOff>
    </xdr:from>
    <xdr:to>
      <xdr:col>25</xdr:col>
      <xdr:colOff>201002</xdr:colOff>
      <xdr:row>28</xdr:row>
      <xdr:rowOff>590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49150" y="1104900"/>
          <a:ext cx="7001852" cy="42296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0</xdr:row>
      <xdr:rowOff>0</xdr:rowOff>
    </xdr:from>
    <xdr:ext cx="762000" cy="762000"/>
    <xdr:pic>
      <xdr:nvPicPr>
        <xdr:cNvPr id="2" name="Image 1" descr="http://guide.directindustry.com/wp-content/uploads/117107-4697489-460x460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121227</xdr:colOff>
      <xdr:row>0</xdr:row>
      <xdr:rowOff>69273</xdr:rowOff>
    </xdr:from>
    <xdr:ext cx="1021773" cy="817418"/>
    <xdr:pic>
      <xdr:nvPicPr>
        <xdr:cNvPr id="3" name="Image 2" descr="http://guide.directindustry.com/wp-content/uploads/117107-4697461-460x368.jp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9227" y="69273"/>
          <a:ext cx="1021773" cy="817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207818</xdr:colOff>
      <xdr:row>0</xdr:row>
      <xdr:rowOff>17318</xdr:rowOff>
    </xdr:from>
    <xdr:ext cx="897360" cy="848591"/>
    <xdr:pic>
      <xdr:nvPicPr>
        <xdr:cNvPr id="4" name="Image 3" descr="http://guide.directindustry.com/wp-content/uploads/png-rotary-vane-pump-hydraulic-pump-hydraulics-turbine-cycloid-angle-engineering-business-compressor-clipart-460x435.pn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9818" y="17318"/>
          <a:ext cx="897360" cy="848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98136</xdr:colOff>
      <xdr:row>0</xdr:row>
      <xdr:rowOff>103909</xdr:rowOff>
    </xdr:from>
    <xdr:ext cx="946728" cy="710046"/>
    <xdr:pic>
      <xdr:nvPicPr>
        <xdr:cNvPr id="5" name="Image 4" descr="http://guide.directindustry.com/wp-content/uploads/5783-2850875-460x345.jpg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4136" y="103909"/>
          <a:ext cx="946728" cy="71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11907</xdr:colOff>
      <xdr:row>15</xdr:row>
      <xdr:rowOff>178593</xdr:rowOff>
    </xdr:from>
    <xdr:ext cx="7201905" cy="4239217"/>
    <xdr:pic>
      <xdr:nvPicPr>
        <xdr:cNvPr id="6" name="Image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51907" y="5893593"/>
          <a:ext cx="7201905" cy="4239217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16</xdr:row>
      <xdr:rowOff>0</xdr:rowOff>
    </xdr:from>
    <xdr:to>
      <xdr:col>22</xdr:col>
      <xdr:colOff>515379</xdr:colOff>
      <xdr:row>43</xdr:row>
      <xdr:rowOff>718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3048000"/>
          <a:ext cx="7373379" cy="5144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abonnepompe.com/60-pompe-a-eau-pedrollo-hf-25-110-centrifuge-triphase-380v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A4" zoomScale="85" zoomScaleNormal="85" workbookViewId="0">
      <selection activeCell="D37" sqref="D37"/>
    </sheetView>
  </sheetViews>
  <sheetFormatPr baseColWidth="10" defaultColWidth="11.42578125" defaultRowHeight="15" x14ac:dyDescent="0.25"/>
  <cols>
    <col min="2" max="2" width="105.7109375" customWidth="1"/>
  </cols>
  <sheetData>
    <row r="1" spans="1:19" ht="18.75" customHeight="1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19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19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</row>
    <row r="6" spans="1:19" x14ac:dyDescent="0.25">
      <c r="B6" s="3" t="s">
        <v>1</v>
      </c>
    </row>
    <row r="7" spans="1:19" x14ac:dyDescent="0.25">
      <c r="B7" s="4" t="s">
        <v>2</v>
      </c>
    </row>
    <row r="8" spans="1:19" ht="30" x14ac:dyDescent="0.25">
      <c r="B8" s="6" t="s">
        <v>3</v>
      </c>
    </row>
    <row r="9" spans="1:19" ht="30" x14ac:dyDescent="0.25">
      <c r="B9" s="5" t="s">
        <v>4</v>
      </c>
    </row>
    <row r="10" spans="1:19" x14ac:dyDescent="0.25">
      <c r="B10" s="5" t="s">
        <v>5</v>
      </c>
    </row>
    <row r="11" spans="1:19" x14ac:dyDescent="0.25">
      <c r="B11" s="3" t="s">
        <v>6</v>
      </c>
    </row>
  </sheetData>
  <mergeCells count="1">
    <mergeCell ref="A1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0"/>
  <sheetViews>
    <sheetView zoomScale="85" zoomScaleNormal="85" workbookViewId="0">
      <selection activeCell="W25" sqref="W25"/>
    </sheetView>
  </sheetViews>
  <sheetFormatPr baseColWidth="10" defaultColWidth="11.42578125" defaultRowHeight="15" x14ac:dyDescent="0.25"/>
  <cols>
    <col min="1" max="1" width="32.7109375" customWidth="1"/>
    <col min="2" max="3" width="12.28515625" bestFit="1" customWidth="1"/>
    <col min="5" max="5" width="14.7109375" customWidth="1"/>
    <col min="6" max="6" width="27.5703125" customWidth="1"/>
    <col min="7" max="7" width="12.42578125" customWidth="1"/>
  </cols>
  <sheetData>
    <row r="1" spans="1:19" ht="35.25" customHeight="1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x14ac:dyDescent="0.25">
      <c r="A2" s="61" t="s">
        <v>7</v>
      </c>
      <c r="B2" s="62"/>
      <c r="C2" s="62"/>
      <c r="D2" s="63"/>
      <c r="F2" s="61" t="s">
        <v>8</v>
      </c>
      <c r="G2" s="62"/>
      <c r="H2" s="63"/>
      <c r="I2" s="8"/>
      <c r="J2" s="61" t="s">
        <v>9</v>
      </c>
      <c r="K2" s="62"/>
      <c r="L2" s="63"/>
      <c r="N2" s="57" t="s">
        <v>10</v>
      </c>
      <c r="O2" s="58"/>
      <c r="P2" s="59"/>
      <c r="R2" s="76" t="s">
        <v>11</v>
      </c>
      <c r="S2" s="76"/>
    </row>
    <row r="3" spans="1:19" x14ac:dyDescent="0.25">
      <c r="A3" s="69"/>
      <c r="B3" s="70"/>
      <c r="C3" s="70"/>
      <c r="D3" s="71"/>
      <c r="F3" s="69"/>
      <c r="G3" s="70"/>
      <c r="H3" s="71"/>
      <c r="I3" s="8"/>
      <c r="J3" s="69"/>
      <c r="K3" s="70"/>
      <c r="L3" s="71"/>
      <c r="N3" s="20"/>
      <c r="O3" s="18"/>
      <c r="P3" s="21"/>
      <c r="R3" s="76"/>
      <c r="S3" s="76"/>
    </row>
    <row r="4" spans="1:19" ht="25.5" customHeight="1" x14ac:dyDescent="0.25">
      <c r="A4" s="46"/>
      <c r="B4" s="47" t="s">
        <v>12</v>
      </c>
      <c r="C4" s="64" t="s">
        <v>13</v>
      </c>
      <c r="D4" s="65"/>
      <c r="F4" s="69"/>
      <c r="G4" s="70"/>
      <c r="H4" s="71"/>
      <c r="I4" s="8"/>
      <c r="J4" s="69"/>
      <c r="K4" s="70"/>
      <c r="L4" s="71"/>
      <c r="N4" s="7" t="s">
        <v>14</v>
      </c>
      <c r="O4" s="11">
        <f>1000*O5*K7/(0.001)</f>
        <v>117529.52929423517</v>
      </c>
      <c r="P4" s="9" t="str">
        <f>IF(O4&lt;2000,"laminaire","turbulent")</f>
        <v>turbulent</v>
      </c>
      <c r="R4" s="56" t="s">
        <v>15</v>
      </c>
      <c r="S4" s="56"/>
    </row>
    <row r="5" spans="1:19" x14ac:dyDescent="0.25">
      <c r="A5" s="7" t="s">
        <v>16</v>
      </c>
      <c r="B5" s="8">
        <v>3</v>
      </c>
      <c r="C5" s="8"/>
      <c r="D5" s="9">
        <v>0.25</v>
      </c>
      <c r="F5" s="25" t="s">
        <v>17</v>
      </c>
      <c r="G5" s="22">
        <v>1000</v>
      </c>
      <c r="H5" s="9" t="s">
        <v>18</v>
      </c>
      <c r="I5" s="8"/>
      <c r="J5" s="7" t="s">
        <v>19</v>
      </c>
      <c r="K5" s="8"/>
      <c r="L5" s="9"/>
      <c r="N5" s="7" t="s">
        <v>20</v>
      </c>
      <c r="O5" s="22">
        <f>(4*G11/3600)/(3.1416*K7*K7)</f>
        <v>1.808146604526695</v>
      </c>
      <c r="P5" s="9" t="s">
        <v>21</v>
      </c>
    </row>
    <row r="6" spans="1:19" x14ac:dyDescent="0.25">
      <c r="A6" s="7" t="s">
        <v>22</v>
      </c>
      <c r="B6" s="8">
        <v>2</v>
      </c>
      <c r="C6" s="8"/>
      <c r="D6" s="9">
        <v>0.3</v>
      </c>
      <c r="F6" s="48" t="s">
        <v>23</v>
      </c>
      <c r="G6" s="24">
        <v>9.81</v>
      </c>
      <c r="H6" s="15" t="s">
        <v>24</v>
      </c>
      <c r="I6" s="8"/>
      <c r="J6" s="7" t="s">
        <v>25</v>
      </c>
      <c r="K6" s="8">
        <f>200/1000</f>
        <v>0.2</v>
      </c>
      <c r="L6" s="9" t="s">
        <v>26</v>
      </c>
      <c r="N6" s="7"/>
      <c r="O6" s="22"/>
      <c r="P6" s="9"/>
    </row>
    <row r="7" spans="1:19" x14ac:dyDescent="0.25">
      <c r="A7" s="7" t="s">
        <v>27</v>
      </c>
      <c r="B7" s="8">
        <v>1</v>
      </c>
      <c r="C7" s="8"/>
      <c r="D7" s="9">
        <v>0.1</v>
      </c>
      <c r="F7" s="25" t="s">
        <v>28</v>
      </c>
      <c r="G7" s="22">
        <v>167</v>
      </c>
      <c r="H7" s="9" t="s">
        <v>29</v>
      </c>
      <c r="I7" s="8"/>
      <c r="J7" s="7" t="s">
        <v>30</v>
      </c>
      <c r="K7" s="19">
        <v>6.5000000000000002E-2</v>
      </c>
      <c r="L7" s="9" t="s">
        <v>26</v>
      </c>
      <c r="M7" s="77" t="s">
        <v>31</v>
      </c>
      <c r="N7" s="44"/>
      <c r="O7" s="22">
        <f>O5</f>
        <v>1.808146604526695</v>
      </c>
      <c r="P7" s="9" t="s">
        <v>21</v>
      </c>
    </row>
    <row r="8" spans="1:19" x14ac:dyDescent="0.25">
      <c r="A8" s="7" t="s">
        <v>32</v>
      </c>
      <c r="B8" s="8">
        <v>4</v>
      </c>
      <c r="C8" s="8"/>
      <c r="D8" s="9">
        <v>0.25</v>
      </c>
      <c r="F8" s="60" t="s">
        <v>33</v>
      </c>
      <c r="G8" s="41">
        <v>6</v>
      </c>
      <c r="H8" s="9" t="s">
        <v>29</v>
      </c>
      <c r="I8" s="8"/>
      <c r="J8" s="12" t="s">
        <v>34</v>
      </c>
      <c r="K8" s="13">
        <v>0.1</v>
      </c>
      <c r="L8" s="14" t="s">
        <v>26</v>
      </c>
      <c r="M8" s="77"/>
      <c r="N8" s="12" t="s">
        <v>35</v>
      </c>
      <c r="O8" s="23">
        <f>O5</f>
        <v>1.808146604526695</v>
      </c>
      <c r="P8" s="14" t="s">
        <v>21</v>
      </c>
    </row>
    <row r="9" spans="1:19" x14ac:dyDescent="0.25">
      <c r="A9" s="7" t="s">
        <v>36</v>
      </c>
      <c r="B9" s="1">
        <v>2</v>
      </c>
      <c r="C9" s="8"/>
      <c r="D9" s="9">
        <v>0.3</v>
      </c>
      <c r="F9" s="60"/>
      <c r="G9" s="22"/>
      <c r="H9" s="9"/>
      <c r="I9" s="8"/>
      <c r="J9" s="7"/>
      <c r="K9" s="8"/>
      <c r="L9" s="9"/>
      <c r="N9" s="8"/>
      <c r="O9" s="22"/>
      <c r="P9" s="8"/>
    </row>
    <row r="10" spans="1:19" x14ac:dyDescent="0.25">
      <c r="A10" s="7" t="s">
        <v>37</v>
      </c>
      <c r="B10" s="1">
        <v>1</v>
      </c>
      <c r="C10" s="8"/>
      <c r="D10" s="9">
        <v>0.1</v>
      </c>
      <c r="F10" s="60"/>
      <c r="G10" s="22">
        <f>G8*60</f>
        <v>360</v>
      </c>
      <c r="H10" s="9" t="s">
        <v>38</v>
      </c>
      <c r="I10" s="8"/>
    </row>
    <row r="11" spans="1:19" x14ac:dyDescent="0.25">
      <c r="A11" s="7" t="s">
        <v>39</v>
      </c>
      <c r="B11" s="8">
        <v>4</v>
      </c>
      <c r="C11" s="8" t="s">
        <v>40</v>
      </c>
      <c r="D11" s="10">
        <f>0.316*(O4)^-0.25</f>
        <v>1.7066730610053947E-2</v>
      </c>
      <c r="F11" s="60"/>
      <c r="G11" s="24">
        <f>G8*0.001*3600</f>
        <v>21.6</v>
      </c>
      <c r="H11" s="9" t="s">
        <v>41</v>
      </c>
      <c r="I11" s="8"/>
    </row>
    <row r="12" spans="1:19" x14ac:dyDescent="0.25">
      <c r="A12" s="7" t="s">
        <v>42</v>
      </c>
      <c r="B12" s="8">
        <f>8-B11</f>
        <v>4</v>
      </c>
      <c r="C12" s="8" t="s">
        <v>40</v>
      </c>
      <c r="D12" s="10">
        <f>0.316*(O4)^-0.25</f>
        <v>1.7066730610053947E-2</v>
      </c>
      <c r="F12" s="53" t="s">
        <v>43</v>
      </c>
      <c r="G12" s="54"/>
      <c r="H12" s="55"/>
      <c r="I12" s="1"/>
    </row>
    <row r="13" spans="1:19" x14ac:dyDescent="0.25">
      <c r="A13" s="66"/>
      <c r="B13" s="67"/>
      <c r="C13" s="67"/>
      <c r="D13" s="68"/>
      <c r="F13" s="25" t="s">
        <v>44</v>
      </c>
      <c r="G13" s="29">
        <v>1.2</v>
      </c>
      <c r="H13" s="15" t="s">
        <v>40</v>
      </c>
      <c r="I13" s="19" t="s">
        <v>45</v>
      </c>
      <c r="J13" s="30"/>
      <c r="K13" s="30"/>
      <c r="L13" s="30"/>
      <c r="M13" s="30"/>
      <c r="N13" s="30"/>
      <c r="O13" s="30"/>
      <c r="P13" s="30"/>
    </row>
    <row r="14" spans="1:19" x14ac:dyDescent="0.25">
      <c r="A14" s="75" t="s">
        <v>46</v>
      </c>
      <c r="B14" s="64"/>
      <c r="C14" s="64"/>
      <c r="D14" s="65"/>
      <c r="F14" s="25" t="s">
        <v>47</v>
      </c>
      <c r="G14" s="24">
        <v>0</v>
      </c>
      <c r="H14" s="15" t="s">
        <v>40</v>
      </c>
      <c r="I14" s="1"/>
    </row>
    <row r="15" spans="1:19" x14ac:dyDescent="0.25">
      <c r="A15" s="75"/>
      <c r="B15" s="64"/>
      <c r="C15" s="64"/>
      <c r="D15" s="65"/>
      <c r="F15" s="25" t="s">
        <v>48</v>
      </c>
      <c r="G15" s="29">
        <v>0</v>
      </c>
      <c r="H15" s="15" t="s">
        <v>40</v>
      </c>
      <c r="I15" s="52" t="s">
        <v>49</v>
      </c>
      <c r="J15" s="52"/>
      <c r="K15" s="52"/>
      <c r="L15" s="52"/>
      <c r="M15" s="52"/>
      <c r="N15" s="52"/>
      <c r="O15" s="45"/>
      <c r="P15" s="45"/>
      <c r="Q15" s="45"/>
      <c r="R15" s="45"/>
    </row>
    <row r="16" spans="1:19" x14ac:dyDescent="0.25">
      <c r="A16" s="7" t="s">
        <v>50</v>
      </c>
      <c r="B16" s="8"/>
      <c r="C16" s="22">
        <f>0.5*G5*D11*O5*O5*B11/K7</f>
        <v>1716.857510909048</v>
      </c>
      <c r="D16" s="9" t="s">
        <v>51</v>
      </c>
      <c r="F16" s="26" t="s">
        <v>52</v>
      </c>
      <c r="G16" s="8">
        <v>1</v>
      </c>
      <c r="H16" s="9" t="s">
        <v>53</v>
      </c>
    </row>
    <row r="17" spans="1:12" x14ac:dyDescent="0.25">
      <c r="A17" s="7" t="s">
        <v>54</v>
      </c>
      <c r="B17" s="8"/>
      <c r="C17" s="22">
        <f>0.5*G5*(O7*O7)*(B7*D7+B5*D5+B6*D6)</f>
        <v>2370.3107540095266</v>
      </c>
      <c r="D17" s="9" t="s">
        <v>51</v>
      </c>
      <c r="F17" s="26" t="s">
        <v>55</v>
      </c>
      <c r="G17" s="24">
        <v>1</v>
      </c>
      <c r="H17" s="9" t="s">
        <v>53</v>
      </c>
    </row>
    <row r="18" spans="1:12" x14ac:dyDescent="0.25">
      <c r="A18" s="7" t="s">
        <v>56</v>
      </c>
      <c r="B18" s="8"/>
      <c r="C18" s="22">
        <f>0.5*G5*D12*O5*O5*B12/K7+C22</f>
        <v>51716.857510909045</v>
      </c>
      <c r="D18" s="9" t="s">
        <v>51</v>
      </c>
      <c r="F18" s="26" t="s">
        <v>57</v>
      </c>
      <c r="G18" s="8">
        <f>2.3*1000/(10^5)</f>
        <v>2.3E-2</v>
      </c>
      <c r="H18" s="9" t="s">
        <v>53</v>
      </c>
    </row>
    <row r="19" spans="1:12" x14ac:dyDescent="0.25">
      <c r="A19" s="12" t="s">
        <v>58</v>
      </c>
      <c r="B19" s="13"/>
      <c r="C19" s="23">
        <f>0.5*G5*(O5*O5)*(B10*D10+B8*D8+B9*D9)</f>
        <v>2778.9850219422042</v>
      </c>
      <c r="D19" s="14" t="s">
        <v>51</v>
      </c>
      <c r="F19" s="27" t="s">
        <v>59</v>
      </c>
      <c r="G19" s="33">
        <v>0.68669999999999998</v>
      </c>
      <c r="H19" s="14" t="s">
        <v>53</v>
      </c>
      <c r="I19" s="35" t="s">
        <v>60</v>
      </c>
      <c r="J19" s="35"/>
      <c r="K19" s="35"/>
    </row>
    <row r="20" spans="1:12" x14ac:dyDescent="0.25">
      <c r="A20" s="7"/>
      <c r="B20" s="8"/>
      <c r="C20" s="22"/>
      <c r="D20" s="9"/>
      <c r="F20" s="38"/>
      <c r="G20" s="24"/>
      <c r="H20" s="8"/>
    </row>
    <row r="21" spans="1:12" x14ac:dyDescent="0.25">
      <c r="A21" s="57" t="s">
        <v>61</v>
      </c>
      <c r="B21" s="58"/>
      <c r="C21" s="58"/>
      <c r="D21" s="59"/>
      <c r="F21" s="61" t="s">
        <v>62</v>
      </c>
      <c r="G21" s="62"/>
      <c r="H21" s="62"/>
      <c r="I21" s="62"/>
      <c r="J21" s="62"/>
      <c r="K21" s="63"/>
    </row>
    <row r="22" spans="1:12" x14ac:dyDescent="0.25">
      <c r="A22" s="49" t="s">
        <v>63</v>
      </c>
      <c r="B22" s="50"/>
      <c r="C22" s="40">
        <f>' PdC échangeur'!D6</f>
        <v>50000</v>
      </c>
      <c r="D22" s="39" t="s">
        <v>51</v>
      </c>
      <c r="E22" s="79" t="s">
        <v>64</v>
      </c>
      <c r="F22" s="12" t="s">
        <v>65</v>
      </c>
      <c r="G22" s="23">
        <f>(1/(G5*G6)*B26)</f>
        <v>7.1717646073159864</v>
      </c>
      <c r="H22" s="13" t="s">
        <v>40</v>
      </c>
      <c r="I22" s="13"/>
      <c r="J22" s="13"/>
      <c r="K22" s="14"/>
    </row>
    <row r="23" spans="1:12" x14ac:dyDescent="0.25">
      <c r="A23" s="12"/>
      <c r="B23" s="13"/>
      <c r="C23" s="37"/>
      <c r="D23" s="14"/>
      <c r="E23" s="79"/>
      <c r="F23" s="38"/>
      <c r="G23" s="24"/>
      <c r="H23" s="8"/>
    </row>
    <row r="24" spans="1:12" x14ac:dyDescent="0.25">
      <c r="A24" s="7"/>
      <c r="B24" s="8"/>
      <c r="C24" s="8"/>
      <c r="D24" s="9"/>
      <c r="F24" t="s">
        <v>66</v>
      </c>
    </row>
    <row r="25" spans="1:12" x14ac:dyDescent="0.25">
      <c r="A25" s="61" t="s">
        <v>67</v>
      </c>
      <c r="B25" s="62"/>
      <c r="C25" s="62"/>
      <c r="D25" s="63"/>
    </row>
    <row r="26" spans="1:12" x14ac:dyDescent="0.25">
      <c r="A26" s="7" t="s">
        <v>68</v>
      </c>
      <c r="B26" s="11">
        <f>C18+C19+C16+C17+0.5*G5*O7*O7-0.5*G5*O8*O8+G5*G6*G13</f>
        <v>70355.010797769821</v>
      </c>
      <c r="C26" s="8" t="s">
        <v>51</v>
      </c>
      <c r="D26" s="9" t="s">
        <v>69</v>
      </c>
    </row>
    <row r="27" spans="1:12" x14ac:dyDescent="0.25">
      <c r="A27" s="72" t="s">
        <v>70</v>
      </c>
      <c r="B27" s="73"/>
      <c r="C27" s="73"/>
      <c r="D27" s="74"/>
    </row>
    <row r="28" spans="1:12" x14ac:dyDescent="0.25">
      <c r="A28" s="7" t="s">
        <v>71</v>
      </c>
      <c r="B28" s="11">
        <f>(0.5*G5*D11*B11*16/(3.1416*3.1416*K7*K7*K7*K7*K7)+0.5*G5*D12*B12*16/(3.1416*3.1416*K7*K7*K7*K7*K7)+0.5*G5*(D5*B5+B7*D7+B6*D6)*16/(3.14*3.14*K7*K7*K7*K7)+0.5*G5*(D8*B8+B10*D10+B9*D9)*16/(3.14*3.14*K7*K7*K7*K7))-0.5*G5*(O7-O8)</f>
        <v>238562772.90899038</v>
      </c>
      <c r="C28" s="22">
        <f>B28/($G$5*$G$6)</f>
        <v>24318.325474922567</v>
      </c>
      <c r="D28" s="9">
        <f>C28/3600</f>
        <v>6.7550904097007134</v>
      </c>
      <c r="F28" s="57" t="s">
        <v>72</v>
      </c>
      <c r="G28" s="58"/>
      <c r="H28" s="58"/>
      <c r="I28" s="59"/>
    </row>
    <row r="29" spans="1:12" x14ac:dyDescent="0.25">
      <c r="A29" s="12" t="s">
        <v>73</v>
      </c>
      <c r="B29" s="37">
        <f>G5*G6*G13+C22</f>
        <v>61772</v>
      </c>
      <c r="C29" s="23">
        <f>B29/($G$5*$G$6)</f>
        <v>6.2968399592252799</v>
      </c>
      <c r="D29" s="14"/>
      <c r="F29" s="34" t="s">
        <v>74</v>
      </c>
      <c r="G29" s="1" t="s">
        <v>75</v>
      </c>
      <c r="H29" s="1" t="s">
        <v>76</v>
      </c>
      <c r="I29" s="15" t="s">
        <v>77</v>
      </c>
      <c r="J29" s="1"/>
      <c r="K29" s="1"/>
      <c r="L29" s="1"/>
    </row>
    <row r="30" spans="1:12" x14ac:dyDescent="0.25">
      <c r="F30" s="34">
        <v>0</v>
      </c>
      <c r="G30" s="24">
        <f>F30</f>
        <v>0</v>
      </c>
      <c r="H30" s="24">
        <f>$C$28*G30*G30+$C$29</f>
        <v>6.2968399592252799</v>
      </c>
      <c r="I30" s="15">
        <f>H30/10</f>
        <v>0.62968399592252799</v>
      </c>
      <c r="J30" s="32">
        <f>$G$11</f>
        <v>21.6</v>
      </c>
    </row>
    <row r="31" spans="1:12" x14ac:dyDescent="0.25">
      <c r="A31" s="57" t="s">
        <v>78</v>
      </c>
      <c r="B31" s="58"/>
      <c r="C31" s="58"/>
      <c r="D31" s="59"/>
      <c r="F31" s="34">
        <v>1</v>
      </c>
      <c r="G31" s="24">
        <f>F31/3600</f>
        <v>2.7777777777777778E-4</v>
      </c>
      <c r="H31" s="24">
        <f t="shared" ref="H31:H43" si="0">$C$28*G31*G31+$C$29</f>
        <v>6.2987163732279745</v>
      </c>
      <c r="I31" s="15">
        <f t="shared" ref="I31:I43" si="1">H31/10</f>
        <v>0.6298716373227975</v>
      </c>
      <c r="J31" s="32">
        <f t="shared" ref="J31:J43" si="2">$G$11</f>
        <v>21.6</v>
      </c>
    </row>
    <row r="32" spans="1:12" x14ac:dyDescent="0.25">
      <c r="A32" s="7" t="s">
        <v>78</v>
      </c>
      <c r="B32" s="22">
        <f>(1/(G5*G6))*(G16*10^5 +(G5*G6)*G15-(C16+C17)-G18*10^5)</f>
        <v>9.5425924296719096</v>
      </c>
      <c r="C32" s="8" t="s">
        <v>40</v>
      </c>
      <c r="D32" s="9"/>
      <c r="E32" s="78" t="s">
        <v>79</v>
      </c>
      <c r="F32" s="34">
        <v>5</v>
      </c>
      <c r="G32" s="24">
        <f t="shared" ref="G32:G43" si="3">F32/3600</f>
        <v>1.3888888888888889E-3</v>
      </c>
      <c r="H32" s="24">
        <f t="shared" si="0"/>
        <v>6.3437503092926457</v>
      </c>
      <c r="I32" s="15">
        <f t="shared" si="1"/>
        <v>0.63437503092926462</v>
      </c>
      <c r="J32" s="32">
        <f t="shared" si="2"/>
        <v>21.6</v>
      </c>
    </row>
    <row r="33" spans="1:10" x14ac:dyDescent="0.25">
      <c r="A33" s="16" t="s">
        <v>59</v>
      </c>
      <c r="B33" s="13">
        <f>G19*10^5/(G6*G5)</f>
        <v>7</v>
      </c>
      <c r="C33" s="13" t="s">
        <v>40</v>
      </c>
      <c r="D33" s="14"/>
      <c r="E33" s="78"/>
      <c r="F33" s="34">
        <v>10</v>
      </c>
      <c r="G33" s="24">
        <f t="shared" si="3"/>
        <v>2.7777777777777779E-3</v>
      </c>
      <c r="H33" s="24">
        <f t="shared" si="0"/>
        <v>6.4844813594947439</v>
      </c>
      <c r="I33" s="15">
        <f t="shared" si="1"/>
        <v>0.64844813594947437</v>
      </c>
      <c r="J33" s="32">
        <f t="shared" si="2"/>
        <v>21.6</v>
      </c>
    </row>
    <row r="34" spans="1:10" x14ac:dyDescent="0.25">
      <c r="A34" s="1" t="s">
        <v>80</v>
      </c>
      <c r="B34" s="32">
        <f>B32-B33</f>
        <v>2.5425924296719096</v>
      </c>
      <c r="D34" t="s">
        <v>81</v>
      </c>
      <c r="F34" s="34">
        <v>20</v>
      </c>
      <c r="G34" s="24">
        <f>F34/3600</f>
        <v>5.5555555555555558E-3</v>
      </c>
      <c r="H34" s="24">
        <f t="shared" si="0"/>
        <v>7.0474055603031367</v>
      </c>
      <c r="I34" s="15">
        <f t="shared" si="1"/>
        <v>0.70474055603031371</v>
      </c>
      <c r="J34" s="32">
        <f t="shared" si="2"/>
        <v>21.6</v>
      </c>
    </row>
    <row r="35" spans="1:10" x14ac:dyDescent="0.25">
      <c r="F35" s="34">
        <v>30</v>
      </c>
      <c r="G35" s="24">
        <f>F35/3600</f>
        <v>8.3333333333333332E-3</v>
      </c>
      <c r="H35" s="24">
        <f t="shared" si="0"/>
        <v>7.9856125616504583</v>
      </c>
      <c r="I35" s="15">
        <f t="shared" si="1"/>
        <v>0.79856125616504581</v>
      </c>
      <c r="J35" s="32">
        <f t="shared" si="2"/>
        <v>21.6</v>
      </c>
    </row>
    <row r="36" spans="1:10" x14ac:dyDescent="0.25">
      <c r="F36" s="34">
        <v>40</v>
      </c>
      <c r="G36" s="24">
        <f t="shared" si="3"/>
        <v>1.1111111111111112E-2</v>
      </c>
      <c r="H36" s="24">
        <f t="shared" si="0"/>
        <v>9.2991023635367078</v>
      </c>
      <c r="I36" s="15">
        <f t="shared" si="1"/>
        <v>0.92991023635367076</v>
      </c>
      <c r="J36" s="32">
        <f t="shared" si="2"/>
        <v>21.6</v>
      </c>
    </row>
    <row r="37" spans="1:10" x14ac:dyDescent="0.25">
      <c r="F37" s="34">
        <v>50</v>
      </c>
      <c r="G37" s="24">
        <f t="shared" si="3"/>
        <v>1.3888888888888888E-2</v>
      </c>
      <c r="H37" s="24">
        <f t="shared" si="0"/>
        <v>10.987874965961886</v>
      </c>
      <c r="I37" s="15">
        <f>H37/10</f>
        <v>1.0987874965961886</v>
      </c>
      <c r="J37" s="32">
        <f t="shared" si="2"/>
        <v>21.6</v>
      </c>
    </row>
    <row r="38" spans="1:10" x14ac:dyDescent="0.25">
      <c r="F38" s="34">
        <v>60</v>
      </c>
      <c r="G38" s="24">
        <f t="shared" si="3"/>
        <v>1.6666666666666666E-2</v>
      </c>
      <c r="H38" s="24">
        <f t="shared" si="0"/>
        <v>13.051930368925994</v>
      </c>
      <c r="I38" s="15">
        <f t="shared" si="1"/>
        <v>1.3051930368925995</v>
      </c>
      <c r="J38" s="32">
        <f t="shared" si="2"/>
        <v>21.6</v>
      </c>
    </row>
    <row r="39" spans="1:10" x14ac:dyDescent="0.25">
      <c r="F39" s="34">
        <v>70</v>
      </c>
      <c r="G39" s="24">
        <f t="shared" si="3"/>
        <v>1.9444444444444445E-2</v>
      </c>
      <c r="H39" s="24">
        <f t="shared" si="0"/>
        <v>15.491268572429028</v>
      </c>
      <c r="I39" s="15">
        <f t="shared" si="1"/>
        <v>1.5491268572429029</v>
      </c>
      <c r="J39" s="32">
        <f t="shared" si="2"/>
        <v>21.6</v>
      </c>
    </row>
    <row r="40" spans="1:10" x14ac:dyDescent="0.25">
      <c r="F40" s="34">
        <v>80</v>
      </c>
      <c r="G40" s="24">
        <f t="shared" si="3"/>
        <v>2.2222222222222223E-2</v>
      </c>
      <c r="H40" s="24">
        <f t="shared" si="0"/>
        <v>18.305889576470992</v>
      </c>
      <c r="I40" s="15">
        <f t="shared" si="1"/>
        <v>1.8305889576470993</v>
      </c>
      <c r="J40" s="32">
        <f t="shared" si="2"/>
        <v>21.6</v>
      </c>
    </row>
    <row r="41" spans="1:10" x14ac:dyDescent="0.25">
      <c r="F41" s="34">
        <v>90</v>
      </c>
      <c r="G41" s="24">
        <f t="shared" si="3"/>
        <v>2.5000000000000001E-2</v>
      </c>
      <c r="H41" s="24">
        <f t="shared" si="0"/>
        <v>21.495793381051886</v>
      </c>
      <c r="I41" s="15">
        <f t="shared" si="1"/>
        <v>2.1495793381051884</v>
      </c>
      <c r="J41" s="32">
        <f t="shared" si="2"/>
        <v>21.6</v>
      </c>
    </row>
    <row r="42" spans="1:10" x14ac:dyDescent="0.25">
      <c r="F42" s="34">
        <v>100</v>
      </c>
      <c r="G42" s="24">
        <f t="shared" si="3"/>
        <v>2.7777777777777776E-2</v>
      </c>
      <c r="H42" s="24">
        <f t="shared" si="0"/>
        <v>25.060979986171706</v>
      </c>
      <c r="I42" s="15">
        <f t="shared" si="1"/>
        <v>2.5060979986171708</v>
      </c>
      <c r="J42" s="32">
        <f t="shared" si="2"/>
        <v>21.6</v>
      </c>
    </row>
    <row r="43" spans="1:10" x14ac:dyDescent="0.25">
      <c r="F43" s="16">
        <v>120</v>
      </c>
      <c r="G43" s="33">
        <f t="shared" si="3"/>
        <v>3.3333333333333333E-2</v>
      </c>
      <c r="H43" s="33">
        <f t="shared" si="0"/>
        <v>33.317201598028134</v>
      </c>
      <c r="I43" s="17">
        <f t="shared" si="1"/>
        <v>3.3317201598028134</v>
      </c>
      <c r="J43" s="32">
        <f t="shared" si="2"/>
        <v>21.6</v>
      </c>
    </row>
    <row r="44" spans="1:10" x14ac:dyDescent="0.25">
      <c r="I44" s="1"/>
    </row>
    <row r="45" spans="1:10" x14ac:dyDescent="0.25">
      <c r="F45" s="80" t="s">
        <v>82</v>
      </c>
      <c r="G45" s="80"/>
      <c r="H45" s="80"/>
      <c r="I45" s="80"/>
    </row>
    <row r="46" spans="1:10" x14ac:dyDescent="0.25">
      <c r="F46" s="80"/>
      <c r="G46" s="80"/>
      <c r="H46" s="80"/>
      <c r="I46" s="80"/>
    </row>
    <row r="49" spans="1:1" x14ac:dyDescent="0.25">
      <c r="A49" t="s">
        <v>83</v>
      </c>
    </row>
    <row r="50" spans="1:1" x14ac:dyDescent="0.25">
      <c r="A50" t="s">
        <v>84</v>
      </c>
    </row>
  </sheetData>
  <mergeCells count="23">
    <mergeCell ref="F45:I46"/>
    <mergeCell ref="F28:I28"/>
    <mergeCell ref="R2:S3"/>
    <mergeCell ref="M7:M8"/>
    <mergeCell ref="E32:E33"/>
    <mergeCell ref="E22:E23"/>
    <mergeCell ref="A21:D21"/>
    <mergeCell ref="I15:N15"/>
    <mergeCell ref="F12:H12"/>
    <mergeCell ref="A1:S1"/>
    <mergeCell ref="R4:S4"/>
    <mergeCell ref="A31:D31"/>
    <mergeCell ref="F8:F11"/>
    <mergeCell ref="F21:K21"/>
    <mergeCell ref="C4:D4"/>
    <mergeCell ref="A13:D13"/>
    <mergeCell ref="F2:H4"/>
    <mergeCell ref="J2:L4"/>
    <mergeCell ref="N2:P2"/>
    <mergeCell ref="A25:D25"/>
    <mergeCell ref="A27:D27"/>
    <mergeCell ref="A2:D3"/>
    <mergeCell ref="A14:D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36"/>
  <sheetViews>
    <sheetView zoomScale="70" zoomScaleNormal="70" workbookViewId="0">
      <selection activeCell="S23" sqref="S23"/>
    </sheetView>
  </sheetViews>
  <sheetFormatPr baseColWidth="10" defaultColWidth="11.42578125" defaultRowHeight="15" x14ac:dyDescent="0.25"/>
  <sheetData>
    <row r="1" spans="1:32" ht="18.75" customHeight="1" x14ac:dyDescent="0.25">
      <c r="A1" s="51" t="s">
        <v>85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2"/>
    </row>
    <row r="2" spans="1:32" x14ac:dyDescent="0.25">
      <c r="E2" s="1"/>
      <c r="F2" s="1"/>
      <c r="G2" s="1"/>
      <c r="H2" s="1"/>
      <c r="I2" s="1"/>
      <c r="J2" s="1"/>
      <c r="K2" s="8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 x14ac:dyDescent="0.25">
      <c r="B3" s="81" t="s">
        <v>8</v>
      </c>
      <c r="C3" s="82"/>
      <c r="D3" s="82"/>
      <c r="E3" s="83"/>
    </row>
    <row r="4" spans="1:32" x14ac:dyDescent="0.25">
      <c r="B4" s="7" t="s">
        <v>86</v>
      </c>
      <c r="C4" s="8"/>
      <c r="D4" s="8" t="s">
        <v>87</v>
      </c>
      <c r="E4" s="9"/>
    </row>
    <row r="5" spans="1:32" x14ac:dyDescent="0.25">
      <c r="B5" s="7"/>
      <c r="C5" s="8"/>
      <c r="D5" s="8" t="s">
        <v>88</v>
      </c>
      <c r="E5" s="9"/>
    </row>
    <row r="6" spans="1:32" x14ac:dyDescent="0.25">
      <c r="B6" s="12"/>
      <c r="C6" s="13" t="s">
        <v>89</v>
      </c>
      <c r="D6" s="13">
        <v>50000</v>
      </c>
      <c r="E6" s="14" t="s">
        <v>51</v>
      </c>
    </row>
    <row r="8" spans="1:32" x14ac:dyDescent="0.25">
      <c r="B8" t="s">
        <v>89</v>
      </c>
    </row>
    <row r="9" spans="1:32" x14ac:dyDescent="0.25">
      <c r="B9" t="s">
        <v>90</v>
      </c>
    </row>
    <row r="35" spans="2:22" x14ac:dyDescent="0.25">
      <c r="B35" s="51" t="s">
        <v>91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2:22" x14ac:dyDescent="0.25"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</sheetData>
  <mergeCells count="3">
    <mergeCell ref="A1:S1"/>
    <mergeCell ref="B3:E3"/>
    <mergeCell ref="B35:V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44"/>
  <sheetViews>
    <sheetView tabSelected="1" topLeftCell="A10" zoomScale="120" zoomScaleNormal="120" workbookViewId="0">
      <selection activeCell="B18" sqref="B18"/>
    </sheetView>
  </sheetViews>
  <sheetFormatPr baseColWidth="10" defaultColWidth="11.42578125" defaultRowHeight="15" x14ac:dyDescent="0.25"/>
  <cols>
    <col min="4" max="4" width="17.28515625" customWidth="1"/>
  </cols>
  <sheetData>
    <row r="1" spans="1:20" ht="15" customHeight="1" x14ac:dyDescent="0.25">
      <c r="A1" s="84" t="s">
        <v>92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</row>
    <row r="2" spans="1:20" ht="15" customHeight="1" x14ac:dyDescent="0.2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9"/>
    </row>
    <row r="3" spans="1:20" x14ac:dyDescent="0.25">
      <c r="A3" s="103" t="str">
        <f>'Calculs Généraux'!A31</f>
        <v>NPSH</v>
      </c>
      <c r="B3" s="103"/>
      <c r="C3" s="103"/>
    </row>
    <row r="4" spans="1:20" x14ac:dyDescent="0.25">
      <c r="A4" s="2" t="str">
        <f>'Calculs Généraux'!A32</f>
        <v>NPSH</v>
      </c>
      <c r="B4" s="32">
        <f>'Calculs Généraux'!B32</f>
        <v>9.5425924296719096</v>
      </c>
      <c r="C4" t="str">
        <f>'Calculs Généraux'!C32</f>
        <v>m</v>
      </c>
    </row>
    <row r="5" spans="1:20" x14ac:dyDescent="0.25">
      <c r="A5" s="2" t="str">
        <f>'Calculs Généraux'!A33</f>
        <v>NPSH requis</v>
      </c>
      <c r="B5" s="32">
        <f>'Calculs Généraux'!B33</f>
        <v>7</v>
      </c>
      <c r="C5" t="str">
        <f>'Calculs Généraux'!C33</f>
        <v>m</v>
      </c>
      <c r="D5" t="str">
        <f>IF(B4&gt;B5,"NPSH ok","Attention Cavitation")</f>
        <v>NPSH ok</v>
      </c>
      <c r="P5" s="90" t="s">
        <v>93</v>
      </c>
      <c r="Q5" s="90"/>
      <c r="R5" s="90"/>
      <c r="S5" s="90"/>
      <c r="T5" s="90"/>
    </row>
    <row r="6" spans="1:20" x14ac:dyDescent="0.25">
      <c r="P6" s="90"/>
      <c r="Q6" s="90"/>
      <c r="R6" s="90"/>
      <c r="S6" s="90"/>
      <c r="T6" s="90"/>
    </row>
    <row r="7" spans="1:20" ht="30" customHeight="1" x14ac:dyDescent="0.25">
      <c r="A7" s="104" t="str">
        <f>'Calculs Généraux'!F21</f>
        <v>Hauteur manométrique (Ha+Hr+Ja+Jr+Pu)=Ja+Jr (circuit fermé)</v>
      </c>
      <c r="B7" s="104"/>
      <c r="C7" s="104"/>
      <c r="P7" t="s">
        <v>94</v>
      </c>
    </row>
    <row r="8" spans="1:20" ht="30" customHeight="1" x14ac:dyDescent="0.25">
      <c r="A8" s="2" t="str">
        <f>'Calculs Généraux'!F22</f>
        <v>Hmt</v>
      </c>
      <c r="B8" s="32">
        <f>'Calculs Généraux'!G22</f>
        <v>7.1717646073159864</v>
      </c>
      <c r="C8" t="str">
        <f>'Calculs Généraux'!H22</f>
        <v>m</v>
      </c>
      <c r="P8" t="s">
        <v>95</v>
      </c>
    </row>
    <row r="9" spans="1:20" ht="30" customHeight="1" x14ac:dyDescent="0.25">
      <c r="A9" s="2" t="s">
        <v>96</v>
      </c>
      <c r="B9">
        <v>7</v>
      </c>
      <c r="C9" t="s">
        <v>40</v>
      </c>
      <c r="D9" t="str">
        <f>IF(B8&lt;B9,"Hmt ok","Attention Hmt nok")</f>
        <v>Attention Hmt nok</v>
      </c>
      <c r="P9" t="s">
        <v>97</v>
      </c>
    </row>
    <row r="10" spans="1:20" ht="30" customHeight="1" x14ac:dyDescent="0.25">
      <c r="A10" s="102" t="s">
        <v>98</v>
      </c>
      <c r="B10" s="102"/>
      <c r="C10" s="102"/>
      <c r="P10" s="90" t="s">
        <v>99</v>
      </c>
      <c r="Q10" s="90"/>
      <c r="R10" s="90"/>
      <c r="S10" s="90"/>
      <c r="T10" s="90"/>
    </row>
    <row r="11" spans="1:20" x14ac:dyDescent="0.25">
      <c r="A11" s="100">
        <v>0</v>
      </c>
      <c r="B11" s="101"/>
      <c r="C11" s="101"/>
      <c r="D11" t="s">
        <v>40</v>
      </c>
      <c r="P11" t="s">
        <v>100</v>
      </c>
    </row>
    <row r="12" spans="1:20" x14ac:dyDescent="0.25">
      <c r="A12" s="28" t="s">
        <v>101</v>
      </c>
      <c r="B12" s="28"/>
      <c r="C12" s="28"/>
      <c r="P12" t="s">
        <v>102</v>
      </c>
    </row>
    <row r="22" spans="2:13" x14ac:dyDescent="0.25">
      <c r="B22" s="31"/>
      <c r="C22" s="31"/>
      <c r="D22" s="31"/>
      <c r="E22" s="31"/>
    </row>
    <row r="23" spans="2:13" x14ac:dyDescent="0.25">
      <c r="B23" s="31"/>
      <c r="C23" s="31" t="s">
        <v>151</v>
      </c>
      <c r="D23" s="31"/>
      <c r="E23" s="31"/>
    </row>
    <row r="24" spans="2:13" x14ac:dyDescent="0.25">
      <c r="B24" s="31"/>
      <c r="C24" s="31"/>
      <c r="D24" s="31"/>
      <c r="E24" s="31"/>
    </row>
    <row r="25" spans="2:13" x14ac:dyDescent="0.25">
      <c r="B25" s="31"/>
      <c r="C25" s="31"/>
      <c r="D25" s="31"/>
      <c r="E25" s="31"/>
      <c r="F25" s="91"/>
      <c r="G25" s="92"/>
      <c r="H25" s="92"/>
      <c r="I25" s="92"/>
      <c r="J25" s="92"/>
      <c r="K25" s="92"/>
      <c r="L25" s="92"/>
      <c r="M25" s="93"/>
    </row>
    <row r="26" spans="2:13" ht="30" customHeight="1" x14ac:dyDescent="0.25">
      <c r="B26" s="31"/>
      <c r="C26" s="31"/>
      <c r="D26" s="31"/>
      <c r="E26" s="31"/>
      <c r="F26" s="94"/>
      <c r="G26" s="95"/>
      <c r="H26" s="95"/>
      <c r="I26" s="95"/>
      <c r="J26" s="95"/>
      <c r="K26" s="95"/>
      <c r="L26" s="95"/>
      <c r="M26" s="96"/>
    </row>
    <row r="27" spans="2:13" x14ac:dyDescent="0.25">
      <c r="B27" s="31"/>
      <c r="C27" s="31"/>
      <c r="D27" s="31"/>
      <c r="E27" s="31"/>
      <c r="F27" s="94"/>
      <c r="G27" s="95"/>
      <c r="H27" s="95"/>
      <c r="I27" s="95"/>
      <c r="J27" s="95"/>
      <c r="K27" s="95"/>
      <c r="L27" s="95"/>
      <c r="M27" s="96"/>
    </row>
    <row r="28" spans="2:13" x14ac:dyDescent="0.25">
      <c r="B28" s="31"/>
      <c r="C28" s="31"/>
      <c r="D28" s="31"/>
      <c r="E28" s="31"/>
      <c r="F28" s="94"/>
      <c r="G28" s="95"/>
      <c r="H28" s="95"/>
      <c r="I28" s="95"/>
      <c r="J28" s="95"/>
      <c r="K28" s="95"/>
      <c r="L28" s="95"/>
      <c r="M28" s="96"/>
    </row>
    <row r="29" spans="2:13" x14ac:dyDescent="0.25">
      <c r="B29" s="31"/>
      <c r="C29" s="31"/>
      <c r="D29" s="31"/>
      <c r="E29" s="31"/>
      <c r="F29" s="94"/>
      <c r="G29" s="95"/>
      <c r="H29" s="95"/>
      <c r="I29" s="95"/>
      <c r="J29" s="95"/>
      <c r="K29" s="95"/>
      <c r="L29" s="95"/>
      <c r="M29" s="96"/>
    </row>
    <row r="30" spans="2:13" x14ac:dyDescent="0.25">
      <c r="B30" s="31"/>
      <c r="C30" s="31"/>
      <c r="D30" s="31"/>
      <c r="E30" s="31"/>
      <c r="F30" s="94"/>
      <c r="G30" s="95"/>
      <c r="H30" s="95"/>
      <c r="I30" s="95"/>
      <c r="J30" s="95"/>
      <c r="K30" s="95"/>
      <c r="L30" s="95"/>
      <c r="M30" s="96"/>
    </row>
    <row r="31" spans="2:13" x14ac:dyDescent="0.25">
      <c r="B31" s="31"/>
      <c r="C31" s="31"/>
      <c r="D31" s="31"/>
      <c r="E31" s="31"/>
      <c r="F31" s="94"/>
      <c r="G31" s="95"/>
      <c r="H31" s="95"/>
      <c r="I31" s="95"/>
      <c r="J31" s="95"/>
      <c r="K31" s="95"/>
      <c r="L31" s="95"/>
      <c r="M31" s="96"/>
    </row>
    <row r="32" spans="2:13" x14ac:dyDescent="0.25">
      <c r="B32" s="31"/>
      <c r="C32" s="31"/>
      <c r="D32" s="31"/>
      <c r="E32" s="31"/>
      <c r="F32" s="94"/>
      <c r="G32" s="95"/>
      <c r="H32" s="95"/>
      <c r="I32" s="95"/>
      <c r="J32" s="95"/>
      <c r="K32" s="95"/>
      <c r="L32" s="95"/>
      <c r="M32" s="96"/>
    </row>
    <row r="33" spans="1:13" x14ac:dyDescent="0.25">
      <c r="B33" s="31"/>
      <c r="C33" s="31"/>
      <c r="D33" s="31"/>
      <c r="E33" s="31"/>
      <c r="F33" s="97"/>
      <c r="G33" s="98"/>
      <c r="H33" s="98"/>
      <c r="I33" s="98"/>
      <c r="J33" s="98"/>
      <c r="K33" s="98"/>
      <c r="L33" s="98"/>
      <c r="M33" s="99"/>
    </row>
    <row r="34" spans="1:13" x14ac:dyDescent="0.25">
      <c r="B34" s="31"/>
      <c r="C34" s="31"/>
      <c r="D34" s="31"/>
      <c r="E34" s="31"/>
    </row>
    <row r="38" spans="1:13" x14ac:dyDescent="0.25">
      <c r="A38" s="2" t="s">
        <v>103</v>
      </c>
    </row>
    <row r="39" spans="1:13" x14ac:dyDescent="0.25">
      <c r="A39" t="s">
        <v>104</v>
      </c>
    </row>
    <row r="40" spans="1:13" x14ac:dyDescent="0.25">
      <c r="A40" t="s">
        <v>105</v>
      </c>
    </row>
    <row r="43" spans="1:13" x14ac:dyDescent="0.25">
      <c r="A43" s="2" t="s">
        <v>106</v>
      </c>
    </row>
    <row r="44" spans="1:13" x14ac:dyDescent="0.25">
      <c r="A44" s="36" t="s">
        <v>107</v>
      </c>
    </row>
  </sheetData>
  <mergeCells count="8">
    <mergeCell ref="A1:T2"/>
    <mergeCell ref="P5:T6"/>
    <mergeCell ref="P10:T10"/>
    <mergeCell ref="F25:M33"/>
    <mergeCell ref="A11:C11"/>
    <mergeCell ref="A10:C10"/>
    <mergeCell ref="A3:C3"/>
    <mergeCell ref="A7:C7"/>
  </mergeCells>
  <conditionalFormatting sqref="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ellIs" dxfId="6" priority="1" operator="greaterThan">
      <formula>$B$5</formula>
    </cfRule>
    <cfRule type="cellIs" dxfId="5" priority="4" operator="greaterThan">
      <formula>9.621752572</formula>
    </cfRule>
    <cfRule type="cellIs" dxfId="4" priority="5" operator="greaterThan">
      <formula>$B$5</formula>
    </cfRule>
  </conditionalFormatting>
  <conditionalFormatting sqref="B8">
    <cfRule type="cellIs" dxfId="3" priority="3" operator="lessThan">
      <formula>$B$9</formula>
    </cfRule>
  </conditionalFormatting>
  <conditionalFormatting sqref="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4" r:id="rId1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U33" sqref="U33"/>
    </sheetView>
  </sheetViews>
  <sheetFormatPr baseColWidth="10" defaultColWidth="11.42578125" defaultRowHeight="15" x14ac:dyDescent="0.25"/>
  <cols>
    <col min="2" max="2" width="26.42578125" customWidth="1"/>
  </cols>
  <sheetData>
    <row r="1" spans="1:17" ht="15" customHeight="1" x14ac:dyDescent="0.25">
      <c r="A1" s="84" t="s">
        <v>108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</row>
    <row r="2" spans="1:17" ht="15" customHeight="1" x14ac:dyDescent="0.2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9"/>
    </row>
    <row r="23" spans="1:4" x14ac:dyDescent="0.25">
      <c r="B23" t="s">
        <v>109</v>
      </c>
      <c r="C23" s="32">
        <f>'Calculs Généraux'!G11</f>
        <v>21.6</v>
      </c>
      <c r="D23" t="s">
        <v>41</v>
      </c>
    </row>
    <row r="24" spans="1:4" x14ac:dyDescent="0.25">
      <c r="B24" t="s">
        <v>110</v>
      </c>
      <c r="C24">
        <v>100</v>
      </c>
      <c r="D24" t="s">
        <v>41</v>
      </c>
    </row>
    <row r="26" spans="1:4" x14ac:dyDescent="0.25">
      <c r="B26" t="s">
        <v>111</v>
      </c>
      <c r="C26">
        <v>100</v>
      </c>
      <c r="D26" t="s">
        <v>26</v>
      </c>
    </row>
    <row r="27" spans="1:4" x14ac:dyDescent="0.25">
      <c r="B27" t="s">
        <v>112</v>
      </c>
      <c r="C27">
        <v>100</v>
      </c>
      <c r="D27" t="s">
        <v>26</v>
      </c>
    </row>
    <row r="29" spans="1:4" x14ac:dyDescent="0.25">
      <c r="B29" t="s">
        <v>113</v>
      </c>
      <c r="C29">
        <v>1</v>
      </c>
      <c r="D29" t="s">
        <v>53</v>
      </c>
    </row>
    <row r="30" spans="1:4" x14ac:dyDescent="0.25">
      <c r="B30" t="s">
        <v>114</v>
      </c>
      <c r="C30">
        <v>12</v>
      </c>
      <c r="D30" t="s">
        <v>53</v>
      </c>
    </row>
    <row r="32" spans="1:4" x14ac:dyDescent="0.25">
      <c r="A32" s="2" t="s">
        <v>115</v>
      </c>
    </row>
    <row r="33" spans="1:1" x14ac:dyDescent="0.25">
      <c r="A33" t="s">
        <v>116</v>
      </c>
    </row>
  </sheetData>
  <mergeCells count="1">
    <mergeCell ref="A1:Q2"/>
  </mergeCells>
  <conditionalFormatting sqref="C23">
    <cfRule type="cellIs" dxfId="2" priority="3" operator="lessThan">
      <formula>$C$24</formula>
    </cfRule>
  </conditionalFormatting>
  <conditionalFormatting sqref="C26">
    <cfRule type="cellIs" dxfId="1" priority="2" operator="equal">
      <formula>$C$27</formula>
    </cfRule>
  </conditionalFormatting>
  <conditionalFormatting sqref="C29">
    <cfRule type="cellIs" dxfId="0" priority="1" operator="lessThan">
      <formula>$C$30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5"/>
  <sheetViews>
    <sheetView zoomScale="85" zoomScaleNormal="85" workbookViewId="0">
      <selection activeCell="N17" sqref="N17"/>
    </sheetView>
  </sheetViews>
  <sheetFormatPr baseColWidth="10" defaultColWidth="11.42578125" defaultRowHeight="15" x14ac:dyDescent="0.25"/>
  <sheetData>
    <row r="1" spans="3:13" x14ac:dyDescent="0.25">
      <c r="C1" s="105" t="s">
        <v>117</v>
      </c>
      <c r="D1" s="105"/>
      <c r="E1" s="112"/>
      <c r="F1" s="112"/>
      <c r="G1" s="112"/>
      <c r="H1" s="112"/>
      <c r="I1" s="112"/>
      <c r="J1" s="112"/>
      <c r="K1" s="112"/>
      <c r="L1" s="112"/>
    </row>
    <row r="2" spans="3:13" x14ac:dyDescent="0.25">
      <c r="C2" s="105"/>
      <c r="D2" s="105"/>
      <c r="E2" s="112"/>
      <c r="F2" s="112"/>
      <c r="G2" s="112"/>
      <c r="H2" s="112"/>
      <c r="I2" s="112"/>
      <c r="J2" s="112"/>
      <c r="K2" s="112"/>
      <c r="L2" s="112"/>
    </row>
    <row r="3" spans="3:13" x14ac:dyDescent="0.25">
      <c r="C3" s="105"/>
      <c r="D3" s="105"/>
      <c r="E3" s="112"/>
      <c r="F3" s="112"/>
      <c r="G3" s="112"/>
      <c r="H3" s="112"/>
      <c r="I3" s="112"/>
      <c r="J3" s="112"/>
      <c r="K3" s="112"/>
      <c r="L3" s="112"/>
    </row>
    <row r="4" spans="3:13" x14ac:dyDescent="0.25">
      <c r="C4" s="105"/>
      <c r="D4" s="105"/>
      <c r="E4" s="112"/>
      <c r="F4" s="112"/>
      <c r="G4" s="112"/>
      <c r="H4" s="112"/>
      <c r="I4" s="112"/>
      <c r="J4" s="112"/>
      <c r="K4" s="112"/>
      <c r="L4" s="112"/>
    </row>
    <row r="5" spans="3:13" x14ac:dyDescent="0.25">
      <c r="C5" s="105"/>
      <c r="D5" s="105"/>
      <c r="E5" s="112"/>
      <c r="F5" s="112"/>
      <c r="G5" s="112"/>
      <c r="H5" s="112"/>
      <c r="I5" s="112"/>
      <c r="J5" s="112"/>
      <c r="K5" s="112"/>
      <c r="L5" s="112"/>
    </row>
    <row r="6" spans="3:13" x14ac:dyDescent="0.25">
      <c r="C6" s="109" t="s">
        <v>118</v>
      </c>
      <c r="D6" s="110"/>
      <c r="E6" s="108" t="s">
        <v>119</v>
      </c>
      <c r="F6" s="108"/>
      <c r="G6" s="106" t="s">
        <v>120</v>
      </c>
      <c r="H6" s="107"/>
      <c r="I6" s="106" t="s">
        <v>121</v>
      </c>
      <c r="J6" s="107"/>
      <c r="K6" s="108" t="s">
        <v>122</v>
      </c>
      <c r="L6" s="108"/>
    </row>
    <row r="7" spans="3:13" x14ac:dyDescent="0.25">
      <c r="C7" s="109" t="s">
        <v>123</v>
      </c>
      <c r="D7" s="110"/>
      <c r="E7" s="106" t="s">
        <v>124</v>
      </c>
      <c r="F7" s="107"/>
      <c r="G7" s="106" t="s">
        <v>125</v>
      </c>
      <c r="H7" s="107"/>
      <c r="I7" s="106"/>
      <c r="J7" s="107"/>
      <c r="K7" s="106"/>
      <c r="L7" s="107"/>
      <c r="M7" t="s">
        <v>126</v>
      </c>
    </row>
    <row r="8" spans="3:13" x14ac:dyDescent="0.25">
      <c r="C8" s="109" t="s">
        <v>127</v>
      </c>
      <c r="D8" s="110"/>
      <c r="E8" s="106" t="s">
        <v>128</v>
      </c>
      <c r="F8" s="107"/>
      <c r="G8" s="106" t="s">
        <v>129</v>
      </c>
      <c r="H8" s="107"/>
      <c r="I8" s="106"/>
      <c r="J8" s="107"/>
      <c r="K8" s="106" t="s">
        <v>130</v>
      </c>
      <c r="L8" s="107"/>
    </row>
    <row r="9" spans="3:13" x14ac:dyDescent="0.25">
      <c r="C9" s="109" t="s">
        <v>131</v>
      </c>
      <c r="D9" s="110"/>
      <c r="E9" s="106" t="s">
        <v>132</v>
      </c>
      <c r="F9" s="107"/>
      <c r="G9" s="106" t="s">
        <v>133</v>
      </c>
      <c r="H9" s="107"/>
      <c r="I9" s="106" t="s">
        <v>134</v>
      </c>
      <c r="J9" s="107"/>
      <c r="K9" s="106"/>
      <c r="L9" s="107"/>
    </row>
    <row r="10" spans="3:13" x14ac:dyDescent="0.25">
      <c r="C10" s="109" t="s">
        <v>135</v>
      </c>
      <c r="D10" s="110"/>
      <c r="E10" s="106" t="s">
        <v>136</v>
      </c>
      <c r="F10" s="107"/>
      <c r="G10" s="106" t="s">
        <v>137</v>
      </c>
      <c r="H10" s="107"/>
      <c r="I10" s="108" t="s">
        <v>138</v>
      </c>
      <c r="J10" s="108"/>
      <c r="K10" s="106" t="s">
        <v>139</v>
      </c>
      <c r="L10" s="107"/>
    </row>
    <row r="11" spans="3:13" x14ac:dyDescent="0.25">
      <c r="C11" s="109" t="s">
        <v>140</v>
      </c>
      <c r="D11" s="110"/>
      <c r="E11" s="106" t="s">
        <v>141</v>
      </c>
      <c r="F11" s="107"/>
      <c r="G11" s="106" t="s">
        <v>142</v>
      </c>
      <c r="H11" s="107"/>
      <c r="I11" s="106" t="s">
        <v>143</v>
      </c>
      <c r="J11" s="107"/>
      <c r="K11" s="106" t="s">
        <v>144</v>
      </c>
      <c r="L11" s="107"/>
    </row>
    <row r="12" spans="3:13" x14ac:dyDescent="0.25">
      <c r="C12" s="111" t="s">
        <v>145</v>
      </c>
      <c r="D12" s="111"/>
      <c r="E12" s="108" t="s">
        <v>146</v>
      </c>
      <c r="F12" s="108"/>
      <c r="G12" s="108" t="s">
        <v>147</v>
      </c>
      <c r="H12" s="108"/>
      <c r="I12" s="108" t="s">
        <v>148</v>
      </c>
      <c r="J12" s="108"/>
      <c r="K12" s="108" t="s">
        <v>149</v>
      </c>
      <c r="L12" s="108"/>
    </row>
    <row r="13" spans="3:13" x14ac:dyDescent="0.25">
      <c r="C13" s="111"/>
      <c r="D13" s="111"/>
      <c r="E13" s="108"/>
      <c r="F13" s="108"/>
      <c r="G13" s="108"/>
      <c r="H13" s="108"/>
      <c r="I13" s="108"/>
      <c r="J13" s="108"/>
      <c r="K13" s="108"/>
      <c r="L13" s="108"/>
    </row>
    <row r="15" spans="3:13" x14ac:dyDescent="0.25">
      <c r="C15" t="s">
        <v>150</v>
      </c>
    </row>
  </sheetData>
  <mergeCells count="40">
    <mergeCell ref="K6:L6"/>
    <mergeCell ref="K1:L5"/>
    <mergeCell ref="E7:F7"/>
    <mergeCell ref="E9:F9"/>
    <mergeCell ref="E8:F8"/>
    <mergeCell ref="K9:L9"/>
    <mergeCell ref="K7:L7"/>
    <mergeCell ref="I7:J7"/>
    <mergeCell ref="I8:J8"/>
    <mergeCell ref="I9:J9"/>
    <mergeCell ref="I1:J5"/>
    <mergeCell ref="E6:F6"/>
    <mergeCell ref="E1:F5"/>
    <mergeCell ref="G1:H5"/>
    <mergeCell ref="K8:L8"/>
    <mergeCell ref="I10:J10"/>
    <mergeCell ref="C7:D7"/>
    <mergeCell ref="C8:D8"/>
    <mergeCell ref="G11:H11"/>
    <mergeCell ref="G10:H10"/>
    <mergeCell ref="G8:H8"/>
    <mergeCell ref="G9:H9"/>
    <mergeCell ref="I11:J11"/>
    <mergeCell ref="C9:D9"/>
    <mergeCell ref="C1:D5"/>
    <mergeCell ref="G7:H7"/>
    <mergeCell ref="K12:L13"/>
    <mergeCell ref="C10:D10"/>
    <mergeCell ref="C6:D6"/>
    <mergeCell ref="C11:D11"/>
    <mergeCell ref="G6:H6"/>
    <mergeCell ref="I6:J6"/>
    <mergeCell ref="C12:D13"/>
    <mergeCell ref="E12:F13"/>
    <mergeCell ref="G12:H13"/>
    <mergeCell ref="I12:J13"/>
    <mergeCell ref="E10:F10"/>
    <mergeCell ref="E11:F11"/>
    <mergeCell ref="K11:L11"/>
    <mergeCell ref="K10:L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EF9387AFE154180253C70684E6A1F" ma:contentTypeVersion="9" ma:contentTypeDescription="Crée un document." ma:contentTypeScope="" ma:versionID="b7d800624c7fe3416aebbad1f5f483e7">
  <xsd:schema xmlns:xsd="http://www.w3.org/2001/XMLSchema" xmlns:xs="http://www.w3.org/2001/XMLSchema" xmlns:p="http://schemas.microsoft.com/office/2006/metadata/properties" xmlns:ns2="12a06510-49c4-4c02-8123-cb6461314b2d" targetNamespace="http://schemas.microsoft.com/office/2006/metadata/properties" ma:root="true" ma:fieldsID="db4b15453ab1ec11b534c5563fc2d580" ns2:_="">
    <xsd:import namespace="12a06510-49c4-4c02-8123-cb6461314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06510-49c4-4c02-8123-cb6461314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472986-B4C6-4B71-89FA-41CE6FCBD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a06510-49c4-4c02-8123-cb6461314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805A07-8BCF-4C85-8BFC-F8113FCEB1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A5154B-27D9-40D4-9B5C-A461E58276AA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12a06510-49c4-4c02-8123-cb6461314b2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Schématisation</vt:lpstr>
      <vt:lpstr>Calculs Généraux</vt:lpstr>
      <vt:lpstr> PdC échangeur</vt:lpstr>
      <vt:lpstr>choix de la pompe</vt:lpstr>
      <vt:lpstr>Choix du broyeur</vt:lpstr>
      <vt:lpstr>Ref pompes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RENAUT Gilles-Alexis</dc:creator>
  <cp:keywords/>
  <dc:description/>
  <cp:lastModifiedBy>Yann</cp:lastModifiedBy>
  <cp:revision/>
  <dcterms:created xsi:type="dcterms:W3CDTF">2020-11-03T08:25:25Z</dcterms:created>
  <dcterms:modified xsi:type="dcterms:W3CDTF">2020-12-02T20:31:27Z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0x0101006F2EF9387AFE154180253C70684E6A1F</vt:lpwstr>
  </property>
</Properties>
</file>