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Cesi 2020-2021\bloc Mecanic des fluides\Projet\"/>
    </mc:Choice>
  </mc:AlternateContent>
  <xr:revisionPtr revIDLastSave="0" documentId="8_{D092E85E-0EFD-4643-ABA1-C27D3E7F329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ircuit froid" sheetId="1" r:id="rId1"/>
    <sheet name="circuit eau usé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E8" i="2"/>
  <c r="B23" i="2"/>
  <c r="B16" i="2"/>
  <c r="K7" i="2" s="1"/>
  <c r="B14" i="2"/>
  <c r="B13" i="2"/>
  <c r="K8" i="2" s="1"/>
  <c r="B10" i="2"/>
  <c r="B11" i="2" s="1"/>
  <c r="K6" i="2"/>
  <c r="B6" i="2"/>
  <c r="B7" i="2" s="1"/>
  <c r="O13" i="2" s="1"/>
  <c r="K5" i="2"/>
  <c r="B3" i="2"/>
  <c r="N3" i="2"/>
  <c r="B24" i="1"/>
  <c r="B23" i="1" s="1"/>
  <c r="B16" i="1"/>
  <c r="B11" i="1"/>
  <c r="B13" i="1" s="1"/>
  <c r="B9" i="1"/>
  <c r="B14" i="1" s="1"/>
  <c r="B6" i="1"/>
  <c r="H9" i="1" s="1"/>
  <c r="K3" i="1"/>
  <c r="B3" i="1"/>
  <c r="B22" i="2" l="1"/>
  <c r="B20" i="2" s="1"/>
  <c r="K3" i="2" s="1"/>
  <c r="O28" i="2" s="1"/>
  <c r="O10" i="2"/>
  <c r="P10" i="2" s="1"/>
  <c r="O16" i="2"/>
  <c r="P16" i="2" s="1"/>
  <c r="E4" i="2"/>
  <c r="P13" i="2"/>
  <c r="H4" i="2"/>
  <c r="O22" i="2"/>
  <c r="P22" i="2" s="1"/>
  <c r="O25" i="2"/>
  <c r="P25" i="2" s="1"/>
  <c r="B21" i="1"/>
  <c r="H3" i="1" s="1"/>
  <c r="L3" i="1"/>
  <c r="H8" i="1"/>
  <c r="H4" i="1"/>
  <c r="L7" i="1" s="1"/>
  <c r="B12" i="1"/>
  <c r="L25" i="1" s="1"/>
  <c r="K4" i="2"/>
  <c r="O7" i="2" s="1"/>
  <c r="K9" i="2"/>
  <c r="O19" i="2" s="1"/>
  <c r="P19" i="2" s="1"/>
  <c r="H6" i="1"/>
  <c r="L13" i="1" s="1"/>
  <c r="M13" i="1" s="1"/>
  <c r="H7" i="1"/>
  <c r="L16" i="1" s="1"/>
  <c r="H5" i="1"/>
  <c r="L10" i="1" s="1"/>
  <c r="M10" i="1" s="1"/>
  <c r="L19" i="1" l="1"/>
  <c r="M19" i="1" s="1"/>
  <c r="L28" i="1"/>
  <c r="M28" i="1" s="1"/>
  <c r="O3" i="2"/>
  <c r="E7" i="1"/>
  <c r="M7" i="1"/>
  <c r="E6" i="1"/>
  <c r="E7" i="2"/>
  <c r="H6" i="2"/>
  <c r="P7" i="2"/>
  <c r="E6" i="2"/>
  <c r="P28" i="2"/>
  <c r="H5" i="2"/>
  <c r="E5" i="2"/>
  <c r="E8" i="1"/>
  <c r="M16" i="1"/>
  <c r="E5" i="1"/>
  <c r="M25" i="1"/>
  <c r="E2" i="1"/>
  <c r="M3" i="1"/>
  <c r="L22" i="1"/>
  <c r="H3" i="2" l="1"/>
  <c r="E3" i="2"/>
  <c r="P3" i="2"/>
  <c r="E9" i="1"/>
  <c r="E10" i="1" s="1"/>
  <c r="E11" i="1" s="1"/>
  <c r="M22" i="1"/>
  <c r="E9" i="2" l="1"/>
  <c r="E10" i="2" s="1"/>
  <c r="H9" i="2"/>
  <c r="H10" i="2" s="1"/>
  <c r="H11" i="2" s="1"/>
  <c r="H12" i="2" s="1"/>
</calcChain>
</file>

<file path=xl/sharedStrings.xml><?xml version="1.0" encoding="utf-8"?>
<sst xmlns="http://schemas.openxmlformats.org/spreadsheetml/2006/main" count="153" uniqueCount="90">
  <si>
    <t>Donnée</t>
  </si>
  <si>
    <t>Valeur</t>
  </si>
  <si>
    <t>Pertes de charges</t>
  </si>
  <si>
    <t>coef</t>
  </si>
  <si>
    <t>calculs pertes de charges</t>
  </si>
  <si>
    <t>nombre de coude</t>
  </si>
  <si>
    <t>linéaire</t>
  </si>
  <si>
    <t>coudes</t>
  </si>
  <si>
    <t>Δpreg</t>
  </si>
  <si>
    <t>Hreg</t>
  </si>
  <si>
    <t>diametre de coude</t>
  </si>
  <si>
    <t>PAC</t>
  </si>
  <si>
    <t>vannes</t>
  </si>
  <si>
    <t>lambda</t>
  </si>
  <si>
    <t>longeur de tuyaux</t>
  </si>
  <si>
    <t>echangeur</t>
  </si>
  <si>
    <t>agrandissement ec</t>
  </si>
  <si>
    <t>e</t>
  </si>
  <si>
    <t>diametre de tuyaux</t>
  </si>
  <si>
    <t>retrecissement ec</t>
  </si>
  <si>
    <t>section tuyaux</t>
  </si>
  <si>
    <t>agrandissement pac</t>
  </si>
  <si>
    <t>Δpsing aec</t>
  </si>
  <si>
    <t>Hsing aec</t>
  </si>
  <si>
    <t>nombre de vannes</t>
  </si>
  <si>
    <t>changement section ec</t>
  </si>
  <si>
    <t>retrecissement pac</t>
  </si>
  <si>
    <t>Diametre echangeur (buse)</t>
  </si>
  <si>
    <t>changement section pac</t>
  </si>
  <si>
    <t>agrandissement pompe</t>
  </si>
  <si>
    <t>section buse</t>
  </si>
  <si>
    <t>changement section pompe</t>
  </si>
  <si>
    <t xml:space="preserve">retrecissement pompe </t>
  </si>
  <si>
    <t>Δpsing rec</t>
  </si>
  <si>
    <t>Hsing rec</t>
  </si>
  <si>
    <t xml:space="preserve">diametre externe PAC </t>
  </si>
  <si>
    <t xml:space="preserve">totale (Pa) </t>
  </si>
  <si>
    <t>section PAC</t>
  </si>
  <si>
    <t xml:space="preserve">totale (mce) </t>
  </si>
  <si>
    <t>Vitesse tuyaux</t>
  </si>
  <si>
    <t>Δpsing apac</t>
  </si>
  <si>
    <t>Hsing apac</t>
  </si>
  <si>
    <t>vitesse dans pac</t>
  </si>
  <si>
    <t>vitesse buse echangeur</t>
  </si>
  <si>
    <t>diametre pompe</t>
  </si>
  <si>
    <t>Δpsing rpac</t>
  </si>
  <si>
    <t>Hsing rpac</t>
  </si>
  <si>
    <t>section pompe</t>
  </si>
  <si>
    <t>Δpsing pompe</t>
  </si>
  <si>
    <t>reynold</t>
  </si>
  <si>
    <t>nombre de reynold</t>
  </si>
  <si>
    <t>Masse volumique</t>
  </si>
  <si>
    <t>Vitesse moyenne</t>
  </si>
  <si>
    <t>Diametre</t>
  </si>
  <si>
    <t>Δpsing coude</t>
  </si>
  <si>
    <t>Hsing coude</t>
  </si>
  <si>
    <t>Viscosité dynamique</t>
  </si>
  <si>
    <t>Debit</t>
  </si>
  <si>
    <t xml:space="preserve">calcul pour les vannes </t>
  </si>
  <si>
    <t>K1</t>
  </si>
  <si>
    <t>Δpsing vanne</t>
  </si>
  <si>
    <t>Hsing vanne</t>
  </si>
  <si>
    <t>Kinfini</t>
  </si>
  <si>
    <t>Kd</t>
  </si>
  <si>
    <t>Din</t>
  </si>
  <si>
    <t>aspiration</t>
  </si>
  <si>
    <t>reffoulement</t>
  </si>
  <si>
    <t>Broyeur</t>
  </si>
  <si>
    <t>retrecissement pompe</t>
  </si>
  <si>
    <t>Retrecissement entrée pompe</t>
  </si>
  <si>
    <t>agrendissement sortie pompe</t>
  </si>
  <si>
    <t>agrandissement broyeur</t>
  </si>
  <si>
    <t>totale (Pa)</t>
  </si>
  <si>
    <t>retrecissement broyeur</t>
  </si>
  <si>
    <t>totale (mce)</t>
  </si>
  <si>
    <t>diametre broyeur</t>
  </si>
  <si>
    <t xml:space="preserve">section broyeur </t>
  </si>
  <si>
    <t>Delta z</t>
  </si>
  <si>
    <t>vitesse broyeur</t>
  </si>
  <si>
    <t>Δpsing Broyeur agr</t>
  </si>
  <si>
    <t>Hsing Broyeur agr</t>
  </si>
  <si>
    <t>Δpsing Broyeur ret</t>
  </si>
  <si>
    <t>Hsing Broyeur ret</t>
  </si>
  <si>
    <t>Reynold</t>
  </si>
  <si>
    <t>Δpsing pompe agr</t>
  </si>
  <si>
    <t>Hsing pompe agr</t>
  </si>
  <si>
    <t>Δpsing pompe ret</t>
  </si>
  <si>
    <t>Hsing pompe ret</t>
  </si>
  <si>
    <t>pertes totale du circuit</t>
  </si>
  <si>
    <t>singularité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</si>
</sst>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Inconsolata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Inconsolata"/>
    </font>
    <font>
      <sz val="11"/>
      <color theme="1"/>
      <name val="Calibri"/>
    </font>
    <font>
      <sz val="11"/>
      <name val="Calibri"/>
    </font>
    <font>
      <sz val="11"/>
      <name val="Arial"/>
    </font>
    <font>
      <b/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right"/>
    </xf>
    <xf numFmtId="0" fontId="6" fillId="0" borderId="0" xfId="0" applyFont="1" applyAlignment="1"/>
    <xf numFmtId="0" fontId="7" fillId="2" borderId="0" xfId="0" applyFont="1" applyFill="1"/>
    <xf numFmtId="0" fontId="8" fillId="0" borderId="0" xfId="0" applyFont="1" applyAlignment="1">
      <alignment horizontal="right"/>
    </xf>
    <xf numFmtId="0" fontId="5" fillId="0" borderId="0" xfId="0" applyFont="1"/>
    <xf numFmtId="0" fontId="2" fillId="0" borderId="3" xfId="0" applyFont="1" applyBorder="1" applyAlignment="1"/>
    <xf numFmtId="0" fontId="3" fillId="0" borderId="4" xfId="0" applyFont="1" applyBorder="1" applyAlignment="1">
      <alignment horizontal="right"/>
    </xf>
    <xf numFmtId="0" fontId="3" fillId="0" borderId="3" xfId="0" applyFont="1" applyBorder="1" applyAlignment="1"/>
    <xf numFmtId="0" fontId="1" fillId="0" borderId="3" xfId="0" applyFont="1" applyBorder="1" applyAlignment="1"/>
    <xf numFmtId="0" fontId="4" fillId="0" borderId="4" xfId="0" applyFont="1" applyBorder="1" applyAlignment="1">
      <alignment horizontal="right"/>
    </xf>
    <xf numFmtId="0" fontId="5" fillId="0" borderId="4" xfId="0" applyFont="1" applyBorder="1"/>
    <xf numFmtId="0" fontId="1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5" xfId="0" applyFont="1" applyBorder="1" applyAlignment="1"/>
    <xf numFmtId="0" fontId="4" fillId="0" borderId="6" xfId="0" applyFont="1" applyBorder="1" applyAlignment="1">
      <alignment horizontal="right"/>
    </xf>
    <xf numFmtId="0" fontId="9" fillId="0" borderId="3" xfId="0" applyFont="1" applyBorder="1" applyAlignment="1"/>
    <xf numFmtId="0" fontId="8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9" fillId="0" borderId="5" xfId="0" applyFont="1" applyBorder="1" applyAlignment="1"/>
    <xf numFmtId="0" fontId="10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4" xfId="0" applyFont="1" applyBorder="1"/>
    <xf numFmtId="0" fontId="3" fillId="0" borderId="5" xfId="0" applyFont="1" applyBorder="1" applyAlignment="1"/>
    <xf numFmtId="0" fontId="2" fillId="0" borderId="6" xfId="0" applyFont="1" applyBorder="1" applyAlignment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/>
    <xf numFmtId="0" fontId="13" fillId="0" borderId="2" xfId="0" applyFont="1" applyBorder="1" applyAlignment="1"/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/>
    <xf numFmtId="0" fontId="16" fillId="0" borderId="0" xfId="0" applyFont="1" applyFill="1" applyAlignment="1"/>
    <xf numFmtId="0" fontId="15" fillId="0" borderId="0" xfId="0" applyFont="1" applyFill="1"/>
    <xf numFmtId="0" fontId="17" fillId="0" borderId="0" xfId="0" applyFont="1" applyFill="1" applyAlignment="1"/>
    <xf numFmtId="0" fontId="18" fillId="0" borderId="0" xfId="0" applyFont="1" applyFill="1" applyAlignment="1"/>
    <xf numFmtId="0" fontId="17" fillId="0" borderId="0" xfId="0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19" fillId="0" borderId="0" xfId="0" applyFont="1" applyFill="1" applyAlignment="1"/>
    <xf numFmtId="0" fontId="19" fillId="0" borderId="0" xfId="0" applyFont="1" applyFill="1" applyAlignment="1">
      <alignment horizontal="center"/>
    </xf>
    <xf numFmtId="0" fontId="16" fillId="0" borderId="9" xfId="0" applyFont="1" applyFill="1" applyBorder="1" applyAlignment="1"/>
    <xf numFmtId="0" fontId="16" fillId="0" borderId="10" xfId="0" applyFont="1" applyFill="1" applyBorder="1" applyAlignment="1"/>
    <xf numFmtId="0" fontId="18" fillId="0" borderId="11" xfId="0" applyFont="1" applyFill="1" applyBorder="1" applyAlignment="1"/>
    <xf numFmtId="0" fontId="18" fillId="0" borderId="12" xfId="0" applyFont="1" applyFill="1" applyBorder="1" applyAlignment="1">
      <alignment horizontal="right"/>
    </xf>
    <xf numFmtId="0" fontId="17" fillId="0" borderId="11" xfId="0" applyFont="1" applyFill="1" applyBorder="1" applyAlignment="1"/>
    <xf numFmtId="0" fontId="17" fillId="0" borderId="12" xfId="0" applyFont="1" applyFill="1" applyBorder="1" applyAlignment="1">
      <alignment horizontal="right"/>
    </xf>
    <xf numFmtId="0" fontId="17" fillId="0" borderId="12" xfId="0" applyFont="1" applyFill="1" applyBorder="1"/>
    <xf numFmtId="0" fontId="17" fillId="0" borderId="12" xfId="0" applyFont="1" applyFill="1" applyBorder="1" applyAlignment="1"/>
    <xf numFmtId="0" fontId="17" fillId="0" borderId="13" xfId="0" applyFont="1" applyFill="1" applyBorder="1" applyAlignment="1"/>
    <xf numFmtId="0" fontId="18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0" fontId="18" fillId="0" borderId="13" xfId="0" applyFont="1" applyFill="1" applyBorder="1" applyAlignment="1"/>
    <xf numFmtId="0" fontId="18" fillId="0" borderId="14" xfId="0" applyFont="1" applyFill="1" applyBorder="1" applyAlignment="1">
      <alignment horizontal="right"/>
    </xf>
    <xf numFmtId="0" fontId="18" fillId="0" borderId="12" xfId="0" applyFont="1" applyFill="1" applyBorder="1" applyAlignment="1"/>
    <xf numFmtId="0" fontId="18" fillId="0" borderId="14" xfId="0" applyFont="1" applyFill="1" applyBorder="1" applyAlignment="1"/>
    <xf numFmtId="0" fontId="18" fillId="0" borderId="12" xfId="0" applyFont="1" applyFill="1" applyBorder="1"/>
    <xf numFmtId="0" fontId="3" fillId="0" borderId="17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5" fillId="0" borderId="19" xfId="0" applyFont="1" applyBorder="1" applyAlignment="1"/>
    <xf numFmtId="0" fontId="5" fillId="0" borderId="20" xfId="0" applyFont="1" applyBorder="1" applyAlignment="1"/>
    <xf numFmtId="0" fontId="1" fillId="0" borderId="17" xfId="0" applyFont="1" applyBorder="1" applyAlignment="1"/>
    <xf numFmtId="0" fontId="5" fillId="0" borderId="18" xfId="0" applyFont="1" applyBorder="1"/>
    <xf numFmtId="0" fontId="3" fillId="0" borderId="1" xfId="0" applyFont="1" applyBorder="1" applyAlignment="1"/>
    <xf numFmtId="0" fontId="2" fillId="0" borderId="2" xfId="0" applyFont="1" applyBorder="1" applyAlignment="1">
      <alignment horizontal="right"/>
    </xf>
    <xf numFmtId="0" fontId="17" fillId="0" borderId="21" xfId="0" applyFont="1" applyFill="1" applyBorder="1" applyAlignment="1"/>
    <xf numFmtId="0" fontId="17" fillId="0" borderId="22" xfId="0" applyFont="1" applyFill="1" applyBorder="1"/>
    <xf numFmtId="0" fontId="18" fillId="0" borderId="9" xfId="0" applyFont="1" applyFill="1" applyBorder="1" applyAlignment="1"/>
    <xf numFmtId="0" fontId="18" fillId="0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"/>
  <sheetViews>
    <sheetView workbookViewId="0">
      <selection activeCell="E22" sqref="E22"/>
    </sheetView>
  </sheetViews>
  <sheetFormatPr baseColWidth="10" defaultColWidth="14.42578125" defaultRowHeight="15.75" customHeight="1"/>
  <cols>
    <col min="1" max="1" width="24.7109375" style="44" customWidth="1"/>
    <col min="2" max="4" width="14.42578125" style="44"/>
    <col min="5" max="5" width="22" style="44" customWidth="1"/>
    <col min="6" max="6" width="16.85546875" style="44" customWidth="1"/>
    <col min="7" max="7" width="24.140625" style="44" customWidth="1"/>
    <col min="8" max="8" width="24.28515625" style="44" customWidth="1"/>
    <col min="9" max="10" width="14.42578125" style="44"/>
    <col min="11" max="11" width="24.85546875" style="44" customWidth="1"/>
    <col min="12" max="12" width="18" style="44" customWidth="1"/>
    <col min="13" max="16384" width="14.42578125" style="44"/>
  </cols>
  <sheetData>
    <row r="1" spans="1:13" ht="15.75" customHeight="1">
      <c r="A1" s="51" t="s">
        <v>0</v>
      </c>
      <c r="B1" s="52" t="s">
        <v>1</v>
      </c>
      <c r="C1" s="42"/>
      <c r="D1" s="61" t="s">
        <v>2</v>
      </c>
      <c r="E1" s="62"/>
      <c r="F1" s="43"/>
      <c r="G1" s="51" t="s">
        <v>89</v>
      </c>
      <c r="H1" s="52" t="s">
        <v>3</v>
      </c>
      <c r="J1" s="40" t="s">
        <v>4</v>
      </c>
      <c r="K1" s="41"/>
      <c r="L1" s="41"/>
      <c r="M1" s="41"/>
    </row>
    <row r="2" spans="1:13" ht="15.75" customHeight="1">
      <c r="A2" s="53" t="s">
        <v>5</v>
      </c>
      <c r="B2" s="54">
        <v>7</v>
      </c>
      <c r="C2" s="45"/>
      <c r="D2" s="53" t="s">
        <v>6</v>
      </c>
      <c r="E2" s="54">
        <f>L3</f>
        <v>1182.2756129216968</v>
      </c>
      <c r="F2" s="46"/>
      <c r="G2" s="53" t="s">
        <v>7</v>
      </c>
      <c r="H2" s="54">
        <v>0.6</v>
      </c>
      <c r="J2" s="45"/>
      <c r="K2" s="45"/>
      <c r="L2" s="45" t="s">
        <v>8</v>
      </c>
      <c r="M2" s="45" t="s">
        <v>9</v>
      </c>
    </row>
    <row r="3" spans="1:13" ht="15.75" customHeight="1">
      <c r="A3" s="53" t="s">
        <v>10</v>
      </c>
      <c r="B3" s="54">
        <f>B5</f>
        <v>0.06</v>
      </c>
      <c r="C3" s="45"/>
      <c r="D3" s="53" t="s">
        <v>11</v>
      </c>
      <c r="E3" s="54">
        <v>50000</v>
      </c>
      <c r="F3" s="46"/>
      <c r="G3" s="53" t="s">
        <v>12</v>
      </c>
      <c r="H3" s="54">
        <f>(K27/B21)+K28*(1+(K29/K30)*0.3)</f>
        <v>5.1115189395399857E-2</v>
      </c>
      <c r="J3" s="45" t="s">
        <v>13</v>
      </c>
      <c r="K3" s="47">
        <f>0.79*SQRT(K4/B5)</f>
        <v>3.9500000000000004E-3</v>
      </c>
      <c r="L3" s="47">
        <f>(K3*B4*B22*(B23^2))/(2*B5)</f>
        <v>1182.2756129216968</v>
      </c>
      <c r="M3" s="47">
        <f>L3/(B22*9.81)</f>
        <v>0.12088003183062919</v>
      </c>
    </row>
    <row r="4" spans="1:13" ht="15.75" customHeight="1">
      <c r="A4" s="53" t="s">
        <v>14</v>
      </c>
      <c r="B4" s="54">
        <v>8</v>
      </c>
      <c r="C4" s="45"/>
      <c r="D4" s="53" t="s">
        <v>15</v>
      </c>
      <c r="E4" s="54">
        <v>50000</v>
      </c>
      <c r="F4" s="46"/>
      <c r="G4" s="53" t="s">
        <v>16</v>
      </c>
      <c r="H4" s="54">
        <f>(1-(B6/B9))^2</f>
        <v>0.40960000000000019</v>
      </c>
      <c r="J4" s="45" t="s">
        <v>17</v>
      </c>
      <c r="K4" s="47">
        <v>1.5E-6</v>
      </c>
      <c r="L4" s="45"/>
      <c r="M4" s="45"/>
    </row>
    <row r="5" spans="1:13" ht="15.75" customHeight="1">
      <c r="A5" s="53" t="s">
        <v>18</v>
      </c>
      <c r="B5" s="54">
        <v>0.06</v>
      </c>
      <c r="C5" s="45"/>
      <c r="D5" s="53" t="s">
        <v>7</v>
      </c>
      <c r="E5" s="54">
        <f>7*L25</f>
        <v>9428.2738751983397</v>
      </c>
      <c r="F5" s="46"/>
      <c r="G5" s="53" t="s">
        <v>19</v>
      </c>
      <c r="H5" s="54">
        <f>((1/(0.63+0.37*(B6/B9)))-1)^2</f>
        <v>9.6269047022577395E-2</v>
      </c>
      <c r="J5" s="45"/>
      <c r="K5" s="45"/>
      <c r="L5" s="45"/>
      <c r="M5" s="45"/>
    </row>
    <row r="6" spans="1:13" ht="15.75" customHeight="1">
      <c r="A6" s="55" t="s">
        <v>20</v>
      </c>
      <c r="B6" s="54">
        <f>((B5/2)^2)*PI()</f>
        <v>2.8274333882308137E-3</v>
      </c>
      <c r="C6" s="45"/>
      <c r="D6" s="53" t="s">
        <v>12</v>
      </c>
      <c r="E6" s="54">
        <f>2*L28</f>
        <v>229.48952609641128</v>
      </c>
      <c r="F6" s="46"/>
      <c r="G6" s="53" t="s">
        <v>21</v>
      </c>
      <c r="H6" s="54">
        <f>((1/(0.63+0.37*(B11/B6)))-1)^2</f>
        <v>1.3657032962692839E-5</v>
      </c>
      <c r="J6" s="45"/>
      <c r="K6" s="45"/>
      <c r="L6" s="45" t="s">
        <v>22</v>
      </c>
      <c r="M6" s="45" t="s">
        <v>23</v>
      </c>
    </row>
    <row r="7" spans="1:13" ht="15.75" customHeight="1">
      <c r="A7" s="53" t="s">
        <v>24</v>
      </c>
      <c r="B7" s="54">
        <v>2</v>
      </c>
      <c r="C7" s="45"/>
      <c r="D7" s="55" t="s">
        <v>25</v>
      </c>
      <c r="E7" s="57">
        <f>L7+L10</f>
        <v>947.48870029503462</v>
      </c>
      <c r="F7" s="46"/>
      <c r="G7" s="53" t="s">
        <v>26</v>
      </c>
      <c r="H7" s="54">
        <f>((1/(0.63+0.37*(B11/B6)))-1)^2</f>
        <v>1.3657032962692839E-5</v>
      </c>
      <c r="J7" s="45"/>
      <c r="K7" s="45"/>
      <c r="L7" s="45">
        <f>(H4*$B$22*($B$12^2))/2</f>
        <v>919.48118554315283</v>
      </c>
      <c r="M7" s="47">
        <f>L7/(B26*9.81)</f>
        <v>15621.494827440585</v>
      </c>
    </row>
    <row r="8" spans="1:13" ht="15.75" customHeight="1">
      <c r="A8" s="53" t="s">
        <v>27</v>
      </c>
      <c r="B8" s="56">
        <v>0.1</v>
      </c>
      <c r="C8" s="45"/>
      <c r="D8" s="55" t="s">
        <v>28</v>
      </c>
      <c r="E8" s="65">
        <f>L16+L13</f>
        <v>6.0709790642458544E-2</v>
      </c>
      <c r="F8" s="46"/>
      <c r="G8" s="53" t="s">
        <v>29</v>
      </c>
      <c r="H8" s="67">
        <f>(1-(B6/B16))^2</f>
        <v>0.14439905759965288</v>
      </c>
      <c r="J8" s="45"/>
      <c r="K8" s="45"/>
      <c r="L8" s="45"/>
      <c r="M8" s="45"/>
    </row>
    <row r="9" spans="1:13" ht="15.75" customHeight="1" thickBot="1">
      <c r="A9" s="55" t="s">
        <v>30</v>
      </c>
      <c r="B9" s="54">
        <f>((B8/2)^2)*PI()</f>
        <v>7.8539816339744835E-3</v>
      </c>
      <c r="C9" s="45"/>
      <c r="D9" s="77" t="s">
        <v>31</v>
      </c>
      <c r="E9" s="78">
        <f>L22+L19</f>
        <v>384.23501732945635</v>
      </c>
      <c r="F9" s="46"/>
      <c r="G9" s="63" t="s">
        <v>32</v>
      </c>
      <c r="H9" s="60">
        <f>((1/(0.63+0.37*(B6/B16)))-1)^2</f>
        <v>2.6765579124454587E-2</v>
      </c>
      <c r="J9" s="46"/>
      <c r="K9" s="46"/>
      <c r="L9" s="45" t="s">
        <v>33</v>
      </c>
      <c r="M9" s="45" t="s">
        <v>34</v>
      </c>
    </row>
    <row r="10" spans="1:13" ht="15.75" customHeight="1">
      <c r="A10" s="55" t="s">
        <v>35</v>
      </c>
      <c r="B10" s="56">
        <v>6.0299999999999999E-2</v>
      </c>
      <c r="C10" s="45"/>
      <c r="D10" s="79" t="s">
        <v>36</v>
      </c>
      <c r="E10" s="80">
        <f>E2+E5+E4+E6+E7+E8+E9+E3</f>
        <v>112171.82344163157</v>
      </c>
      <c r="F10" s="46"/>
      <c r="G10" s="45"/>
      <c r="H10" s="45"/>
      <c r="I10" s="45"/>
      <c r="J10" s="46"/>
      <c r="K10" s="46"/>
      <c r="L10" s="45">
        <f>(H5*$B$22*($B$14^2))/2</f>
        <v>28.007514751881807</v>
      </c>
      <c r="M10" s="47">
        <f>L10/(B22*9.81)</f>
        <v>2.8635871684249289E-3</v>
      </c>
    </row>
    <row r="11" spans="1:13" ht="15.75" customHeight="1" thickBot="1">
      <c r="A11" s="53" t="s">
        <v>37</v>
      </c>
      <c r="B11" s="54">
        <f>((B10/2)^2)*PI()</f>
        <v>2.8557784079478277E-3</v>
      </c>
      <c r="C11" s="45"/>
      <c r="D11" s="63" t="s">
        <v>38</v>
      </c>
      <c r="E11" s="66">
        <f>E10/(997*9.81)</f>
        <v>11.468843169838934</v>
      </c>
      <c r="F11" s="46"/>
      <c r="G11" s="45"/>
      <c r="H11" s="45"/>
      <c r="I11" s="45"/>
      <c r="J11" s="46"/>
      <c r="K11" s="46"/>
      <c r="L11" s="46"/>
      <c r="M11" s="46"/>
    </row>
    <row r="12" spans="1:13" ht="15.75" customHeight="1">
      <c r="A12" s="55" t="s">
        <v>39</v>
      </c>
      <c r="B12" s="57">
        <f>B26/B6</f>
        <v>2.1220659078919382</v>
      </c>
      <c r="C12" s="45"/>
      <c r="F12" s="46"/>
      <c r="G12" s="46"/>
      <c r="H12" s="46"/>
      <c r="I12" s="45"/>
      <c r="J12" s="46"/>
      <c r="K12" s="46"/>
      <c r="L12" s="45" t="s">
        <v>40</v>
      </c>
      <c r="M12" s="45" t="s">
        <v>41</v>
      </c>
    </row>
    <row r="13" spans="1:13" ht="15.75" customHeight="1">
      <c r="A13" s="55" t="s">
        <v>42</v>
      </c>
      <c r="B13" s="57">
        <f>B26/B11</f>
        <v>2.1010033493150546</v>
      </c>
      <c r="C13" s="45"/>
      <c r="D13" s="45"/>
      <c r="E13" s="46"/>
      <c r="F13" s="46"/>
      <c r="G13" s="46"/>
      <c r="H13" s="46"/>
      <c r="I13" s="45"/>
      <c r="J13" s="46"/>
      <c r="K13" s="46"/>
      <c r="L13" s="45">
        <f>(H6*$B$22*($B$13^2))/2</f>
        <v>3.0052112762725337E-2</v>
      </c>
      <c r="M13" s="47">
        <f>L13/($B$22*9.81)</f>
        <v>3.0726340860221171E-6</v>
      </c>
    </row>
    <row r="14" spans="1:13" ht="15.75" customHeight="1">
      <c r="A14" s="55" t="s">
        <v>43</v>
      </c>
      <c r="B14" s="57">
        <f>B26/B9</f>
        <v>0.76394372684109757</v>
      </c>
      <c r="C14" s="45"/>
      <c r="D14" s="45"/>
      <c r="I14" s="45"/>
      <c r="J14" s="46"/>
      <c r="K14" s="46"/>
      <c r="L14" s="46"/>
      <c r="M14" s="46"/>
    </row>
    <row r="15" spans="1:13" ht="15.75" customHeight="1">
      <c r="A15" s="55" t="s">
        <v>44</v>
      </c>
      <c r="B15" s="58">
        <v>7.6200000000000004E-2</v>
      </c>
      <c r="C15" s="45"/>
      <c r="D15" s="45"/>
      <c r="I15" s="45"/>
      <c r="J15" s="46"/>
      <c r="K15" s="46"/>
      <c r="L15" s="45" t="s">
        <v>45</v>
      </c>
      <c r="M15" s="45" t="s">
        <v>46</v>
      </c>
    </row>
    <row r="16" spans="1:13" ht="15.75" customHeight="1" thickBot="1">
      <c r="A16" s="59" t="s">
        <v>47</v>
      </c>
      <c r="B16" s="60">
        <f>((B15/2)^2)*PI()</f>
        <v>4.5603673118774796E-3</v>
      </c>
      <c r="C16" s="45"/>
      <c r="D16" s="45"/>
      <c r="I16" s="45"/>
      <c r="J16" s="46"/>
      <c r="K16" s="46"/>
      <c r="L16" s="45">
        <f>(H7*$B$22*($B$12^2))/2</f>
        <v>3.0657677879733211E-2</v>
      </c>
      <c r="M16" s="47">
        <f>L16/($B$22*9.81)</f>
        <v>3.1345492010929029E-6</v>
      </c>
    </row>
    <row r="17" spans="1:13" ht="15.75" customHeight="1">
      <c r="C17" s="45"/>
      <c r="D17" s="45"/>
      <c r="I17" s="45"/>
    </row>
    <row r="18" spans="1:13" ht="15.75" customHeight="1">
      <c r="A18" s="46"/>
      <c r="B18" s="46"/>
      <c r="C18" s="45"/>
      <c r="D18" s="45"/>
      <c r="I18" s="45"/>
      <c r="L18" s="45" t="s">
        <v>48</v>
      </c>
      <c r="M18" s="45" t="s">
        <v>23</v>
      </c>
    </row>
    <row r="19" spans="1:13" ht="15.75" customHeight="1" thickBot="1">
      <c r="A19" s="46"/>
      <c r="B19" s="46"/>
      <c r="C19" s="46"/>
      <c r="D19" s="46"/>
      <c r="L19" s="45">
        <f>($H$8*$B$22*($B$12^2))/2</f>
        <v>324.15091961192081</v>
      </c>
      <c r="M19" s="47">
        <f>$L$19/($B$22*9.81)</f>
        <v>3.314233420055486E-2</v>
      </c>
    </row>
    <row r="20" spans="1:13" ht="15.75" customHeight="1">
      <c r="A20" s="61" t="s">
        <v>49</v>
      </c>
      <c r="B20" s="62"/>
      <c r="C20" s="46"/>
      <c r="D20" s="46"/>
      <c r="L20" s="45"/>
      <c r="M20" s="45"/>
    </row>
    <row r="21" spans="1:13" ht="15.75" customHeight="1">
      <c r="A21" s="53" t="s">
        <v>50</v>
      </c>
      <c r="B21" s="54">
        <f>(B22*B23*B24)/B25</f>
        <v>96168.168644011923</v>
      </c>
      <c r="C21" s="46"/>
      <c r="D21" s="46"/>
      <c r="L21" s="45" t="s">
        <v>48</v>
      </c>
      <c r="M21" s="45" t="s">
        <v>34</v>
      </c>
    </row>
    <row r="22" spans="1:13" ht="15.75" customHeight="1">
      <c r="A22" s="53" t="s">
        <v>51</v>
      </c>
      <c r="B22" s="54">
        <v>997</v>
      </c>
      <c r="C22" s="46"/>
      <c r="D22" s="46"/>
      <c r="L22" s="45">
        <f>($H$9*$B$22*($B$12^2))/2</f>
        <v>60.084097717535535</v>
      </c>
      <c r="M22" s="47">
        <f>$L$22/($B$22*9.81)</f>
        <v>6.1432102339163807E-3</v>
      </c>
    </row>
    <row r="23" spans="1:13" ht="15.75" customHeight="1">
      <c r="A23" s="53" t="s">
        <v>52</v>
      </c>
      <c r="B23" s="54">
        <f>(4*B26)/((B24^2)*PI())</f>
        <v>2.1220659078919382</v>
      </c>
      <c r="C23" s="46"/>
      <c r="D23" s="46"/>
    </row>
    <row r="24" spans="1:13" ht="15.75" customHeight="1">
      <c r="A24" s="53" t="s">
        <v>53</v>
      </c>
      <c r="B24" s="54">
        <f>B5</f>
        <v>0.06</v>
      </c>
      <c r="C24" s="46"/>
      <c r="D24" s="46"/>
      <c r="L24" s="45" t="s">
        <v>54</v>
      </c>
      <c r="M24" s="45" t="s">
        <v>55</v>
      </c>
    </row>
    <row r="25" spans="1:13" ht="15.75" customHeight="1">
      <c r="A25" s="53" t="s">
        <v>56</v>
      </c>
      <c r="B25" s="54">
        <v>1.32E-3</v>
      </c>
      <c r="C25" s="46"/>
      <c r="D25" s="46"/>
      <c r="L25" s="48">
        <f>(H2*$B$22*($B$12^2))/2</f>
        <v>1346.8962678854771</v>
      </c>
      <c r="M25" s="47">
        <f>L25/($B$22*9.81)</f>
        <v>0.13771142866780536</v>
      </c>
    </row>
    <row r="26" spans="1:13" ht="15.75" customHeight="1" thickBot="1">
      <c r="A26" s="63" t="s">
        <v>57</v>
      </c>
      <c r="B26" s="64">
        <v>6.0000000000000001E-3</v>
      </c>
      <c r="C26" s="46"/>
      <c r="D26" s="46"/>
      <c r="J26" s="50" t="s">
        <v>58</v>
      </c>
      <c r="K26" s="50"/>
    </row>
    <row r="27" spans="1:13" ht="14.25">
      <c r="A27" s="46"/>
      <c r="B27" s="46"/>
      <c r="C27" s="46"/>
      <c r="D27" s="46"/>
      <c r="J27" s="49" t="s">
        <v>59</v>
      </c>
      <c r="K27" s="49">
        <v>300</v>
      </c>
      <c r="L27" s="45" t="s">
        <v>60</v>
      </c>
      <c r="M27" s="45" t="s">
        <v>61</v>
      </c>
    </row>
    <row r="28" spans="1:13" ht="15.75" customHeight="1">
      <c r="A28" s="46"/>
      <c r="B28" s="46"/>
      <c r="C28" s="46"/>
      <c r="D28" s="46"/>
      <c r="J28" s="49" t="s">
        <v>62</v>
      </c>
      <c r="K28" s="49">
        <v>3.6999999999999998E-2</v>
      </c>
      <c r="L28" s="48">
        <f>(H3*$B$22*$B$12^2)/2</f>
        <v>114.74476304820564</v>
      </c>
      <c r="M28" s="47">
        <f>L28/($B$22*9.81)</f>
        <v>1.1731909597109949E-2</v>
      </c>
    </row>
    <row r="29" spans="1:13" ht="12.75">
      <c r="J29" s="49" t="s">
        <v>63</v>
      </c>
      <c r="K29" s="49">
        <v>3.9</v>
      </c>
    </row>
    <row r="30" spans="1:13" ht="12.75">
      <c r="J30" s="49" t="s">
        <v>64</v>
      </c>
      <c r="K30" s="49">
        <v>3.9370099999999999</v>
      </c>
    </row>
  </sheetData>
  <mergeCells count="4">
    <mergeCell ref="D1:E1"/>
    <mergeCell ref="J1:M1"/>
    <mergeCell ref="A20:B20"/>
    <mergeCell ref="J26:K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0"/>
  <sheetViews>
    <sheetView tabSelected="1" workbookViewId="0">
      <selection activeCell="K16" sqref="K16"/>
    </sheetView>
  </sheetViews>
  <sheetFormatPr baseColWidth="10" defaultColWidth="14.42578125" defaultRowHeight="15.75" customHeight="1"/>
  <cols>
    <col min="1" max="1" width="27.85546875" customWidth="1"/>
    <col min="3" max="3" width="8" customWidth="1"/>
    <col min="4" max="4" width="27.85546875" customWidth="1"/>
    <col min="6" max="6" width="15.5703125" customWidth="1"/>
    <col min="7" max="7" width="28.85546875" customWidth="1"/>
    <col min="8" max="8" width="18" customWidth="1"/>
    <col min="9" max="9" width="9.85546875" customWidth="1"/>
    <col min="10" max="10" width="24.7109375" customWidth="1"/>
    <col min="12" max="12" width="9" customWidth="1"/>
  </cols>
  <sheetData>
    <row r="1" spans="1:16" ht="15.75" customHeight="1">
      <c r="A1" s="36" t="s">
        <v>0</v>
      </c>
      <c r="B1" s="37" t="s">
        <v>1</v>
      </c>
      <c r="C1" s="1"/>
      <c r="D1" s="38" t="s">
        <v>65</v>
      </c>
      <c r="E1" s="39"/>
      <c r="G1" s="38" t="s">
        <v>66</v>
      </c>
      <c r="H1" s="39"/>
      <c r="J1" s="36" t="s">
        <v>89</v>
      </c>
      <c r="K1" s="37" t="s">
        <v>3</v>
      </c>
      <c r="M1" s="40" t="s">
        <v>4</v>
      </c>
      <c r="N1" s="41"/>
      <c r="O1" s="41"/>
      <c r="P1" s="41"/>
    </row>
    <row r="2" spans="1:16" ht="15.75" customHeight="1">
      <c r="A2" s="11" t="s">
        <v>5</v>
      </c>
      <c r="B2" s="12">
        <v>3</v>
      </c>
      <c r="C2" s="1"/>
      <c r="D2" s="28" t="s">
        <v>2</v>
      </c>
      <c r="E2" s="29"/>
      <c r="G2" s="32" t="s">
        <v>2</v>
      </c>
      <c r="H2" s="29"/>
      <c r="J2" s="11" t="s">
        <v>7</v>
      </c>
      <c r="K2" s="12">
        <v>0.6</v>
      </c>
      <c r="M2" s="1"/>
      <c r="N2" s="1"/>
      <c r="O2" s="5" t="s">
        <v>8</v>
      </c>
      <c r="P2" s="5" t="s">
        <v>9</v>
      </c>
    </row>
    <row r="3" spans="1:16" ht="15.75" customHeight="1">
      <c r="A3" s="13" t="s">
        <v>10</v>
      </c>
      <c r="B3" s="12">
        <f>B5</f>
        <v>0.06</v>
      </c>
      <c r="C3" s="1"/>
      <c r="D3" s="11" t="s">
        <v>6</v>
      </c>
      <c r="E3" s="18">
        <f>O3</f>
        <v>266.94837519281566</v>
      </c>
      <c r="G3" s="11" t="s">
        <v>6</v>
      </c>
      <c r="H3" s="18">
        <f>O3</f>
        <v>266.94837519281566</v>
      </c>
      <c r="J3" s="11" t="s">
        <v>12</v>
      </c>
      <c r="K3" s="18">
        <f>(N27/B20)+N28*(1+(N29/N30)*0.3)</f>
        <v>5.2637819736532893E-2</v>
      </c>
      <c r="M3" s="5" t="s">
        <v>13</v>
      </c>
      <c r="N3" s="3">
        <f>0.79*SQRT(N4/B5)</f>
        <v>3.9500000000000004E-3</v>
      </c>
      <c r="O3" s="3">
        <f>(N3*B4*B21*(B22^2))/(2*B5)</f>
        <v>266.94837519281566</v>
      </c>
      <c r="P3" s="3">
        <f>O3/(B21*9.81)</f>
        <v>2.7293744147101413E-2</v>
      </c>
    </row>
    <row r="4" spans="1:16" ht="15.75" customHeight="1">
      <c r="A4" s="11" t="s">
        <v>14</v>
      </c>
      <c r="B4" s="12">
        <v>4</v>
      </c>
      <c r="C4" s="1"/>
      <c r="D4" s="11" t="s">
        <v>7</v>
      </c>
      <c r="E4" s="18">
        <f>3*O13</f>
        <v>1824.7104127103851</v>
      </c>
      <c r="G4" s="11" t="s">
        <v>7</v>
      </c>
      <c r="H4" s="18">
        <f>O13*0</f>
        <v>0</v>
      </c>
      <c r="J4" s="13" t="s">
        <v>16</v>
      </c>
      <c r="K4" s="18">
        <f>(1-(B10/B6))^2</f>
        <v>3.160493827160495</v>
      </c>
      <c r="M4" s="2" t="s">
        <v>17</v>
      </c>
      <c r="N4" s="3">
        <v>1.5E-6</v>
      </c>
      <c r="O4" s="1"/>
      <c r="P4" s="1"/>
    </row>
    <row r="5" spans="1:16" ht="15.75" customHeight="1">
      <c r="A5" s="11" t="s">
        <v>18</v>
      </c>
      <c r="B5" s="12">
        <v>0.06</v>
      </c>
      <c r="C5" s="1"/>
      <c r="D5" s="11" t="s">
        <v>12</v>
      </c>
      <c r="E5" s="18">
        <f>O28*2</f>
        <v>106.72086419513757</v>
      </c>
      <c r="G5" s="11" t="s">
        <v>12</v>
      </c>
      <c r="H5" s="12">
        <f>O28*1</f>
        <v>53.360432097568783</v>
      </c>
      <c r="J5" s="13" t="s">
        <v>19</v>
      </c>
      <c r="K5" s="18">
        <f>((1/(0.63+0.37*(B10/B6)))-1)^2</f>
        <v>0.15743662356518054</v>
      </c>
      <c r="M5" s="1"/>
      <c r="N5" s="1"/>
      <c r="O5" s="1"/>
      <c r="P5" s="1"/>
    </row>
    <row r="6" spans="1:16" ht="15.75" customHeight="1">
      <c r="A6" s="14" t="s">
        <v>20</v>
      </c>
      <c r="B6" s="15">
        <f>((B5/2)^2)*PI()</f>
        <v>2.8274333882308137E-3</v>
      </c>
      <c r="C6" s="1"/>
      <c r="D6" s="14" t="s">
        <v>25</v>
      </c>
      <c r="E6" s="16">
        <f>O7+O10</f>
        <v>3363.4790233822237</v>
      </c>
      <c r="G6" s="14" t="s">
        <v>25</v>
      </c>
      <c r="H6" s="16">
        <f>O7+O10</f>
        <v>3363.4790233822237</v>
      </c>
      <c r="I6" s="6"/>
      <c r="J6" s="13" t="s">
        <v>29</v>
      </c>
      <c r="K6" s="18">
        <f>(1-(B16/B6))^2</f>
        <v>8.0177068641975338E-2</v>
      </c>
      <c r="M6" s="1"/>
      <c r="N6" s="1"/>
      <c r="O6" s="2" t="s">
        <v>22</v>
      </c>
      <c r="P6" s="2" t="s">
        <v>23</v>
      </c>
    </row>
    <row r="7" spans="1:16" ht="15.75" customHeight="1">
      <c r="A7" s="14" t="s">
        <v>39</v>
      </c>
      <c r="B7" s="16">
        <f>B25/B6</f>
        <v>1.4260282901033823</v>
      </c>
      <c r="C7" s="1"/>
      <c r="D7" s="14" t="s">
        <v>67</v>
      </c>
      <c r="E7" s="16">
        <f>O16+O19</f>
        <v>3224.5649984750462</v>
      </c>
      <c r="G7" s="14" t="s">
        <v>15</v>
      </c>
      <c r="H7" s="19">
        <v>50000</v>
      </c>
      <c r="I7" s="6"/>
      <c r="J7" s="13" t="s">
        <v>68</v>
      </c>
      <c r="K7" s="18">
        <f>((1/(0.63+0.37*(B16/B6)))-1)^2</f>
        <v>1.3695629400448602E-2</v>
      </c>
      <c r="M7" s="1"/>
      <c r="N7" s="1"/>
      <c r="O7" s="1">
        <f>(K4*$B$21*($B$7^2))/2</f>
        <v>3203.8811087370291</v>
      </c>
      <c r="P7" s="3">
        <f>O7/(B25*9.81)</f>
        <v>81000.343549691897</v>
      </c>
    </row>
    <row r="8" spans="1:16" ht="15.75" customHeight="1" thickBot="1">
      <c r="A8" s="11" t="s">
        <v>24</v>
      </c>
      <c r="B8" s="12">
        <v>1</v>
      </c>
      <c r="C8" s="1"/>
      <c r="D8" s="73" t="s">
        <v>69</v>
      </c>
      <c r="E8" s="74">
        <f>O25</f>
        <v>13.883643097567255</v>
      </c>
      <c r="G8" s="68" t="s">
        <v>70</v>
      </c>
      <c r="H8" s="74">
        <f>O22</f>
        <v>81.277740006448724</v>
      </c>
      <c r="I8" s="6"/>
      <c r="J8" s="13" t="s">
        <v>71</v>
      </c>
      <c r="K8" s="18">
        <f>(1-(B13/B6))^2</f>
        <v>3.160493827160495</v>
      </c>
      <c r="M8" s="1"/>
      <c r="N8" s="1"/>
      <c r="O8" s="1"/>
      <c r="P8" s="1"/>
    </row>
    <row r="9" spans="1:16" ht="15.75" customHeight="1" thickBot="1">
      <c r="A9" s="11" t="s">
        <v>27</v>
      </c>
      <c r="B9" s="17">
        <v>0.1</v>
      </c>
      <c r="C9" s="1"/>
      <c r="D9" s="75" t="s">
        <v>72</v>
      </c>
      <c r="E9" s="76">
        <f>E3+E4+E5+E6+E7+E8</f>
        <v>8800.3073170531752</v>
      </c>
      <c r="G9" s="75" t="s">
        <v>72</v>
      </c>
      <c r="H9" s="76">
        <f>H3+H4+H5+H6+H7+H8</f>
        <v>53765.065570679057</v>
      </c>
      <c r="I9" s="1"/>
      <c r="J9" s="30" t="s">
        <v>73</v>
      </c>
      <c r="K9" s="33">
        <f>((1/(0.63+0.37*(B13/B6)))-1)^2</f>
        <v>0.15743662356518054</v>
      </c>
      <c r="O9" s="2" t="s">
        <v>33</v>
      </c>
      <c r="P9" s="2" t="s">
        <v>34</v>
      </c>
    </row>
    <row r="10" spans="1:16" ht="15.75" customHeight="1" thickBot="1">
      <c r="A10" s="14" t="s">
        <v>30</v>
      </c>
      <c r="B10" s="18">
        <f>((B9/2)^2)*PI()</f>
        <v>7.8539816339744835E-3</v>
      </c>
      <c r="C10" s="1"/>
      <c r="D10" s="30" t="s">
        <v>74</v>
      </c>
      <c r="E10" s="31">
        <f>E9/10000</f>
        <v>0.88003073170531754</v>
      </c>
      <c r="G10" s="30" t="s">
        <v>74</v>
      </c>
      <c r="H10" s="31">
        <f>H9/10000</f>
        <v>5.3765065570679056</v>
      </c>
      <c r="I10" s="1"/>
      <c r="O10" s="1">
        <f>(K5*$B$21*($B$7^2))/2</f>
        <v>159.59791464519452</v>
      </c>
      <c r="P10" s="3">
        <f>O10/(B21*9.81)</f>
        <v>1.6317854137866662E-2</v>
      </c>
    </row>
    <row r="11" spans="1:16" ht="15.75" customHeight="1" thickBot="1">
      <c r="A11" s="14" t="s">
        <v>43</v>
      </c>
      <c r="B11" s="16">
        <f>B25/B10</f>
        <v>0.5133701844372176</v>
      </c>
      <c r="C11" s="1"/>
      <c r="D11" s="1"/>
      <c r="G11" s="69" t="s">
        <v>88</v>
      </c>
      <c r="H11" s="70">
        <f>H10+E10</f>
        <v>6.2565372887732229</v>
      </c>
      <c r="I11" s="1"/>
    </row>
    <row r="12" spans="1:16" ht="15.75" customHeight="1" thickBot="1">
      <c r="A12" s="14" t="s">
        <v>75</v>
      </c>
      <c r="B12" s="19">
        <v>0.1</v>
      </c>
      <c r="C12" s="1"/>
      <c r="D12" s="1"/>
      <c r="G12" s="71" t="s">
        <v>77</v>
      </c>
      <c r="H12" s="72">
        <f>9-H11</f>
        <v>2.7434627112267771</v>
      </c>
      <c r="I12" s="1"/>
      <c r="O12" s="7" t="s">
        <v>54</v>
      </c>
      <c r="P12" s="7" t="s">
        <v>55</v>
      </c>
    </row>
    <row r="13" spans="1:16" ht="15.75" customHeight="1">
      <c r="A13" s="14" t="s">
        <v>76</v>
      </c>
      <c r="B13" s="15">
        <f>((B12/2)^2)*PI()</f>
        <v>7.8539816339744835E-3</v>
      </c>
      <c r="C13" s="1"/>
      <c r="D13" s="1"/>
      <c r="O13" s="8">
        <f>(K2*$B$21*($B$7^2))/2</f>
        <v>608.23680423679502</v>
      </c>
      <c r="P13" s="9">
        <f>O13/($B$21*9.81)</f>
        <v>6.2188277803522193E-2</v>
      </c>
    </row>
    <row r="14" spans="1:16" ht="15.75" customHeight="1">
      <c r="A14" s="14" t="s">
        <v>78</v>
      </c>
      <c r="B14" s="16">
        <f>B25/B13</f>
        <v>0.5133701844372176</v>
      </c>
      <c r="C14" s="1"/>
      <c r="D14" s="1"/>
      <c r="I14" s="1"/>
    </row>
    <row r="15" spans="1:16" ht="15.75" customHeight="1">
      <c r="A15" s="14" t="s">
        <v>44</v>
      </c>
      <c r="B15" s="19">
        <v>5.0799999999999998E-2</v>
      </c>
      <c r="C15" s="1"/>
      <c r="D15" s="1"/>
      <c r="I15" s="1"/>
      <c r="O15" s="4" t="s">
        <v>79</v>
      </c>
      <c r="P15" s="4" t="s">
        <v>80</v>
      </c>
    </row>
    <row r="16" spans="1:16" ht="15.75" customHeight="1" thickBot="1">
      <c r="A16" s="20" t="s">
        <v>47</v>
      </c>
      <c r="B16" s="21">
        <f>((B15/2)^2)*PI()</f>
        <v>2.0268299163899908E-3</v>
      </c>
      <c r="C16" s="1"/>
      <c r="D16" s="1"/>
      <c r="I16" s="1"/>
      <c r="O16" s="10">
        <f>(K8*$B$21*$B$7^2)/2</f>
        <v>3203.8811087370291</v>
      </c>
      <c r="P16" s="10">
        <f>O16/($B$21*9.81)</f>
        <v>0.32757611353295657</v>
      </c>
    </row>
    <row r="17" spans="1:16" ht="15.75" customHeight="1">
      <c r="C17" s="1"/>
      <c r="D17" s="1"/>
      <c r="I17" s="1"/>
    </row>
    <row r="18" spans="1:16" ht="15.75" customHeight="1" thickBot="1">
      <c r="C18" s="1"/>
      <c r="D18" s="1"/>
      <c r="O18" s="4" t="s">
        <v>81</v>
      </c>
      <c r="P18" s="4" t="s">
        <v>82</v>
      </c>
    </row>
    <row r="19" spans="1:16" ht="15.75" customHeight="1">
      <c r="A19" s="34" t="s">
        <v>83</v>
      </c>
      <c r="B19" s="35"/>
      <c r="O19" s="10">
        <f>(K9*B21*B14^2)/2</f>
        <v>20.683889738017211</v>
      </c>
      <c r="P19" s="10">
        <f>O19/($B$21*9.81)</f>
        <v>2.1147938962675192E-3</v>
      </c>
    </row>
    <row r="20" spans="1:16" ht="15.75" customHeight="1">
      <c r="A20" s="22" t="s">
        <v>50</v>
      </c>
      <c r="B20" s="23">
        <f>(B21*B22*B23)/B24</f>
        <v>64625.009328776003</v>
      </c>
    </row>
    <row r="21" spans="1:16" ht="15.75" customHeight="1">
      <c r="A21" s="22" t="s">
        <v>51</v>
      </c>
      <c r="B21" s="24">
        <v>997</v>
      </c>
      <c r="O21" s="4" t="s">
        <v>84</v>
      </c>
      <c r="P21" s="4" t="s">
        <v>85</v>
      </c>
    </row>
    <row r="22" spans="1:16" ht="15.75" customHeight="1">
      <c r="A22" s="22" t="s">
        <v>52</v>
      </c>
      <c r="B22" s="23">
        <f>(4*B25)/((B23^2)*PI())</f>
        <v>1.4260282901033823</v>
      </c>
      <c r="O22" s="10">
        <f>(K6*$B$21*$B$7^2)/2</f>
        <v>81.277740006448724</v>
      </c>
      <c r="P22" s="10">
        <f>O22/($B$21*9.81)</f>
        <v>8.3101230302987175E-3</v>
      </c>
    </row>
    <row r="23" spans="1:16" ht="15.75" customHeight="1">
      <c r="A23" s="22" t="s">
        <v>53</v>
      </c>
      <c r="B23" s="25">
        <f>B5</f>
        <v>0.06</v>
      </c>
    </row>
    <row r="24" spans="1:16" ht="15.75" customHeight="1">
      <c r="A24" s="22" t="s">
        <v>56</v>
      </c>
      <c r="B24" s="24">
        <v>1.32E-3</v>
      </c>
      <c r="O24" s="4" t="s">
        <v>86</v>
      </c>
      <c r="P24" s="4" t="s">
        <v>87</v>
      </c>
    </row>
    <row r="25" spans="1:16" ht="15.75" customHeight="1" thickBot="1">
      <c r="A25" s="26" t="s">
        <v>57</v>
      </c>
      <c r="B25" s="27">
        <v>4.032E-3</v>
      </c>
      <c r="O25" s="10">
        <f>(K7*$B$21*$B$7^2)/2</f>
        <v>13.883643097567255</v>
      </c>
      <c r="P25" s="10">
        <f>O25/($B$21*9.81)</f>
        <v>1.4195126764153065E-3</v>
      </c>
    </row>
    <row r="26" spans="1:16" ht="12.75">
      <c r="M26" s="4" t="s">
        <v>58</v>
      </c>
    </row>
    <row r="27" spans="1:16" ht="15.75" customHeight="1">
      <c r="M27" s="4" t="s">
        <v>59</v>
      </c>
      <c r="N27" s="4">
        <v>300</v>
      </c>
      <c r="O27" s="7" t="s">
        <v>60</v>
      </c>
      <c r="P27" s="7" t="s">
        <v>61</v>
      </c>
    </row>
    <row r="28" spans="1:16" ht="15">
      <c r="M28" s="4" t="s">
        <v>62</v>
      </c>
      <c r="N28" s="4">
        <v>3.6999999999999998E-2</v>
      </c>
      <c r="O28" s="8">
        <f>(K3*$B$21*$B$7^2)/2</f>
        <v>53.360432097568783</v>
      </c>
      <c r="P28" s="9">
        <f>O28/($B$21*9.81)</f>
        <v>5.4557589279120525E-3</v>
      </c>
    </row>
    <row r="29" spans="1:16" ht="12.75">
      <c r="M29" s="4" t="s">
        <v>63</v>
      </c>
      <c r="N29" s="4">
        <v>3.9</v>
      </c>
    </row>
    <row r="30" spans="1:16" ht="15.75" customHeight="1">
      <c r="M30" s="4" t="s">
        <v>64</v>
      </c>
      <c r="N30" s="4">
        <v>3.9370099999999999</v>
      </c>
    </row>
  </sheetData>
  <mergeCells count="6">
    <mergeCell ref="M1:P1"/>
    <mergeCell ref="D2:E2"/>
    <mergeCell ref="G2:H2"/>
    <mergeCell ref="A19:B19"/>
    <mergeCell ref="D1:E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circuit froid</vt:lpstr>
      <vt:lpstr>circuit eau usée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Rainhus</dc:creator>
  <cp:lastModifiedBy>Florian Rainhus</cp:lastModifiedBy>
  <dcterms:created xsi:type="dcterms:W3CDTF">2020-12-03T10:43:00Z</dcterms:created>
  <dcterms:modified xsi:type="dcterms:W3CDTF">2020-12-03T10:43:00Z</dcterms:modified>
</cp:coreProperties>
</file>