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emmag\OneDrive\Documents\"/>
    </mc:Choice>
  </mc:AlternateContent>
  <xr:revisionPtr revIDLastSave="0" documentId="8_{C93F9A60-2733-42F2-B461-147CEE9BE6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ircuit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22" i="1"/>
  <c r="O23" i="1"/>
  <c r="G46" i="1" l="1"/>
  <c r="G90" i="1"/>
  <c r="G70" i="1"/>
  <c r="G65" i="1"/>
  <c r="G60" i="1"/>
  <c r="G51" i="1"/>
  <c r="G31" i="1"/>
  <c r="G41" i="1"/>
  <c r="G36" i="1"/>
  <c r="G26" i="1"/>
  <c r="G21" i="1"/>
  <c r="G16" i="1"/>
  <c r="G85" i="1"/>
  <c r="G80" i="1"/>
  <c r="G75" i="1"/>
  <c r="G2" i="1" l="1"/>
  <c r="G9" i="1" s="1"/>
  <c r="G5" i="1" s="1"/>
  <c r="B9" i="1" l="1"/>
  <c r="B6" i="1"/>
  <c r="B7" i="1" s="1"/>
  <c r="G8" i="1" s="1"/>
  <c r="G7" i="1" s="1"/>
  <c r="G4" i="1" s="1"/>
  <c r="B8" i="1"/>
  <c r="B19" i="1" l="1"/>
  <c r="G3" i="1"/>
  <c r="G25" i="1"/>
  <c r="G79" i="1"/>
  <c r="G35" i="1"/>
  <c r="G74" i="1"/>
  <c r="G30" i="1"/>
  <c r="G64" i="1"/>
  <c r="G50" i="1"/>
  <c r="G59" i="1"/>
  <c r="G20" i="1"/>
  <c r="G15" i="1"/>
  <c r="G69" i="1"/>
  <c r="G84" i="1"/>
  <c r="G89" i="1"/>
  <c r="G40" i="1"/>
  <c r="G45" i="1"/>
  <c r="G6" i="1" l="1"/>
</calcChain>
</file>

<file path=xl/sharedStrings.xml><?xml version="1.0" encoding="utf-8"?>
<sst xmlns="http://schemas.openxmlformats.org/spreadsheetml/2006/main" count="134" uniqueCount="74">
  <si>
    <t>m</t>
  </si>
  <si>
    <t>en U</t>
  </si>
  <si>
    <t xml:space="preserve">Débit Q </t>
  </si>
  <si>
    <t>L/s</t>
  </si>
  <si>
    <t>Vitesse Moyenne U</t>
  </si>
  <si>
    <t>m/s</t>
  </si>
  <si>
    <t>Pa</t>
  </si>
  <si>
    <t>Masse volumique EAU p(eau)</t>
  </si>
  <si>
    <t>kg/m^3</t>
  </si>
  <si>
    <t>m^3/s</t>
  </si>
  <si>
    <r>
      <t xml:space="preserve">Coefficient de Viscosité </t>
    </r>
    <r>
      <rPr>
        <sz val="11"/>
        <color theme="1"/>
        <rFont val="Calibri"/>
        <family val="2"/>
      </rPr>
      <t>µ(eau)</t>
    </r>
  </si>
  <si>
    <t>Pa.s</t>
  </si>
  <si>
    <t xml:space="preserve">Nbr de Reynolds Re </t>
  </si>
  <si>
    <t>Nbr de Darcy λ (laminaire)</t>
  </si>
  <si>
    <t>Nbr de Darcy λ (rugueux)</t>
  </si>
  <si>
    <t>Longueur Tube</t>
  </si>
  <si>
    <t>Rayon de courbure R0</t>
  </si>
  <si>
    <t>Angle du coude en U        α</t>
  </si>
  <si>
    <t>°</t>
  </si>
  <si>
    <t>Re</t>
  </si>
  <si>
    <t xml:space="preserve">Rayon du coude U            </t>
  </si>
  <si>
    <t xml:space="preserve">Diamètre du réseau </t>
  </si>
  <si>
    <t>Diamètre du tuyau de la PAC</t>
  </si>
  <si>
    <t>Diamètre du tuyau de la pompe</t>
  </si>
  <si>
    <t>Coeff. de concentration pour des evasements brusques pour la PAC ζ</t>
  </si>
  <si>
    <t>Coeff. de concentration pour des evasements brusques pour la pompeζ</t>
  </si>
  <si>
    <t>Diamètre du tuyau de l'échangeur</t>
  </si>
  <si>
    <t>Diamètre du tuyau de la pompe au circuit de broyage</t>
  </si>
  <si>
    <t xml:space="preserve">Diamètre du tuyau au broyeur </t>
  </si>
  <si>
    <t>Diamètre du tuyau au collecteur des eaux usées</t>
  </si>
  <si>
    <t>Coeff. de concentration pour des evasements brusques pour l'échangeur ζ</t>
  </si>
  <si>
    <t>Coeff. de concentration pour des evasements brusques pour la pompe circuit de broyage ζ</t>
  </si>
  <si>
    <t>Coeff. de concentration pour des evasements brusques pour diamètre du tuyeau au broyeur  ζ</t>
  </si>
  <si>
    <t>Coeff. de concentration pour des evasements brusques pour le collecteur des eaux usées ζ</t>
  </si>
  <si>
    <t>Coeff. de concentration pour les coudes en U ζ</t>
  </si>
  <si>
    <t xml:space="preserve">Delta P reg du circuit </t>
  </si>
  <si>
    <t xml:space="preserve">Pertes de Charges Totales </t>
  </si>
  <si>
    <t>PERTE DE CHARGE PAR ELEMENT</t>
  </si>
  <si>
    <t>Perte de charge de la PAC</t>
  </si>
  <si>
    <t>Perte de charge de la pompe</t>
  </si>
  <si>
    <t>Perte de charge de l'échangeur</t>
  </si>
  <si>
    <t>Perte de charge de la pompe a circuit de broyage</t>
  </si>
  <si>
    <t>Perte de charge du broyeur</t>
  </si>
  <si>
    <t>Perte de charge du collecteur des eaux usées</t>
  </si>
  <si>
    <t>PERTE DE CHARGE PAR CHANGEMENT DE DIAMETRE DANS LE CIRCUIT EN SORTIE D'ELEMENT</t>
  </si>
  <si>
    <t>PERTE DE CHARGE PAR CHANGEMENT DE DIAMETRE DANS LE CIRCUIT EN ENTREE D'ELEMENT</t>
  </si>
  <si>
    <t>Delta P sing pour agrandissement de la PAC au circuit</t>
  </si>
  <si>
    <t>Delta P sing pour reduction de la pompe au circuit</t>
  </si>
  <si>
    <t>Delta P sing pour reduction de l'échangeur au circuit</t>
  </si>
  <si>
    <t>Delta P sing pour reduction de la pompe de circuit de broyage au circuit</t>
  </si>
  <si>
    <t>Delta P sing pour reduction du broyeur au circuit</t>
  </si>
  <si>
    <t>Delta P sing pour reduction du collecteur des eaux usées au circuit</t>
  </si>
  <si>
    <t>Delta P sing pour reduction du circuit a l'échangeur</t>
  </si>
  <si>
    <t>Delta P sing pour reduction du circuit a la pompe</t>
  </si>
  <si>
    <t xml:space="preserve">Delta P sing pour reduction du circuit a l'échangeur </t>
  </si>
  <si>
    <t>Delta P sing pour reduction du circuit a l'échangeur a la pompe de circuit de broyage</t>
  </si>
  <si>
    <t>Delta P sing pour reduction du circuit  au broyeur</t>
  </si>
  <si>
    <t>Delta P sing pour reduction du circuit au collecteur des eaux usées</t>
  </si>
  <si>
    <t xml:space="preserve">Delta P sing pour reduction du circuit  à l'échangeur </t>
  </si>
  <si>
    <t>Diamètre du tuyau a l'échangeur</t>
  </si>
  <si>
    <t>Diamètre du tuyau au broyeur</t>
  </si>
  <si>
    <t>Diamètre du tuyau à la pompe de circuit de broyage</t>
  </si>
  <si>
    <t>Diamètre du tuyau à la pompe</t>
  </si>
  <si>
    <t>Diamètre du tuyau à l'échangeur</t>
  </si>
  <si>
    <t xml:space="preserve">Delta P sing pour un coude en U  </t>
  </si>
  <si>
    <t>Nbr Coudes dans le circuit froid</t>
  </si>
  <si>
    <t xml:space="preserve">Diamètre du tuyau du circuit </t>
  </si>
  <si>
    <t>Coefficient de perte de charge de vanne a opercule</t>
  </si>
  <si>
    <t>Nbr Coudes dans le circuit eau usées</t>
  </si>
  <si>
    <t>Perte de charge circuit eau usées Echangeur/Broyeur</t>
  </si>
  <si>
    <t>Perte de charge circuit froid Echangeur/PAC</t>
  </si>
  <si>
    <t>Perte de charge d'une vanne à opercule</t>
  </si>
  <si>
    <t>PERTE DE CHARGE DES VANNES A OPERCULE</t>
  </si>
  <si>
    <t>Nbr Vannes à opercule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</si>
</sst>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0" xfId="0" applyFill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0" fontId="2" fillId="5" borderId="0" xfId="0" applyFont="1" applyFill="1" applyBorder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581026</xdr:colOff>
      <xdr:row>0</xdr:row>
      <xdr:rowOff>33617</xdr:rowOff>
    </xdr:from>
    <xdr:to>
      <xdr:col>16</xdr:col>
      <xdr:colOff>192741</xdr:colOff>
      <xdr:row>14</xdr:row>
      <xdr:rowOff>6723</xdr:rowOff>
    </xdr:to>
    <xdr:pic>
      <xdr:nvPicPr>
        <xdr:cNvPr id="3" name="Image 2" descr="https://media.discordapp.net/attachments/783292466009997324/783687722685431808/unknown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6085" y="33617"/>
          <a:ext cx="6870886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topLeftCell="A4" zoomScale="75" zoomScaleNormal="85" workbookViewId="0">
      <selection activeCell="E17" sqref="E17"/>
    </sheetView>
  </sheetViews>
  <sheetFormatPr baseColWidth="10" defaultColWidth="8.85546875" defaultRowHeight="15" x14ac:dyDescent="0.25"/>
  <cols>
    <col min="1" max="1" width="47.140625" customWidth="1"/>
    <col min="2" max="2" width="12" bestFit="1" customWidth="1"/>
    <col min="6" max="6" width="83.5703125" customWidth="1"/>
    <col min="7" max="7" width="12" bestFit="1" customWidth="1"/>
    <col min="14" max="14" width="45.7109375" customWidth="1"/>
    <col min="15" max="15" width="9.5703125" bestFit="1" customWidth="1"/>
  </cols>
  <sheetData>
    <row r="1" spans="1:8" x14ac:dyDescent="0.25">
      <c r="A1" s="1" t="s">
        <v>68</v>
      </c>
      <c r="B1" s="2">
        <v>3</v>
      </c>
      <c r="C1" s="2" t="s">
        <v>1</v>
      </c>
      <c r="F1" s="6" t="s">
        <v>66</v>
      </c>
      <c r="G1" s="2">
        <v>0.1</v>
      </c>
      <c r="H1" s="2" t="s">
        <v>0</v>
      </c>
    </row>
    <row r="2" spans="1:8" x14ac:dyDescent="0.25">
      <c r="A2" s="1" t="s">
        <v>65</v>
      </c>
      <c r="B2" s="2">
        <v>6</v>
      </c>
      <c r="C2" s="2" t="s">
        <v>1</v>
      </c>
      <c r="F2" s="6" t="s">
        <v>20</v>
      </c>
      <c r="G2" s="2">
        <f>20*G1</f>
        <v>2</v>
      </c>
      <c r="H2" s="2" t="s">
        <v>0</v>
      </c>
    </row>
    <row r="3" spans="1:8" x14ac:dyDescent="0.25">
      <c r="A3" s="1" t="s">
        <v>15</v>
      </c>
      <c r="B3" s="2">
        <v>8</v>
      </c>
      <c r="C3" s="2" t="s">
        <v>0</v>
      </c>
      <c r="F3" s="6" t="s">
        <v>64</v>
      </c>
      <c r="G3" s="2">
        <f>(G5*B8*(B7^2))/2</f>
        <v>758.69357223087331</v>
      </c>
      <c r="H3" s="2" t="s">
        <v>6</v>
      </c>
    </row>
    <row r="4" spans="1:8" x14ac:dyDescent="0.25">
      <c r="A4" s="1" t="s">
        <v>73</v>
      </c>
      <c r="B4" s="2">
        <v>2</v>
      </c>
      <c r="C4" s="5"/>
      <c r="F4" s="6" t="s">
        <v>35</v>
      </c>
      <c r="G4" s="2">
        <f>(G7*B3*B8*B7^2)/(2*G1)</f>
        <v>444.27703204128323</v>
      </c>
      <c r="H4" s="2" t="s">
        <v>6</v>
      </c>
    </row>
    <row r="5" spans="1:8" x14ac:dyDescent="0.25">
      <c r="A5" s="1" t="s">
        <v>2</v>
      </c>
      <c r="B5" s="2">
        <v>6</v>
      </c>
      <c r="C5" s="2" t="s">
        <v>3</v>
      </c>
      <c r="F5" s="6" t="s">
        <v>34</v>
      </c>
      <c r="G5" s="2">
        <f>(1.3+1.85*(G1/(2*G9))^(7/2))*(B10/90)</f>
        <v>2.6000018817944563</v>
      </c>
      <c r="H5" s="5"/>
    </row>
    <row r="6" spans="1:8" x14ac:dyDescent="0.25">
      <c r="A6" s="4"/>
      <c r="B6" s="2">
        <f>B5*(10^-3)</f>
        <v>6.0000000000000001E-3</v>
      </c>
      <c r="C6" s="3" t="s">
        <v>9</v>
      </c>
      <c r="F6" s="6" t="s">
        <v>13</v>
      </c>
      <c r="G6" s="2">
        <f>64/G8</f>
        <v>8.3775804095727834E-4</v>
      </c>
      <c r="H6" s="5"/>
    </row>
    <row r="7" spans="1:8" x14ac:dyDescent="0.25">
      <c r="A7" s="1" t="s">
        <v>4</v>
      </c>
      <c r="B7" s="2">
        <f>(4*B6)/((PI())*(G1^2))</f>
        <v>0.76394372684109757</v>
      </c>
      <c r="C7" s="2" t="s">
        <v>5</v>
      </c>
      <c r="F7" s="6" t="s">
        <v>14</v>
      </c>
      <c r="G7" s="2">
        <f>G8^-0.25*0.3164</f>
        <v>1.9031417320909582E-2</v>
      </c>
    </row>
    <row r="8" spans="1:8" x14ac:dyDescent="0.25">
      <c r="A8" s="1" t="s">
        <v>7</v>
      </c>
      <c r="B8" s="2">
        <f>10^3</f>
        <v>1000</v>
      </c>
      <c r="C8" s="2" t="s">
        <v>8</v>
      </c>
      <c r="F8" s="6" t="s">
        <v>12</v>
      </c>
      <c r="G8" s="2">
        <f>(B7*G1*B8)/(B9)</f>
        <v>76394.372684109752</v>
      </c>
      <c r="H8" s="2" t="s">
        <v>19</v>
      </c>
    </row>
    <row r="9" spans="1:8" x14ac:dyDescent="0.25">
      <c r="A9" s="1" t="s">
        <v>10</v>
      </c>
      <c r="B9" s="2">
        <f>10^-3</f>
        <v>1E-3</v>
      </c>
      <c r="C9" s="3" t="s">
        <v>11</v>
      </c>
      <c r="F9" s="6" t="s">
        <v>16</v>
      </c>
      <c r="G9" s="2">
        <f>(PI()*G2*B10)/360</f>
        <v>3.1415926535897931</v>
      </c>
    </row>
    <row r="10" spans="1:8" x14ac:dyDescent="0.25">
      <c r="A10" s="1" t="s">
        <v>17</v>
      </c>
      <c r="B10" s="2">
        <v>180</v>
      </c>
      <c r="C10" s="3" t="s">
        <v>18</v>
      </c>
    </row>
    <row r="11" spans="1:8" x14ac:dyDescent="0.25">
      <c r="A11" s="1" t="s">
        <v>21</v>
      </c>
      <c r="B11" s="2">
        <v>0.1</v>
      </c>
      <c r="C11" s="3" t="s">
        <v>0</v>
      </c>
    </row>
    <row r="12" spans="1:8" x14ac:dyDescent="0.25">
      <c r="A12" s="1" t="s">
        <v>67</v>
      </c>
      <c r="B12" s="2">
        <v>0.14000000000000001</v>
      </c>
      <c r="C12" s="2"/>
      <c r="F12" s="8" t="s">
        <v>44</v>
      </c>
    </row>
    <row r="13" spans="1:8" x14ac:dyDescent="0.25">
      <c r="A13" s="5"/>
      <c r="B13" s="5"/>
      <c r="C13" s="5"/>
    </row>
    <row r="14" spans="1:8" x14ac:dyDescent="0.25">
      <c r="F14" s="6" t="s">
        <v>22</v>
      </c>
      <c r="G14" s="2">
        <v>0.05</v>
      </c>
      <c r="H14" s="2" t="s">
        <v>0</v>
      </c>
    </row>
    <row r="15" spans="1:8" x14ac:dyDescent="0.25">
      <c r="F15" s="6" t="s">
        <v>46</v>
      </c>
      <c r="G15" s="2">
        <f>(G16*B7^2*B8)/2</f>
        <v>72.951252222483191</v>
      </c>
      <c r="H15" s="2" t="s">
        <v>6</v>
      </c>
    </row>
    <row r="16" spans="1:8" x14ac:dyDescent="0.25">
      <c r="F16" s="6" t="s">
        <v>24</v>
      </c>
      <c r="G16" s="2">
        <f>(1-((G14)/(B11)))^2</f>
        <v>0.25</v>
      </c>
    </row>
    <row r="17" spans="1:16" x14ac:dyDescent="0.25">
      <c r="N17" s="6" t="s">
        <v>36</v>
      </c>
      <c r="O17" s="2">
        <f>O22+G4+O23</f>
        <v>157959.98425291246</v>
      </c>
      <c r="P17" s="2" t="s">
        <v>6</v>
      </c>
    </row>
    <row r="18" spans="1:16" x14ac:dyDescent="0.25">
      <c r="A18" s="9" t="s">
        <v>72</v>
      </c>
    </row>
    <row r="19" spans="1:16" x14ac:dyDescent="0.25">
      <c r="A19" s="10" t="s">
        <v>71</v>
      </c>
      <c r="B19" s="2">
        <f>B12*B8*(B7^2/2)</f>
        <v>40.852701244590591</v>
      </c>
      <c r="C19" s="3" t="s">
        <v>6</v>
      </c>
      <c r="F19" s="6" t="s">
        <v>22</v>
      </c>
      <c r="G19" s="2">
        <v>0.05</v>
      </c>
      <c r="H19" s="2" t="s">
        <v>0</v>
      </c>
    </row>
    <row r="20" spans="1:16" x14ac:dyDescent="0.25">
      <c r="F20" s="6" t="s">
        <v>46</v>
      </c>
      <c r="G20" s="2">
        <f>(G21*B7^2*B8)/2</f>
        <v>72.951252222483191</v>
      </c>
      <c r="H20" s="2" t="s">
        <v>6</v>
      </c>
    </row>
    <row r="21" spans="1:16" x14ac:dyDescent="0.25">
      <c r="F21" s="6" t="s">
        <v>24</v>
      </c>
      <c r="G21" s="2">
        <f>(1-((G19)/(B11)))^2</f>
        <v>0.25</v>
      </c>
    </row>
    <row r="22" spans="1:16" x14ac:dyDescent="0.25">
      <c r="N22" s="12" t="s">
        <v>69</v>
      </c>
      <c r="O22" s="2">
        <f>(B2*G3)+G40+G59+(B4*B19)+B31+G45+G50+G35+G79+G84+G89+G74</f>
        <v>54962.695901143292</v>
      </c>
      <c r="P22" s="2" t="s">
        <v>6</v>
      </c>
    </row>
    <row r="23" spans="1:16" x14ac:dyDescent="0.25">
      <c r="N23" s="12" t="s">
        <v>70</v>
      </c>
      <c r="O23" s="2">
        <f>G20+G25+G30+G35+G45+G50+G64+G69+(B4*B19)+(B1*G3)+B31+B29</f>
        <v>102553.0113197279</v>
      </c>
      <c r="P23" s="2" t="s">
        <v>6</v>
      </c>
    </row>
    <row r="24" spans="1:16" x14ac:dyDescent="0.25">
      <c r="F24" s="6" t="s">
        <v>23</v>
      </c>
      <c r="G24" s="7">
        <v>6.5000000000000002E-2</v>
      </c>
      <c r="H24" s="2" t="s">
        <v>0</v>
      </c>
      <c r="O24" s="5"/>
      <c r="P24" s="5"/>
    </row>
    <row r="25" spans="1:16" x14ac:dyDescent="0.25">
      <c r="F25" s="6" t="s">
        <v>47</v>
      </c>
      <c r="G25" s="2">
        <f>(G26*B7^2*B8)/2</f>
        <v>35.746113589016765</v>
      </c>
      <c r="H25" s="2" t="s">
        <v>6</v>
      </c>
    </row>
    <row r="26" spans="1:16" x14ac:dyDescent="0.25">
      <c r="F26" s="6" t="s">
        <v>25</v>
      </c>
      <c r="G26" s="2">
        <f>(1-((G24)/(B11)))^2</f>
        <v>0.12249999999999998</v>
      </c>
    </row>
    <row r="28" spans="1:16" x14ac:dyDescent="0.25">
      <c r="A28" s="9" t="s">
        <v>37</v>
      </c>
    </row>
    <row r="29" spans="1:16" x14ac:dyDescent="0.25">
      <c r="A29" s="11" t="s">
        <v>38</v>
      </c>
      <c r="B29" s="2">
        <v>50000</v>
      </c>
      <c r="C29" s="3" t="s">
        <v>6</v>
      </c>
      <c r="F29" s="6" t="s">
        <v>26</v>
      </c>
      <c r="G29" s="2">
        <v>6.5000000000000002E-2</v>
      </c>
      <c r="H29" s="2" t="s">
        <v>0</v>
      </c>
    </row>
    <row r="30" spans="1:16" x14ac:dyDescent="0.25">
      <c r="A30" s="11" t="s">
        <v>39</v>
      </c>
      <c r="B30" s="7">
        <v>0</v>
      </c>
      <c r="C30" s="3" t="s">
        <v>6</v>
      </c>
      <c r="F30" s="6" t="s">
        <v>48</v>
      </c>
      <c r="G30" s="2">
        <f>(G31*B7^2*B8)/2</f>
        <v>35.746113589016765</v>
      </c>
      <c r="H30" s="2" t="s">
        <v>6</v>
      </c>
    </row>
    <row r="31" spans="1:16" x14ac:dyDescent="0.25">
      <c r="A31" s="11" t="s">
        <v>40</v>
      </c>
      <c r="B31" s="7">
        <v>50000</v>
      </c>
      <c r="C31" s="3" t="s">
        <v>6</v>
      </c>
      <c r="F31" s="6" t="s">
        <v>30</v>
      </c>
      <c r="G31" s="2">
        <f>(1-((G29)/(B11)))^2</f>
        <v>0.12249999999999998</v>
      </c>
    </row>
    <row r="32" spans="1:16" x14ac:dyDescent="0.25">
      <c r="A32" s="11" t="s">
        <v>41</v>
      </c>
      <c r="B32" s="7">
        <v>0</v>
      </c>
      <c r="C32" s="3" t="s">
        <v>6</v>
      </c>
    </row>
    <row r="33" spans="1:8" x14ac:dyDescent="0.25">
      <c r="A33" s="11" t="s">
        <v>42</v>
      </c>
      <c r="B33" s="7">
        <v>0</v>
      </c>
      <c r="C33" s="3" t="s">
        <v>6</v>
      </c>
    </row>
    <row r="34" spans="1:8" x14ac:dyDescent="0.25">
      <c r="A34" s="11" t="s">
        <v>43</v>
      </c>
      <c r="B34" s="7">
        <v>0</v>
      </c>
      <c r="C34" s="3" t="s">
        <v>6</v>
      </c>
      <c r="F34" s="6" t="s">
        <v>27</v>
      </c>
      <c r="G34" s="2">
        <v>6.5000000000000002E-2</v>
      </c>
      <c r="H34" s="2" t="s">
        <v>0</v>
      </c>
    </row>
    <row r="35" spans="1:8" x14ac:dyDescent="0.25">
      <c r="F35" s="6" t="s">
        <v>49</v>
      </c>
      <c r="G35" s="2">
        <f>(G36*B7^2*B8)/2</f>
        <v>35.746113589016765</v>
      </c>
      <c r="H35" s="2" t="s">
        <v>6</v>
      </c>
    </row>
    <row r="36" spans="1:8" x14ac:dyDescent="0.25">
      <c r="F36" s="6" t="s">
        <v>31</v>
      </c>
      <c r="G36" s="2">
        <f>(1-((G34)/(B11)))^2</f>
        <v>0.12249999999999998</v>
      </c>
    </row>
    <row r="39" spans="1:8" x14ac:dyDescent="0.25">
      <c r="F39" s="6" t="s">
        <v>28</v>
      </c>
      <c r="G39" s="2">
        <v>1.2999999999999999E-2</v>
      </c>
      <c r="H39" s="2" t="s">
        <v>0</v>
      </c>
    </row>
    <row r="40" spans="1:8" x14ac:dyDescent="0.25">
      <c r="F40" s="6" t="s">
        <v>50</v>
      </c>
      <c r="G40" s="2">
        <f>(G41*B7^2*B8)/2</f>
        <v>220.8672112287901</v>
      </c>
      <c r="H40" s="2" t="s">
        <v>6</v>
      </c>
    </row>
    <row r="41" spans="1:8" x14ac:dyDescent="0.25">
      <c r="F41" s="6" t="s">
        <v>32</v>
      </c>
      <c r="G41" s="2">
        <f>(1-((G39)/(B11)))^2</f>
        <v>0.75690000000000002</v>
      </c>
    </row>
    <row r="44" spans="1:8" x14ac:dyDescent="0.25">
      <c r="F44" s="6" t="s">
        <v>29</v>
      </c>
      <c r="G44" s="2">
        <v>0.1</v>
      </c>
      <c r="H44" s="2" t="s">
        <v>0</v>
      </c>
    </row>
    <row r="45" spans="1:8" x14ac:dyDescent="0.25">
      <c r="F45" s="6" t="s">
        <v>50</v>
      </c>
      <c r="G45" s="2">
        <f>(G46*B7^2*B8)/2</f>
        <v>0</v>
      </c>
      <c r="H45" s="2" t="s">
        <v>6</v>
      </c>
    </row>
    <row r="46" spans="1:8" x14ac:dyDescent="0.25">
      <c r="F46" s="6" t="s">
        <v>33</v>
      </c>
      <c r="G46" s="2">
        <f>(1-((G44)/(B11)))^2</f>
        <v>0</v>
      </c>
    </row>
    <row r="49" spans="6:8" x14ac:dyDescent="0.25">
      <c r="F49" s="6" t="s">
        <v>29</v>
      </c>
      <c r="G49" s="2">
        <v>0.1</v>
      </c>
      <c r="H49" s="2" t="s">
        <v>0</v>
      </c>
    </row>
    <row r="50" spans="6:8" x14ac:dyDescent="0.25">
      <c r="F50" s="6" t="s">
        <v>51</v>
      </c>
      <c r="G50" s="2">
        <f>(G51*B7^2*B8)/2</f>
        <v>0</v>
      </c>
      <c r="H50" s="2" t="s">
        <v>6</v>
      </c>
    </row>
    <row r="51" spans="6:8" x14ac:dyDescent="0.25">
      <c r="F51" s="6" t="s">
        <v>33</v>
      </c>
      <c r="G51" s="2">
        <f>(1-((G49)/(B11)))^2</f>
        <v>0</v>
      </c>
    </row>
    <row r="55" spans="6:8" x14ac:dyDescent="0.25">
      <c r="F55" s="9" t="s">
        <v>45</v>
      </c>
    </row>
    <row r="58" spans="6:8" x14ac:dyDescent="0.25">
      <c r="F58" s="6" t="s">
        <v>63</v>
      </c>
      <c r="G58" s="2">
        <v>0.1</v>
      </c>
      <c r="H58" s="2" t="s">
        <v>0</v>
      </c>
    </row>
    <row r="59" spans="6:8" x14ac:dyDescent="0.25">
      <c r="F59" s="6" t="s">
        <v>52</v>
      </c>
      <c r="G59" s="2">
        <f>(G60*B7^2*B8)/2</f>
        <v>0</v>
      </c>
      <c r="H59" s="2" t="s">
        <v>6</v>
      </c>
    </row>
    <row r="60" spans="6:8" x14ac:dyDescent="0.25">
      <c r="F60" s="6" t="s">
        <v>24</v>
      </c>
      <c r="G60" s="2">
        <f>((1/(0.63+(0.37*((G58)/B11))))-1)^2</f>
        <v>0</v>
      </c>
    </row>
    <row r="63" spans="6:8" x14ac:dyDescent="0.25">
      <c r="F63" s="6" t="s">
        <v>62</v>
      </c>
      <c r="G63" s="2">
        <v>0.05</v>
      </c>
      <c r="H63" s="2" t="s">
        <v>0</v>
      </c>
    </row>
    <row r="64" spans="6:8" x14ac:dyDescent="0.25">
      <c r="F64" s="6" t="s">
        <v>53</v>
      </c>
      <c r="G64" s="2">
        <f>(G65*B7^2*B8)/2</f>
        <v>15.035607556562837</v>
      </c>
      <c r="H64" s="2" t="s">
        <v>6</v>
      </c>
    </row>
    <row r="65" spans="6:8" x14ac:dyDescent="0.25">
      <c r="F65" s="6" t="s">
        <v>24</v>
      </c>
      <c r="G65" s="2">
        <f>((1/(0.63+(0.37*((G63)/B11))))-1)^2</f>
        <v>5.1526214761564236E-2</v>
      </c>
    </row>
    <row r="68" spans="6:8" x14ac:dyDescent="0.25">
      <c r="F68" s="6" t="s">
        <v>26</v>
      </c>
      <c r="G68" s="7">
        <v>0.1</v>
      </c>
      <c r="H68" s="2" t="s">
        <v>0</v>
      </c>
    </row>
    <row r="69" spans="6:8" x14ac:dyDescent="0.25">
      <c r="F69" s="6" t="s">
        <v>54</v>
      </c>
      <c r="G69" s="2">
        <f>(G70*B7^2*B8)/2</f>
        <v>0</v>
      </c>
      <c r="H69" s="2" t="s">
        <v>6</v>
      </c>
    </row>
    <row r="70" spans="6:8" x14ac:dyDescent="0.25">
      <c r="F70" s="6" t="s">
        <v>25</v>
      </c>
      <c r="G70" s="2">
        <f>((1/(0.63+(0.37*((G68)/B11))))-1)^2</f>
        <v>0</v>
      </c>
    </row>
    <row r="73" spans="6:8" x14ac:dyDescent="0.25">
      <c r="F73" s="6" t="s">
        <v>61</v>
      </c>
      <c r="G73" s="2">
        <v>6.5000000000000002E-2</v>
      </c>
      <c r="H73" s="2" t="s">
        <v>0</v>
      </c>
    </row>
    <row r="74" spans="6:8" x14ac:dyDescent="0.25">
      <c r="F74" s="6" t="s">
        <v>55</v>
      </c>
      <c r="G74" s="2">
        <f>(G75*B7^2*B8)/2</f>
        <v>6.4579507447493381</v>
      </c>
      <c r="H74" s="2" t="s">
        <v>6</v>
      </c>
    </row>
    <row r="75" spans="6:8" x14ac:dyDescent="0.25">
      <c r="F75" s="6" t="s">
        <v>30</v>
      </c>
      <c r="G75" s="2">
        <f>((1/(0.63+(0.37*((G73)/B11))))-1)^2</f>
        <v>2.2131048295970963E-2</v>
      </c>
    </row>
    <row r="78" spans="6:8" x14ac:dyDescent="0.25">
      <c r="F78" s="6" t="s">
        <v>60</v>
      </c>
      <c r="G78" s="2">
        <v>1.2999999999999999E-2</v>
      </c>
      <c r="H78" s="2" t="s">
        <v>0</v>
      </c>
    </row>
    <row r="79" spans="6:8" x14ac:dyDescent="0.25">
      <c r="F79" s="6" t="s">
        <v>56</v>
      </c>
      <c r="G79" s="2">
        <f>(G80*B7^2*B8)/2</f>
        <v>65.757789706318448</v>
      </c>
      <c r="H79" s="2" t="s">
        <v>6</v>
      </c>
    </row>
    <row r="80" spans="6:8" x14ac:dyDescent="0.25">
      <c r="F80" s="6" t="s">
        <v>31</v>
      </c>
      <c r="G80" s="2">
        <f>((1/(0.63+(0.37*((G78)/B11))))-1)^2</f>
        <v>0.22534839260117678</v>
      </c>
    </row>
    <row r="83" spans="6:8" x14ac:dyDescent="0.25">
      <c r="F83" s="6" t="s">
        <v>29</v>
      </c>
      <c r="G83" s="2">
        <v>0.1</v>
      </c>
      <c r="H83" s="2" t="s">
        <v>0</v>
      </c>
    </row>
    <row r="84" spans="6:8" x14ac:dyDescent="0.25">
      <c r="F84" s="6" t="s">
        <v>57</v>
      </c>
      <c r="G84" s="2">
        <f>(G85*B7^2*B8)/2</f>
        <v>0</v>
      </c>
      <c r="H84" s="2" t="s">
        <v>6</v>
      </c>
    </row>
    <row r="85" spans="6:8" x14ac:dyDescent="0.25">
      <c r="F85" s="6" t="s">
        <v>33</v>
      </c>
      <c r="G85" s="2">
        <f>((1/(0.63+(0.37*((G83)/B11))))-1)^2</f>
        <v>0</v>
      </c>
    </row>
    <row r="88" spans="6:8" x14ac:dyDescent="0.25">
      <c r="F88" s="6" t="s">
        <v>59</v>
      </c>
      <c r="G88" s="2">
        <v>0.1</v>
      </c>
      <c r="H88" s="2" t="s">
        <v>0</v>
      </c>
    </row>
    <row r="89" spans="6:8" x14ac:dyDescent="0.25">
      <c r="F89" s="6" t="s">
        <v>58</v>
      </c>
      <c r="G89" s="2">
        <f>(G90*B7^2*B8)/2</f>
        <v>0</v>
      </c>
      <c r="H89" s="2" t="s">
        <v>6</v>
      </c>
    </row>
    <row r="90" spans="6:8" x14ac:dyDescent="0.25">
      <c r="F90" s="6" t="s">
        <v>33</v>
      </c>
      <c r="G90" s="2">
        <f>((1/(0.63+(0.37*((G88)/B11))))-1)^2</f>
        <v>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Circuit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Emma Gorrias</cp:lastModifiedBy>
  <dcterms:created xsi:type="dcterms:W3CDTF">2015-06-05T18:17:20Z</dcterms:created>
  <dcterms:modified xsi:type="dcterms:W3CDTF">2020-12-03T12:59:59Z</dcterms:modified>
</cp:coreProperties>
</file>