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emmag\Downloads\"/>
    </mc:Choice>
  </mc:AlternateContent>
  <xr:revisionPtr revIDLastSave="0" documentId="8_{7246A9BB-A565-4492-818F-665083581D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.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30" i="2" l="1"/>
  <c r="B13" i="2" s="1"/>
  <c r="B9" i="2"/>
  <c r="B42" i="2" l="1"/>
  <c r="C42" i="2" s="1"/>
  <c r="B40" i="2"/>
  <c r="C40" i="2" s="1"/>
  <c r="B41" i="2"/>
  <c r="C41" i="2" s="1"/>
  <c r="B35" i="2"/>
  <c r="C35" i="2" s="1"/>
  <c r="E35" i="2" s="1"/>
  <c r="B37" i="2"/>
  <c r="C37" i="2" s="1"/>
  <c r="B38" i="2"/>
  <c r="C38" i="2" s="1"/>
  <c r="B39" i="2"/>
  <c r="C39" i="2" s="1"/>
  <c r="B36" i="2"/>
  <c r="C36" i="2" s="1"/>
  <c r="D30" i="2"/>
  <c r="H61" i="2" s="1"/>
  <c r="C30" i="2" l="1"/>
  <c r="D61" i="2"/>
  <c r="B61" i="2"/>
  <c r="J61" i="2"/>
  <c r="H47" i="2"/>
  <c r="B47" i="2"/>
  <c r="D47" i="2"/>
  <c r="B5" i="2"/>
  <c r="N56" i="2" s="1"/>
  <c r="D35" i="2"/>
  <c r="D40" i="2"/>
  <c r="L61" i="2" l="1"/>
  <c r="B98" i="2" s="1"/>
  <c r="F61" i="2"/>
  <c r="F98" i="2"/>
  <c r="H98" i="2" s="1"/>
  <c r="J98" i="2" s="1"/>
  <c r="F86" i="2"/>
  <c r="H86" i="2" s="1"/>
  <c r="J86" i="2" s="1"/>
  <c r="F47" i="2"/>
  <c r="N61" i="2"/>
  <c r="B67" i="2"/>
  <c r="N63" i="2"/>
  <c r="B72" i="2" l="1"/>
  <c r="B103" i="2" s="1"/>
  <c r="C103" i="2" s="1"/>
  <c r="J69" i="2"/>
  <c r="J71" i="2" s="1"/>
  <c r="B77" i="2"/>
  <c r="B76" i="2"/>
  <c r="B78" i="2"/>
  <c r="B79" i="2"/>
  <c r="B74" i="2"/>
  <c r="B73" i="2"/>
  <c r="B75" i="2"/>
  <c r="E39" i="2" l="1"/>
  <c r="J51" i="2" s="1"/>
  <c r="D39" i="2"/>
  <c r="E42" i="2"/>
  <c r="J54" i="2" s="1"/>
  <c r="L54" i="2" s="1"/>
  <c r="B93" i="2" s="1"/>
  <c r="D42" i="2"/>
  <c r="E36" i="2"/>
  <c r="H48" i="2" s="1"/>
  <c r="D36" i="2"/>
  <c r="E41" i="2"/>
  <c r="J53" i="2" s="1"/>
  <c r="D41" i="2"/>
  <c r="E40" i="2"/>
  <c r="H52" i="2" s="1"/>
  <c r="E37" i="2"/>
  <c r="J49" i="2" s="1"/>
  <c r="L49" i="2" s="1"/>
  <c r="D37" i="2"/>
  <c r="E38" i="2"/>
  <c r="H50" i="2" s="1"/>
  <c r="D38" i="2"/>
  <c r="J47" i="2"/>
  <c r="L47" i="2" s="1"/>
  <c r="L53" i="2" l="1"/>
  <c r="B92" i="2" s="1"/>
  <c r="L51" i="2"/>
  <c r="B90" i="2" s="1"/>
  <c r="B86" i="2"/>
  <c r="N47" i="2"/>
  <c r="H49" i="2"/>
  <c r="B49" i="2"/>
  <c r="H54" i="2"/>
  <c r="J48" i="2"/>
  <c r="L48" i="2" s="1"/>
  <c r="H51" i="2"/>
  <c r="J50" i="2"/>
  <c r="L50" i="2" s="1"/>
  <c r="J52" i="2"/>
  <c r="L52" i="2" s="1"/>
  <c r="H53" i="2"/>
  <c r="D48" i="2"/>
  <c r="F48" i="2" s="1"/>
  <c r="D49" i="2"/>
  <c r="F49" i="2" s="1"/>
  <c r="D53" i="2"/>
  <c r="F53" i="2" s="1"/>
  <c r="D54" i="2"/>
  <c r="D51" i="2"/>
  <c r="F51" i="2" s="1"/>
  <c r="D50" i="2"/>
  <c r="F50" i="2" s="1"/>
  <c r="D52" i="2"/>
  <c r="B48" i="2"/>
  <c r="B53" i="2"/>
  <c r="B52" i="2"/>
  <c r="B54" i="2"/>
  <c r="B51" i="2"/>
  <c r="B50" i="2"/>
  <c r="F91" i="2" l="1"/>
  <c r="H91" i="2" s="1"/>
  <c r="J91" i="2" s="1"/>
  <c r="F52" i="2"/>
  <c r="F54" i="2"/>
  <c r="F93" i="2"/>
  <c r="H93" i="2" s="1"/>
  <c r="B91" i="2"/>
  <c r="B89" i="2"/>
  <c r="B87" i="2"/>
  <c r="B88" i="2"/>
  <c r="B104" i="2"/>
  <c r="F87" i="2"/>
  <c r="H87" i="2" s="1"/>
  <c r="J87" i="2" s="1"/>
  <c r="B107" i="2"/>
  <c r="F90" i="2"/>
  <c r="H90" i="2" s="1"/>
  <c r="J90" i="2" s="1"/>
  <c r="B106" i="2"/>
  <c r="F89" i="2"/>
  <c r="H89" i="2" s="1"/>
  <c r="J89" i="2" s="1"/>
  <c r="B110" i="2"/>
  <c r="C110" i="2" s="1"/>
  <c r="J93" i="2"/>
  <c r="B109" i="2"/>
  <c r="F92" i="2"/>
  <c r="H92" i="2" s="1"/>
  <c r="J92" i="2" s="1"/>
  <c r="B108" i="2"/>
  <c r="B105" i="2"/>
  <c r="F88" i="2"/>
  <c r="H88" i="2" s="1"/>
  <c r="J88" i="2" s="1"/>
  <c r="E103" i="2"/>
  <c r="C108" i="2" l="1"/>
  <c r="E108" i="2" s="1"/>
  <c r="C106" i="2"/>
  <c r="E106" i="2" s="1"/>
  <c r="C104" i="2"/>
  <c r="E104" i="2" s="1"/>
  <c r="C109" i="2"/>
  <c r="E109" i="2" s="1"/>
  <c r="E110" i="2"/>
  <c r="C105" i="2"/>
  <c r="E105" i="2" s="1"/>
  <c r="C107" i="2"/>
  <c r="E107" i="2" s="1"/>
</calcChain>
</file>

<file path=xl/sharedStrings.xml><?xml version="1.0" encoding="utf-8"?>
<sst xmlns="http://schemas.openxmlformats.org/spreadsheetml/2006/main" count="276" uniqueCount="108">
  <si>
    <t>W</t>
  </si>
  <si>
    <t>kW</t>
  </si>
  <si>
    <t>W/m².K</t>
  </si>
  <si>
    <t>°C</t>
  </si>
  <si>
    <t>m/s</t>
  </si>
  <si>
    <t>Dimensionnement d'un échangeur de chaleur, mode d'emploi et calcul (barriquand.com)</t>
  </si>
  <si>
    <t>2S</t>
  </si>
  <si>
    <t>2L</t>
  </si>
  <si>
    <t>4S</t>
  </si>
  <si>
    <t>4L</t>
  </si>
  <si>
    <t>8S</t>
  </si>
  <si>
    <t>8L</t>
  </si>
  <si>
    <t>13S</t>
  </si>
  <si>
    <t>30L</t>
  </si>
  <si>
    <t>Surface d'échange (m²)</t>
  </si>
  <si>
    <t>Dy (mm)</t>
  </si>
  <si>
    <t>H (mm)</t>
  </si>
  <si>
    <t>Spacing (mm)</t>
  </si>
  <si>
    <t>ET - Chapitres 1-4 (sft.asso.fr)</t>
  </si>
  <si>
    <t>△TLM</t>
  </si>
  <si>
    <t>TempFroid Entrée (Te2)</t>
  </si>
  <si>
    <t>KW/°C/m2</t>
  </si>
  <si>
    <t>Model</t>
  </si>
  <si>
    <t>%</t>
  </si>
  <si>
    <t>https://www.nouvenergie.fr/e-formation/chauffage-central-1/echangeurs-de-chaleur/</t>
  </si>
  <si>
    <t>http://public.iutenligne.net/genie-civil/confort/courtin/echangeurs-de-chaleur/puissance_et_efficacite/co/Puissance%20et%20efficacite_3.html</t>
  </si>
  <si>
    <t>https://convertlive.com/fr/u/convert/kilocalories-par-heure/a/kilowatts#56700</t>
  </si>
  <si>
    <t>Kcal / h</t>
  </si>
  <si>
    <t>La puissance maximale possible = débit calorifique minimum x écart de températures d'entrée secondaire et primaire</t>
  </si>
  <si>
    <t>kcal / h</t>
  </si>
  <si>
    <t>1  kcal / h = 1,163 W</t>
  </si>
  <si>
    <t xml:space="preserve"> J K−1 kg−1 </t>
  </si>
  <si>
    <t>kg / s</t>
  </si>
  <si>
    <r>
      <t xml:space="preserve">TempFroid Sortie (Ts2 )         </t>
    </r>
    <r>
      <rPr>
        <b/>
        <sz val="11"/>
        <color rgb="FFFF0000"/>
        <rFont val="Calibri"/>
        <family val="2"/>
        <scheme val="minor"/>
      </rPr>
      <t xml:space="preserve">  </t>
    </r>
  </si>
  <si>
    <t xml:space="preserve">Données </t>
  </si>
  <si>
    <t xml:space="preserve"> qv</t>
  </si>
  <si>
    <t xml:space="preserve">Informations sur les différents modèles d'échangeurs </t>
  </si>
  <si>
    <t>Légende :</t>
  </si>
  <si>
    <t>Echangeur retenu</t>
  </si>
  <si>
    <t>Echangeur non retenu</t>
  </si>
  <si>
    <t>m^3/h</t>
  </si>
  <si>
    <t>En m^3/s</t>
  </si>
  <si>
    <t>En L/s</t>
  </si>
  <si>
    <t>En m^3/h</t>
  </si>
  <si>
    <t>En L/h</t>
  </si>
  <si>
    <t>L/h</t>
  </si>
  <si>
    <t>Verification par calcul</t>
  </si>
  <si>
    <t>Différence de Température Logarithmique Moyenne</t>
  </si>
  <si>
    <t>K</t>
  </si>
  <si>
    <t>Ressources :</t>
  </si>
  <si>
    <t>qf</t>
  </si>
  <si>
    <t>Débit calorifique froid minimum de notre système</t>
  </si>
  <si>
    <t>https://media.xpair.com/pdf/formation/cours/questions-calcul_pratique_debits_eau_air_partie_2.pdf</t>
  </si>
  <si>
    <t>Débits volumique des modèles :</t>
  </si>
  <si>
    <t>Condition :</t>
  </si>
  <si>
    <t>Echangeur &gt;= sytème</t>
  </si>
  <si>
    <t>Formule :</t>
  </si>
  <si>
    <t xml:space="preserve"> S = P /  K  x  △TLM</t>
  </si>
  <si>
    <t>Chaleur spécifique de l'eau (Cp)</t>
  </si>
  <si>
    <t>L'efficacité  des  échangeurs (ɛ)</t>
  </si>
  <si>
    <t xml:space="preserve">Puissance thermique des différents modèles d'échangeurs </t>
  </si>
  <si>
    <t>Débit massique froid (qm)</t>
  </si>
  <si>
    <t>W/K</t>
  </si>
  <si>
    <t>m²</t>
  </si>
  <si>
    <t>P = K x S x ∆TLM</t>
  </si>
  <si>
    <t>Echangeur sélectionné</t>
  </si>
  <si>
    <t>Débit calorifique froid = debit massique froid x C</t>
  </si>
  <si>
    <t>Débit massique froid = P / C  x  deltaTfroid</t>
  </si>
  <si>
    <t>kW/K</t>
  </si>
  <si>
    <t>S &gt;= 23,85279405</t>
  </si>
  <si>
    <t xml:space="preserve">Débit calorifique minimum (qc) </t>
  </si>
  <si>
    <t>Débit calorifique minimum (qc) --&gt; vérification</t>
  </si>
  <si>
    <t>Débit calorifique froid minimum (qc)  --&gt; vérification</t>
  </si>
  <si>
    <t>L/s</t>
  </si>
  <si>
    <t>Débit calorifique minimum des échangeurs</t>
  </si>
  <si>
    <t>Débit calorifique froid minimum (qc)</t>
  </si>
  <si>
    <t>Coefficient global d'échange (U ou K )</t>
  </si>
  <si>
    <t>Vitesse moyenne (Vmoy)</t>
  </si>
  <si>
    <t>Capacité thermique massique (Cm) </t>
  </si>
  <si>
    <t>Puissance maximale théorique en kcal / h soit kW</t>
  </si>
  <si>
    <t>Puissance totale en kcal / h soit kW</t>
  </si>
  <si>
    <t xml:space="preserve">Puissance totale inchangée </t>
  </si>
  <si>
    <t xml:space="preserve">Choix de l'échangeur </t>
  </si>
  <si>
    <r>
      <t>Ecart de température (</t>
    </r>
    <r>
      <rPr>
        <b/>
        <sz val="11"/>
        <color theme="1"/>
        <rFont val="Calibri"/>
        <family val="2"/>
      </rPr>
      <t>ΔT)</t>
    </r>
  </si>
  <si>
    <t xml:space="preserve">Coefficient de sécurité </t>
  </si>
  <si>
    <t>Vitesse dans l'échangeur (V)</t>
  </si>
  <si>
    <t>0,4 &lt; v &lt; 1</t>
  </si>
  <si>
    <t>P &gt;= 74,2</t>
  </si>
  <si>
    <r>
      <t xml:space="preserve">TempChaud Entrée (Te1)  </t>
    </r>
    <r>
      <rPr>
        <b/>
        <sz val="11"/>
        <color rgb="FFFF0000"/>
        <rFont val="Calibri"/>
        <family val="2"/>
        <scheme val="minor"/>
      </rPr>
      <t xml:space="preserve"> [10 ; 20]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</si>
  <si>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TempChaud Sortie (Ts1)      </t>
    </r>
    <r>
      <rPr>
        <b/>
        <sz val="11"/>
        <color rgb="FFFF0000"/>
        <rFont val="Calibri"/>
        <family val="2"/>
        <scheme val="minor"/>
      </rPr>
      <t>[?]</t>
    </r>
  </si>
  <si>
    <t>Puissance thermique minimum souhaité pour le choix de l'échangeur</t>
  </si>
  <si>
    <t>Pf</t>
  </si>
  <si>
    <t>L'efficacité  de notre système (ɛ)</t>
  </si>
  <si>
    <t>Surface d'échange (S)</t>
  </si>
  <si>
    <t>Puissance calorifique (Pf)</t>
  </si>
  <si>
    <t>Puissance totale minimum attendu en kcal / h soit kW</t>
  </si>
  <si>
    <t>Puissance maximale théorique minimum attendu</t>
  </si>
  <si>
    <t>Débit volumique de notre sytème qui dépend de notre puissance calorifique sur 365 jours</t>
  </si>
  <si>
    <t>Surface d'échange (S exploitable)</t>
  </si>
  <si>
    <t>Calcul des rendements et des pertes de charges des échangeurs</t>
  </si>
  <si>
    <t>Puissance calorifique (Pf) sur 365 jours</t>
  </si>
  <si>
    <t>Débit volumique des différents modèles d'échangeurs calculés en fonctions des données mis à disposition</t>
  </si>
  <si>
    <t>Surface d'échange de notre système (S exploitable)</t>
  </si>
  <si>
    <t xml:space="preserve">Rendements des échangeurs (η) </t>
  </si>
  <si>
    <t>Surface d'échange exploitable (S exploitable)</t>
  </si>
  <si>
    <t>Pertes de charges des échangeurs</t>
  </si>
  <si>
    <t>L'efficacité  des  échangeurs par  écart de température (Vérification)</t>
  </si>
  <si>
    <t>Calcul des puissances thermiques après les pertes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</si>
</sst>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202124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rgb="FF00B050"/>
      </left>
      <right/>
      <top style="thin">
        <color indexed="64"/>
      </top>
      <bottom/>
      <diagonal/>
    </border>
    <border>
      <left style="thin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rgb="FF00B05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2" fillId="0" borderId="0" xfId="1"/>
    <xf numFmtId="0" fontId="1" fillId="0" borderId="0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6" xfId="0" applyBorder="1"/>
    <xf numFmtId="0" fontId="0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4" borderId="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2" xfId="0" applyFill="1" applyBorder="1"/>
    <xf numFmtId="0" fontId="0" fillId="0" borderId="7" xfId="0" applyFill="1" applyBorder="1"/>
    <xf numFmtId="0" fontId="1" fillId="0" borderId="0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7" fillId="9" borderId="12" xfId="0" applyFont="1" applyFill="1" applyBorder="1" applyAlignment="1">
      <alignment horizontal="center"/>
    </xf>
    <xf numFmtId="0" fontId="7" fillId="0" borderId="0" xfId="0" applyFont="1"/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4" fillId="0" borderId="19" xfId="0" applyFon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0" xfId="0" applyFont="1" applyFill="1" applyBorder="1"/>
    <xf numFmtId="0" fontId="0" fillId="0" borderId="13" xfId="0" applyFill="1" applyBorder="1"/>
    <xf numFmtId="0" fontId="0" fillId="0" borderId="4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6" fillId="0" borderId="13" xfId="0" applyNumberFormat="1" applyFont="1" applyBorder="1"/>
    <xf numFmtId="0" fontId="0" fillId="0" borderId="4" xfId="0" applyBorder="1"/>
    <xf numFmtId="0" fontId="0" fillId="5" borderId="10" xfId="0" applyFill="1" applyBorder="1"/>
    <xf numFmtId="0" fontId="1" fillId="11" borderId="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6" borderId="30" xfId="0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6" xfId="0" applyFont="1" applyFill="1" applyBorder="1"/>
    <xf numFmtId="0" fontId="1" fillId="4" borderId="13" xfId="0" applyFont="1" applyFill="1" applyBorder="1" applyAlignment="1">
      <alignment horizontal="center"/>
    </xf>
    <xf numFmtId="0" fontId="4" fillId="0" borderId="20" xfId="0" applyFont="1" applyBorder="1"/>
    <xf numFmtId="0" fontId="1" fillId="4" borderId="9" xfId="0" applyFont="1" applyFill="1" applyBorder="1" applyAlignment="1">
      <alignment horizontal="center"/>
    </xf>
    <xf numFmtId="0" fontId="0" fillId="0" borderId="0" xfId="0" applyBorder="1" applyAlignment="1"/>
    <xf numFmtId="0" fontId="1" fillId="4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7" borderId="20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/>
    <xf numFmtId="0" fontId="1" fillId="4" borderId="5" xfId="0" applyFont="1" applyFill="1" applyBorder="1" applyAlignment="1">
      <alignment horizontal="center"/>
    </xf>
    <xf numFmtId="0" fontId="0" fillId="0" borderId="1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 u="sng"/>
              <a:t>Différence de 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Liquide chaud</c:v>
          </c:tx>
          <c:spPr>
            <a:ln w="22225" cap="rnd">
              <a:solidFill>
                <a:srgbClr val="FF0000"/>
              </a:solidFill>
              <a:headEnd type="none"/>
              <a:tailEnd type="triangle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'L2.2'!$J$11:$J$12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'L2.2'!$B$4:$B$5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E-495A-AC28-99A900DADC73}"/>
            </c:ext>
          </c:extLst>
        </c:ser>
        <c:ser>
          <c:idx val="1"/>
          <c:order val="1"/>
          <c:tx>
            <c:v>Liquide froid</c:v>
          </c:tx>
          <c:spPr>
            <a:ln w="22225" cap="rnd">
              <a:solidFill>
                <a:schemeClr val="accent5"/>
              </a:solidFill>
              <a:headEnd type="triangle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'L2.2'!$J$11:$J$12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'L2.2'!$J$14:$J$15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E-495A-AC28-99A900DAD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1227600"/>
        <c:axId val="-1201223792"/>
      </c:scatterChart>
      <c:valAx>
        <c:axId val="-1201227600"/>
        <c:scaling>
          <c:orientation val="minMax"/>
          <c:max val="3"/>
          <c:min val="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Longueur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-1201223792"/>
        <c:crosses val="autoZero"/>
        <c:crossBetween val="midCat"/>
        <c:majorUnit val="1"/>
      </c:valAx>
      <c:valAx>
        <c:axId val="-12012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012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36081</xdr:colOff>
      <xdr:row>2</xdr:row>
      <xdr:rowOff>46103</xdr:rowOff>
    </xdr:from>
    <xdr:to>
      <xdr:col>18</xdr:col>
      <xdr:colOff>316676</xdr:colOff>
      <xdr:row>18</xdr:row>
      <xdr:rowOff>157697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902" y="427103"/>
          <a:ext cx="3120777" cy="3159594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272140</xdr:colOff>
      <xdr:row>102</xdr:row>
      <xdr:rowOff>68034</xdr:rowOff>
    </xdr:from>
    <xdr:to>
      <xdr:col>9</xdr:col>
      <xdr:colOff>698912</xdr:colOff>
      <xdr:row>108</xdr:row>
      <xdr:rowOff>141482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095" t="38814" r="30350" b="48025"/>
        <a:stretch/>
      </xdr:blipFill>
      <xdr:spPr>
        <a:xfrm>
          <a:off x="10178140" y="19499034"/>
          <a:ext cx="2884717" cy="1216448"/>
        </a:xfrm>
        <a:prstGeom prst="rect">
          <a:avLst/>
        </a:prstGeom>
      </xdr:spPr>
    </xdr:pic>
    <xdr:clientData/>
  </xdr:twoCellAnchor>
  <xdr:twoCellAnchor editAs="oneCell">
    <xdr:from>
      <xdr:col>3</xdr:col>
      <xdr:colOff>646738</xdr:colOff>
      <xdr:row>61</xdr:row>
      <xdr:rowOff>180096</xdr:rowOff>
    </xdr:from>
    <xdr:to>
      <xdr:col>5</xdr:col>
      <xdr:colOff>585108</xdr:colOff>
      <xdr:row>78</xdr:row>
      <xdr:rowOff>186493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220" t="40184" r="47703" b="3262"/>
        <a:stretch/>
      </xdr:blipFill>
      <xdr:spPr>
        <a:xfrm>
          <a:off x="5763024" y="11800596"/>
          <a:ext cx="3040798" cy="3326540"/>
        </a:xfrm>
        <a:prstGeom prst="rect">
          <a:avLst/>
        </a:prstGeom>
      </xdr:spPr>
    </xdr:pic>
    <xdr:clientData/>
  </xdr:twoCellAnchor>
  <xdr:twoCellAnchor editAs="oneCell">
    <xdr:from>
      <xdr:col>13</xdr:col>
      <xdr:colOff>188100</xdr:colOff>
      <xdr:row>63</xdr:row>
      <xdr:rowOff>36818</xdr:rowOff>
    </xdr:from>
    <xdr:to>
      <xdr:col>14</xdr:col>
      <xdr:colOff>583508</xdr:colOff>
      <xdr:row>69</xdr:row>
      <xdr:rowOff>184049</xdr:rowOff>
    </xdr:to>
    <xdr:pic>
      <xdr:nvPicPr>
        <xdr:cNvPr id="7" name="Image 6" descr="Echangeurs de chaleur : puissance et efficacité - Efficacité d'un échangeu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2136" y="12038318"/>
          <a:ext cx="2164336" cy="129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249732</xdr:colOff>
      <xdr:row>47</xdr:row>
      <xdr:rowOff>72040</xdr:rowOff>
    </xdr:from>
    <xdr:to>
      <xdr:col>14</xdr:col>
      <xdr:colOff>396210</xdr:colOff>
      <xdr:row>53</xdr:row>
      <xdr:rowOff>131232</xdr:rowOff>
    </xdr:to>
    <xdr:pic>
      <xdr:nvPicPr>
        <xdr:cNvPr id="8" name="Image 7" descr="http://public.iutenligne.net/genie-civil/confort/courtin/echangeurs-de-chaleur/puissance_et_efficacite/res/Efficacite_definition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3768" y="9025540"/>
          <a:ext cx="1915406" cy="120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66436</xdr:colOff>
      <xdr:row>43</xdr:row>
      <xdr:rowOff>126468</xdr:rowOff>
    </xdr:from>
    <xdr:to>
      <xdr:col>20</xdr:col>
      <xdr:colOff>705418</xdr:colOff>
      <xdr:row>56</xdr:row>
      <xdr:rowOff>112059</xdr:rowOff>
    </xdr:to>
    <xdr:pic>
      <xdr:nvPicPr>
        <xdr:cNvPr id="9" name="Image 8" descr="2 - Dimensionnement thermiqu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054" y="8317968"/>
          <a:ext cx="3686982" cy="246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108859</xdr:colOff>
      <xdr:row>11</xdr:row>
      <xdr:rowOff>27215</xdr:rowOff>
    </xdr:from>
    <xdr:to>
      <xdr:col>3</xdr:col>
      <xdr:colOff>1051240</xdr:colOff>
      <xdr:row>13</xdr:row>
      <xdr:rowOff>149679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176" t="56660" r="66181" b="36071"/>
        <a:stretch/>
      </xdr:blipFill>
      <xdr:spPr>
        <a:xfrm>
          <a:off x="4694466" y="2122715"/>
          <a:ext cx="942381" cy="503464"/>
        </a:xfrm>
        <a:prstGeom prst="rect">
          <a:avLst/>
        </a:prstGeom>
      </xdr:spPr>
    </xdr:pic>
    <xdr:clientData/>
  </xdr:twoCellAnchor>
  <xdr:twoCellAnchor editAs="oneCell">
    <xdr:from>
      <xdr:col>4</xdr:col>
      <xdr:colOff>439511</xdr:colOff>
      <xdr:row>28</xdr:row>
      <xdr:rowOff>31295</xdr:rowOff>
    </xdr:from>
    <xdr:to>
      <xdr:col>4</xdr:col>
      <xdr:colOff>1487261</xdr:colOff>
      <xdr:row>30</xdr:row>
      <xdr:rowOff>167367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6044" t="47439" r="65902" b="45492"/>
        <a:stretch/>
      </xdr:blipFill>
      <xdr:spPr>
        <a:xfrm>
          <a:off x="7249886" y="5365295"/>
          <a:ext cx="1047750" cy="517072"/>
        </a:xfrm>
        <a:prstGeom prst="rect">
          <a:avLst/>
        </a:prstGeom>
      </xdr:spPr>
    </xdr:pic>
    <xdr:clientData/>
  </xdr:twoCellAnchor>
  <xdr:twoCellAnchor>
    <xdr:from>
      <xdr:col>6</xdr:col>
      <xdr:colOff>27214</xdr:colOff>
      <xdr:row>1</xdr:row>
      <xdr:rowOff>40822</xdr:rowOff>
    </xdr:from>
    <xdr:to>
      <xdr:col>13</xdr:col>
      <xdr:colOff>680355</xdr:colOff>
      <xdr:row>20</xdr:row>
      <xdr:rowOff>3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nouvenergie.fr/e-formation/chauffage-central-1/echangeurs-de-chaleu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ft.asso.fr/Local/sft/dir/user-3775/documents/Ouvrages/Padet_Ech_Thermiques/Chapitres%203.pdf" TargetMode="External"/><Relationship Id="rId1" Type="http://schemas.openxmlformats.org/officeDocument/2006/relationships/hyperlink" Target="https://www.barriquand.com/fr/actualites-news/dimensionner-echangeur-thermique-mode-emploi" TargetMode="External"/><Relationship Id="rId6" Type="http://schemas.openxmlformats.org/officeDocument/2006/relationships/hyperlink" Target="https://media.xpair.com/pdf/formation/cours/questions-calcul_pratique_debits_eau_air_partie_2.pdf" TargetMode="External"/><Relationship Id="rId5" Type="http://schemas.openxmlformats.org/officeDocument/2006/relationships/hyperlink" Target="https://convertlive.com/fr/u/convert/kilocalories-par-heure/a/kilowatts" TargetMode="External"/><Relationship Id="rId4" Type="http://schemas.openxmlformats.org/officeDocument/2006/relationships/hyperlink" Target="http://public.iutenligne.net/genie-civil/confort/courtin/echangeurs-de-chaleur/puissance_et_efficacite/co/Puissance%20et%20efficacite_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7"/>
  <sheetViews>
    <sheetView tabSelected="1" zoomScale="70" zoomScaleNormal="70" workbookViewId="0">
      <selection activeCell="D79" sqref="D79"/>
    </sheetView>
  </sheetViews>
  <sheetFormatPr baseColWidth="10" defaultRowHeight="15" x14ac:dyDescent="0.25"/>
  <cols>
    <col min="1" max="1" width="44.140625" customWidth="1"/>
    <col min="2" max="2" width="23.7109375" customWidth="1"/>
    <col min="3" max="3" width="20.85546875" customWidth="1"/>
    <col min="4" max="4" width="17.85546875" customWidth="1"/>
    <col min="5" max="5" width="28.5703125" customWidth="1"/>
    <col min="6" max="6" width="19.28515625" customWidth="1"/>
    <col min="7" max="7" width="16" customWidth="1"/>
    <col min="8" max="8" width="14.7109375" customWidth="1"/>
    <col min="9" max="9" width="22" customWidth="1"/>
    <col min="10" max="10" width="26.5703125" customWidth="1"/>
    <col min="11" max="11" width="12.28515625" customWidth="1"/>
    <col min="13" max="13" width="6.5703125" customWidth="1"/>
    <col min="14" max="14" width="26.5703125" customWidth="1"/>
    <col min="15" max="15" width="14" customWidth="1"/>
    <col min="16" max="16" width="19.7109375" customWidth="1"/>
  </cols>
  <sheetData>
    <row r="1" spans="1:10" x14ac:dyDescent="0.25">
      <c r="A1" s="167" t="s">
        <v>34</v>
      </c>
      <c r="B1" s="167"/>
      <c r="C1" s="167"/>
      <c r="D1" s="167"/>
      <c r="E1" s="146"/>
      <c r="F1" s="8"/>
    </row>
    <row r="2" spans="1:10" x14ac:dyDescent="0.25">
      <c r="F2" s="18"/>
    </row>
    <row r="3" spans="1:10" x14ac:dyDescent="0.25">
      <c r="A3" s="10" t="s">
        <v>76</v>
      </c>
      <c r="B3" s="3">
        <v>1300</v>
      </c>
      <c r="C3" s="22" t="s">
        <v>2</v>
      </c>
      <c r="D3" s="2">
        <v>1.3</v>
      </c>
      <c r="E3" s="31" t="s">
        <v>21</v>
      </c>
      <c r="F3" s="8"/>
    </row>
    <row r="4" spans="1:10" x14ac:dyDescent="0.25">
      <c r="A4" s="10" t="s">
        <v>88</v>
      </c>
      <c r="B4" s="57">
        <v>11</v>
      </c>
      <c r="C4" s="16" t="s">
        <v>3</v>
      </c>
      <c r="F4" s="18"/>
    </row>
    <row r="5" spans="1:10" x14ac:dyDescent="0.25">
      <c r="A5" s="26" t="s">
        <v>89</v>
      </c>
      <c r="B5" s="123">
        <f>ABS((($E$35*$B$11*($B$7-$B$6))/($E$35*$B$11))-B4)</f>
        <v>8</v>
      </c>
      <c r="C5" s="22" t="s">
        <v>3</v>
      </c>
      <c r="F5" s="18"/>
    </row>
    <row r="6" spans="1:10" x14ac:dyDescent="0.25">
      <c r="A6" s="10" t="s">
        <v>20</v>
      </c>
      <c r="B6" s="58">
        <v>7</v>
      </c>
      <c r="C6" s="16" t="s">
        <v>3</v>
      </c>
      <c r="F6" s="18"/>
    </row>
    <row r="7" spans="1:10" x14ac:dyDescent="0.25">
      <c r="A7" s="10" t="s">
        <v>33</v>
      </c>
      <c r="B7" s="3">
        <v>10</v>
      </c>
      <c r="C7" s="16" t="s">
        <v>3</v>
      </c>
      <c r="F7" s="18"/>
    </row>
    <row r="8" spans="1:10" x14ac:dyDescent="0.25">
      <c r="A8" s="10" t="s">
        <v>85</v>
      </c>
      <c r="B8" s="124" t="s">
        <v>86</v>
      </c>
      <c r="C8" s="22" t="s">
        <v>4</v>
      </c>
      <c r="F8" s="18"/>
    </row>
    <row r="9" spans="1:10" x14ac:dyDescent="0.25">
      <c r="A9" s="122" t="s">
        <v>77</v>
      </c>
      <c r="B9" s="123">
        <f>AVERAGE((LEFT(B8,3)),(RIGHT(B8,1)))</f>
        <v>0.7</v>
      </c>
      <c r="C9" s="22" t="s">
        <v>4</v>
      </c>
      <c r="D9" s="14"/>
      <c r="E9" s="13"/>
      <c r="F9" s="13"/>
      <c r="G9" s="13"/>
      <c r="H9" s="13"/>
    </row>
    <row r="10" spans="1:10" x14ac:dyDescent="0.25">
      <c r="A10" s="10" t="s">
        <v>84</v>
      </c>
      <c r="B10" s="125">
        <v>1.2</v>
      </c>
      <c r="C10" s="27"/>
      <c r="F10" s="18"/>
    </row>
    <row r="11" spans="1:10" x14ac:dyDescent="0.25">
      <c r="A11" s="10" t="s">
        <v>58</v>
      </c>
      <c r="B11" s="17">
        <v>1</v>
      </c>
      <c r="C11" s="16" t="s">
        <v>3</v>
      </c>
      <c r="D11" s="1"/>
      <c r="E11" s="1"/>
      <c r="F11" s="7"/>
      <c r="J11">
        <v>0</v>
      </c>
    </row>
    <row r="12" spans="1:10" x14ac:dyDescent="0.25">
      <c r="A12" s="15" t="s">
        <v>78</v>
      </c>
      <c r="B12" s="76">
        <v>4185</v>
      </c>
      <c r="C12" s="19" t="s">
        <v>31</v>
      </c>
      <c r="D12" s="137"/>
      <c r="F12" s="18"/>
      <c r="J12">
        <v>2.5</v>
      </c>
    </row>
    <row r="13" spans="1:10" x14ac:dyDescent="0.25">
      <c r="A13" s="74" t="s">
        <v>83</v>
      </c>
      <c r="B13" s="123">
        <f>$B$14/(1.16*$B$30)</f>
        <v>2.9999999999999996</v>
      </c>
      <c r="C13" s="53" t="s">
        <v>48</v>
      </c>
      <c r="D13" s="137"/>
      <c r="F13" s="18"/>
    </row>
    <row r="14" spans="1:10" x14ac:dyDescent="0.25">
      <c r="A14" s="10" t="s">
        <v>100</v>
      </c>
      <c r="B14" s="77">
        <f>96.75*(1-(1/4.29))</f>
        <v>74.197552447552454</v>
      </c>
      <c r="C14" s="30" t="s">
        <v>1</v>
      </c>
      <c r="D14" s="137"/>
      <c r="F14" s="18"/>
      <c r="J14">
        <v>10</v>
      </c>
    </row>
    <row r="15" spans="1:10" x14ac:dyDescent="0.25">
      <c r="F15" s="18"/>
      <c r="J15">
        <v>7</v>
      </c>
    </row>
    <row r="16" spans="1:10" x14ac:dyDescent="0.25">
      <c r="A16" s="146" t="s">
        <v>36</v>
      </c>
      <c r="B16" s="147"/>
      <c r="C16" s="147"/>
      <c r="D16" s="147"/>
      <c r="E16" s="148"/>
      <c r="F16" s="8"/>
    </row>
    <row r="17" spans="1:26" x14ac:dyDescent="0.25">
      <c r="F17" s="18"/>
    </row>
    <row r="18" spans="1:26" x14ac:dyDescent="0.25">
      <c r="A18" s="75" t="s">
        <v>22</v>
      </c>
      <c r="B18" s="10" t="s">
        <v>15</v>
      </c>
      <c r="C18" s="10" t="s">
        <v>16</v>
      </c>
      <c r="D18" s="10" t="s">
        <v>17</v>
      </c>
      <c r="E18" s="12" t="s">
        <v>14</v>
      </c>
      <c r="F18" s="8"/>
    </row>
    <row r="19" spans="1:26" x14ac:dyDescent="0.25">
      <c r="A19" s="21" t="s">
        <v>6</v>
      </c>
      <c r="B19" s="2">
        <v>425</v>
      </c>
      <c r="C19" s="2">
        <v>500</v>
      </c>
      <c r="D19" s="2">
        <v>5</v>
      </c>
      <c r="E19" s="17">
        <v>2</v>
      </c>
      <c r="F19" s="8"/>
    </row>
    <row r="20" spans="1:26" x14ac:dyDescent="0.25">
      <c r="A20" s="21" t="s">
        <v>7</v>
      </c>
      <c r="B20" s="2">
        <v>425</v>
      </c>
      <c r="C20" s="2">
        <v>600</v>
      </c>
      <c r="D20" s="2">
        <v>8</v>
      </c>
      <c r="E20" s="17">
        <v>2.1</v>
      </c>
      <c r="F20" s="8"/>
    </row>
    <row r="21" spans="1:26" x14ac:dyDescent="0.25">
      <c r="A21" s="21" t="s">
        <v>8</v>
      </c>
      <c r="B21" s="2">
        <v>480</v>
      </c>
      <c r="C21" s="2">
        <v>600</v>
      </c>
      <c r="D21" s="2">
        <v>5</v>
      </c>
      <c r="E21" s="17">
        <v>4.3</v>
      </c>
      <c r="F21" s="8"/>
    </row>
    <row r="22" spans="1:26" x14ac:dyDescent="0.25">
      <c r="A22" s="21" t="s">
        <v>9</v>
      </c>
      <c r="B22" s="2">
        <v>480</v>
      </c>
      <c r="C22" s="2">
        <v>700</v>
      </c>
      <c r="D22" s="2">
        <v>8</v>
      </c>
      <c r="E22" s="17">
        <v>4</v>
      </c>
      <c r="F22" s="8"/>
    </row>
    <row r="23" spans="1:26" x14ac:dyDescent="0.25">
      <c r="A23" s="21" t="s">
        <v>10</v>
      </c>
      <c r="B23" s="2">
        <v>540</v>
      </c>
      <c r="C23" s="2">
        <v>700</v>
      </c>
      <c r="D23" s="2">
        <v>5</v>
      </c>
      <c r="E23" s="17">
        <v>8</v>
      </c>
      <c r="F23" s="8"/>
      <c r="X23" s="29"/>
      <c r="Y23" s="7"/>
      <c r="Z23" s="7"/>
    </row>
    <row r="24" spans="1:26" x14ac:dyDescent="0.25">
      <c r="A24" s="21" t="s">
        <v>11</v>
      </c>
      <c r="B24" s="2">
        <v>540</v>
      </c>
      <c r="C24" s="2">
        <v>925</v>
      </c>
      <c r="D24" s="2">
        <v>8</v>
      </c>
      <c r="E24" s="17">
        <v>8.8000000000000007</v>
      </c>
      <c r="F24" s="8"/>
      <c r="X24" s="29"/>
      <c r="Y24" s="7"/>
      <c r="Z24" s="7"/>
    </row>
    <row r="25" spans="1:26" x14ac:dyDescent="0.25">
      <c r="A25" s="21" t="s">
        <v>12</v>
      </c>
      <c r="B25" s="2">
        <v>645</v>
      </c>
      <c r="C25" s="2">
        <v>800</v>
      </c>
      <c r="D25" s="2">
        <v>6</v>
      </c>
      <c r="E25" s="17">
        <v>13.5</v>
      </c>
      <c r="F25" s="8"/>
      <c r="J25" s="38" t="s">
        <v>49</v>
      </c>
      <c r="M25" s="37"/>
      <c r="X25" s="29"/>
      <c r="Y25" s="7"/>
      <c r="Z25" s="7"/>
    </row>
    <row r="26" spans="1:26" x14ac:dyDescent="0.25">
      <c r="A26" s="21" t="s">
        <v>13</v>
      </c>
      <c r="B26" s="9">
        <v>825</v>
      </c>
      <c r="C26" s="2">
        <v>1400</v>
      </c>
      <c r="D26" s="2">
        <v>12</v>
      </c>
      <c r="E26" s="17">
        <v>29.3</v>
      </c>
      <c r="F26" s="8"/>
      <c r="X26" s="29"/>
      <c r="Y26" s="7"/>
      <c r="Z26" s="7"/>
    </row>
    <row r="27" spans="1:26" x14ac:dyDescent="0.25">
      <c r="F27" s="18"/>
      <c r="J27" s="4" t="s">
        <v>18</v>
      </c>
      <c r="X27" s="29"/>
      <c r="Y27" s="7"/>
      <c r="Z27" s="7"/>
    </row>
    <row r="28" spans="1:26" x14ac:dyDescent="0.25">
      <c r="A28" s="146" t="s">
        <v>97</v>
      </c>
      <c r="B28" s="147"/>
      <c r="C28" s="147"/>
      <c r="D28" s="147"/>
      <c r="E28" s="148"/>
      <c r="F28" s="118"/>
      <c r="J28" s="4" t="s">
        <v>5</v>
      </c>
    </row>
    <row r="29" spans="1:26" x14ac:dyDescent="0.25">
      <c r="B29" s="115" t="s">
        <v>40</v>
      </c>
      <c r="C29" s="115" t="s">
        <v>73</v>
      </c>
      <c r="D29" s="117" t="s">
        <v>45</v>
      </c>
      <c r="E29" s="137"/>
      <c r="F29" s="118"/>
      <c r="J29" s="4" t="s">
        <v>24</v>
      </c>
    </row>
    <row r="30" spans="1:26" x14ac:dyDescent="0.25">
      <c r="A30" s="55" t="s">
        <v>35</v>
      </c>
      <c r="B30" s="56">
        <f>$B$14/(1.16*($B$7-$B$6))</f>
        <v>21.321135760790938</v>
      </c>
      <c r="C30" s="116">
        <f>$D$30/3600</f>
        <v>5.9225377113308157</v>
      </c>
      <c r="D30" s="114">
        <f>$B$30*10^3</f>
        <v>21321.135760790938</v>
      </c>
      <c r="E30" s="137"/>
      <c r="F30" s="118"/>
      <c r="J30" s="4" t="s">
        <v>26</v>
      </c>
    </row>
    <row r="31" spans="1:26" x14ac:dyDescent="0.25">
      <c r="E31" s="137"/>
      <c r="F31" s="18"/>
      <c r="J31" s="4" t="s">
        <v>25</v>
      </c>
    </row>
    <row r="32" spans="1:26" x14ac:dyDescent="0.25">
      <c r="A32" s="167" t="s">
        <v>101</v>
      </c>
      <c r="B32" s="167"/>
      <c r="C32" s="167"/>
      <c r="D32" s="167"/>
      <c r="E32" s="168"/>
      <c r="F32" s="18"/>
      <c r="H32" s="7"/>
      <c r="I32" s="7"/>
      <c r="J32" s="4" t="s">
        <v>52</v>
      </c>
      <c r="K32" s="7"/>
      <c r="L32" s="7"/>
      <c r="M32" s="7"/>
      <c r="N32" s="7"/>
      <c r="O32" s="7"/>
    </row>
    <row r="33" spans="1:21" x14ac:dyDescent="0.25">
      <c r="F33" s="8"/>
    </row>
    <row r="34" spans="1:21" x14ac:dyDescent="0.25">
      <c r="A34" s="75" t="s">
        <v>53</v>
      </c>
      <c r="B34" s="10" t="s">
        <v>41</v>
      </c>
      <c r="C34" s="10" t="s">
        <v>42</v>
      </c>
      <c r="D34" s="10" t="s">
        <v>43</v>
      </c>
      <c r="E34" s="10" t="s">
        <v>44</v>
      </c>
      <c r="F34" s="8"/>
    </row>
    <row r="35" spans="1:21" x14ac:dyDescent="0.25">
      <c r="A35" s="55" t="s">
        <v>6</v>
      </c>
      <c r="B35" s="127">
        <f>$B$9*(($C19/10^3)*($D19/10^3))</f>
        <v>1.7499999999999998E-3</v>
      </c>
      <c r="C35" s="127">
        <f>$B35*10^3</f>
        <v>1.7499999999999998</v>
      </c>
      <c r="D35" s="127">
        <f t="shared" ref="D35:D42" si="0">$B35*3600</f>
        <v>6.2999999999999989</v>
      </c>
      <c r="E35" s="127">
        <f>$C35*3600</f>
        <v>6299.9999999999991</v>
      </c>
      <c r="F35" s="18"/>
    </row>
    <row r="36" spans="1:21" x14ac:dyDescent="0.25">
      <c r="A36" s="55" t="s">
        <v>7</v>
      </c>
      <c r="B36" s="127">
        <f t="shared" ref="B36:B42" si="1">$B$9*(($C20/10^3)*($D20/10^3))</f>
        <v>3.3599999999999997E-3</v>
      </c>
      <c r="C36" s="127">
        <f>$B36*10^3</f>
        <v>3.36</v>
      </c>
      <c r="D36" s="127">
        <f t="shared" si="0"/>
        <v>12.095999999999998</v>
      </c>
      <c r="E36" s="127">
        <f t="shared" ref="E36:E42" si="2">$C36*3600</f>
        <v>12096</v>
      </c>
      <c r="F36" s="18"/>
      <c r="G36" s="156" t="s">
        <v>54</v>
      </c>
      <c r="H36" s="157"/>
      <c r="I36" s="158"/>
      <c r="J36" s="79" t="s">
        <v>55</v>
      </c>
    </row>
    <row r="37" spans="1:21" x14ac:dyDescent="0.25">
      <c r="A37" s="55" t="s">
        <v>8</v>
      </c>
      <c r="B37" s="127">
        <f t="shared" si="1"/>
        <v>2.0999999999999999E-3</v>
      </c>
      <c r="C37" s="127">
        <f t="shared" ref="C37:C42" si="3">$B37*10^3</f>
        <v>2.1</v>
      </c>
      <c r="D37" s="127">
        <f t="shared" si="0"/>
        <v>7.56</v>
      </c>
      <c r="E37" s="127">
        <f t="shared" si="2"/>
        <v>7560</v>
      </c>
      <c r="F37" s="18"/>
      <c r="G37" s="169" t="s">
        <v>37</v>
      </c>
      <c r="H37" s="170"/>
      <c r="I37" s="78"/>
      <c r="J37" s="11" t="s">
        <v>38</v>
      </c>
    </row>
    <row r="38" spans="1:21" x14ac:dyDescent="0.25">
      <c r="A38" s="55" t="s">
        <v>9</v>
      </c>
      <c r="B38" s="127">
        <f t="shared" si="1"/>
        <v>3.9199999999999999E-3</v>
      </c>
      <c r="C38" s="127">
        <f t="shared" si="3"/>
        <v>3.92</v>
      </c>
      <c r="D38" s="127">
        <f t="shared" si="0"/>
        <v>14.112</v>
      </c>
      <c r="E38" s="127">
        <f t="shared" si="2"/>
        <v>14112</v>
      </c>
      <c r="F38" s="18"/>
      <c r="G38" s="171"/>
      <c r="H38" s="172"/>
      <c r="I38" s="23"/>
      <c r="J38" s="11" t="s">
        <v>39</v>
      </c>
    </row>
    <row r="39" spans="1:21" x14ac:dyDescent="0.25">
      <c r="A39" s="128" t="s">
        <v>10</v>
      </c>
      <c r="B39" s="127">
        <f t="shared" si="1"/>
        <v>2.4499999999999995E-3</v>
      </c>
      <c r="C39" s="127">
        <f t="shared" si="3"/>
        <v>2.4499999999999993</v>
      </c>
      <c r="D39" s="127">
        <f t="shared" si="0"/>
        <v>8.8199999999999985</v>
      </c>
      <c r="E39" s="127">
        <f t="shared" si="2"/>
        <v>8819.9999999999982</v>
      </c>
      <c r="F39" s="18"/>
    </row>
    <row r="40" spans="1:21" x14ac:dyDescent="0.25">
      <c r="A40" s="55" t="s">
        <v>11</v>
      </c>
      <c r="B40" s="127">
        <f t="shared" si="1"/>
        <v>5.1799999999999997E-3</v>
      </c>
      <c r="C40" s="127">
        <f t="shared" si="3"/>
        <v>5.18</v>
      </c>
      <c r="D40" s="127">
        <f>$B40*3600</f>
        <v>18.648</v>
      </c>
      <c r="E40" s="127">
        <f t="shared" si="2"/>
        <v>18648</v>
      </c>
    </row>
    <row r="41" spans="1:21" x14ac:dyDescent="0.25">
      <c r="A41" s="129" t="s">
        <v>12</v>
      </c>
      <c r="B41" s="127">
        <f t="shared" si="1"/>
        <v>3.3600000000000001E-3</v>
      </c>
      <c r="C41" s="127">
        <f t="shared" si="3"/>
        <v>3.3600000000000003</v>
      </c>
      <c r="D41" s="127">
        <f t="shared" si="0"/>
        <v>12.096</v>
      </c>
      <c r="E41" s="127">
        <f t="shared" si="2"/>
        <v>12096.000000000002</v>
      </c>
    </row>
    <row r="42" spans="1:21" x14ac:dyDescent="0.25">
      <c r="A42" s="21" t="s">
        <v>13</v>
      </c>
      <c r="B42" s="127">
        <f t="shared" si="1"/>
        <v>1.1759999999999998E-2</v>
      </c>
      <c r="C42" s="127">
        <f t="shared" si="3"/>
        <v>11.759999999999998</v>
      </c>
      <c r="D42" s="127">
        <f t="shared" si="0"/>
        <v>42.335999999999991</v>
      </c>
      <c r="E42" s="127">
        <f t="shared" si="2"/>
        <v>42335.999999999993</v>
      </c>
    </row>
    <row r="44" spans="1:21" x14ac:dyDescent="0.25">
      <c r="A44" s="167" t="s">
        <v>60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Q44" s="173"/>
      <c r="R44" s="174"/>
      <c r="S44" s="174"/>
      <c r="T44" s="174"/>
      <c r="U44" s="175"/>
    </row>
    <row r="45" spans="1:21" x14ac:dyDescent="0.25">
      <c r="Q45" s="176"/>
      <c r="R45" s="177"/>
      <c r="S45" s="177"/>
      <c r="T45" s="177"/>
      <c r="U45" s="178"/>
    </row>
    <row r="46" spans="1:21" x14ac:dyDescent="0.25">
      <c r="A46" s="10" t="s">
        <v>22</v>
      </c>
      <c r="B46" s="138" t="s">
        <v>80</v>
      </c>
      <c r="C46" s="139"/>
      <c r="D46" s="139"/>
      <c r="E46" s="139"/>
      <c r="F46" s="139"/>
      <c r="G46" s="140"/>
      <c r="H46" s="138" t="s">
        <v>79</v>
      </c>
      <c r="I46" s="139"/>
      <c r="J46" s="139"/>
      <c r="K46" s="139"/>
      <c r="L46" s="139"/>
      <c r="M46" s="140"/>
      <c r="N46" s="138" t="s">
        <v>59</v>
      </c>
      <c r="O46" s="140"/>
      <c r="Q46" s="176"/>
      <c r="R46" s="177"/>
      <c r="S46" s="177"/>
      <c r="T46" s="177"/>
      <c r="U46" s="178"/>
    </row>
    <row r="47" spans="1:21" x14ac:dyDescent="0.25">
      <c r="A47" s="21" t="s">
        <v>6</v>
      </c>
      <c r="B47" s="42">
        <f>$E35*$B$11*($B$7-$B$6)</f>
        <v>18899.999999999996</v>
      </c>
      <c r="C47" s="16" t="s">
        <v>29</v>
      </c>
      <c r="D47" s="42">
        <f>$E35*1.163*($B$7-$B$6)</f>
        <v>21980.699999999997</v>
      </c>
      <c r="E47" s="30" t="s">
        <v>0</v>
      </c>
      <c r="F47" s="42">
        <f>$D47/10^3</f>
        <v>21.980699999999999</v>
      </c>
      <c r="G47" s="16" t="s">
        <v>1</v>
      </c>
      <c r="H47" s="42">
        <f>$E35*$B$11*($B$4-$B$6)</f>
        <v>25199.999999999996</v>
      </c>
      <c r="I47" s="16" t="s">
        <v>27</v>
      </c>
      <c r="J47" s="42">
        <f t="shared" ref="J47:J54" si="4">$E35*1.163*($B$4-$B$6)</f>
        <v>29307.599999999995</v>
      </c>
      <c r="K47" s="30" t="s">
        <v>0</v>
      </c>
      <c r="L47" s="42">
        <f>$J47/10^3</f>
        <v>29.307599999999994</v>
      </c>
      <c r="M47" s="16" t="s">
        <v>1</v>
      </c>
      <c r="N47" s="45">
        <f>($F$47/$L$47)*100</f>
        <v>75.000000000000014</v>
      </c>
      <c r="O47" s="32" t="s">
        <v>23</v>
      </c>
      <c r="Q47" s="176"/>
      <c r="R47" s="177"/>
      <c r="S47" s="177"/>
      <c r="T47" s="177"/>
      <c r="U47" s="178"/>
    </row>
    <row r="48" spans="1:21" x14ac:dyDescent="0.25">
      <c r="A48" s="21" t="s">
        <v>7</v>
      </c>
      <c r="B48" s="42">
        <f t="shared" ref="B48:B54" si="5">$E36*$B$11*($B$7-$B$6)</f>
        <v>36288</v>
      </c>
      <c r="C48" s="16" t="s">
        <v>29</v>
      </c>
      <c r="D48" s="42">
        <f t="shared" ref="D48:D54" si="6">$E36*1.163*($B$7-$B$6)</f>
        <v>42202.944000000003</v>
      </c>
      <c r="E48" s="30" t="s">
        <v>0</v>
      </c>
      <c r="F48" s="42">
        <f>$D48/10^3</f>
        <v>42.202944000000002</v>
      </c>
      <c r="G48" s="16" t="s">
        <v>1</v>
      </c>
      <c r="H48" s="42">
        <f t="shared" ref="H48:H54" si="7">$E36*$B$11*($B$4-$B$6)</f>
        <v>48384</v>
      </c>
      <c r="I48" s="16" t="s">
        <v>27</v>
      </c>
      <c r="J48" s="42">
        <f t="shared" si="4"/>
        <v>56270.592000000004</v>
      </c>
      <c r="K48" s="30" t="s">
        <v>0</v>
      </c>
      <c r="L48" s="42">
        <f>$J48/10^3</f>
        <v>56.270592000000008</v>
      </c>
      <c r="M48" s="31" t="s">
        <v>1</v>
      </c>
      <c r="N48" s="33"/>
      <c r="O48" s="34"/>
      <c r="Q48" s="176"/>
      <c r="R48" s="177"/>
      <c r="S48" s="177"/>
      <c r="T48" s="177"/>
      <c r="U48" s="178"/>
    </row>
    <row r="49" spans="1:21" x14ac:dyDescent="0.25">
      <c r="A49" s="21" t="s">
        <v>8</v>
      </c>
      <c r="B49" s="42">
        <f>$E37*$B$11*($B$7-$B$6)</f>
        <v>22680</v>
      </c>
      <c r="C49" s="16" t="s">
        <v>29</v>
      </c>
      <c r="D49" s="42">
        <f t="shared" si="6"/>
        <v>26376.840000000004</v>
      </c>
      <c r="E49" s="30" t="s">
        <v>0</v>
      </c>
      <c r="F49" s="42">
        <f t="shared" ref="F49:F54" si="8">$D49/10^3</f>
        <v>26.376840000000005</v>
      </c>
      <c r="G49" s="16" t="s">
        <v>1</v>
      </c>
      <c r="H49" s="42">
        <f t="shared" si="7"/>
        <v>30240</v>
      </c>
      <c r="I49" s="16" t="s">
        <v>27</v>
      </c>
      <c r="J49" s="42">
        <f>$E37*1.163*($B$4-$B$6)</f>
        <v>35169.120000000003</v>
      </c>
      <c r="K49" s="30" t="s">
        <v>0</v>
      </c>
      <c r="L49" s="42">
        <f t="shared" ref="L49:L54" si="9">$J49/10^3</f>
        <v>35.169119999999999</v>
      </c>
      <c r="M49" s="31" t="s">
        <v>1</v>
      </c>
      <c r="N49" s="35"/>
      <c r="O49" s="36"/>
      <c r="Q49" s="176"/>
      <c r="R49" s="177"/>
      <c r="S49" s="177"/>
      <c r="T49" s="177"/>
      <c r="U49" s="178"/>
    </row>
    <row r="50" spans="1:21" x14ac:dyDescent="0.25">
      <c r="A50" s="21" t="s">
        <v>9</v>
      </c>
      <c r="B50" s="42">
        <f t="shared" si="5"/>
        <v>42336</v>
      </c>
      <c r="C50" s="16" t="s">
        <v>29</v>
      </c>
      <c r="D50" s="42">
        <f t="shared" si="6"/>
        <v>49236.768000000004</v>
      </c>
      <c r="E50" s="30" t="s">
        <v>0</v>
      </c>
      <c r="F50" s="42">
        <f t="shared" si="8"/>
        <v>49.236768000000005</v>
      </c>
      <c r="G50" s="16" t="s">
        <v>1</v>
      </c>
      <c r="H50" s="42">
        <f t="shared" si="7"/>
        <v>56448</v>
      </c>
      <c r="I50" s="16" t="s">
        <v>27</v>
      </c>
      <c r="J50" s="42">
        <f t="shared" si="4"/>
        <v>65649.024000000005</v>
      </c>
      <c r="K50" s="30" t="s">
        <v>0</v>
      </c>
      <c r="L50" s="42">
        <f t="shared" si="9"/>
        <v>65.649024000000011</v>
      </c>
      <c r="M50" s="31" t="s">
        <v>1</v>
      </c>
      <c r="N50" s="35"/>
      <c r="O50" s="36"/>
      <c r="Q50" s="176"/>
      <c r="R50" s="177"/>
      <c r="S50" s="177"/>
      <c r="T50" s="177"/>
      <c r="U50" s="178"/>
    </row>
    <row r="51" spans="1:21" x14ac:dyDescent="0.25">
      <c r="A51" s="44" t="s">
        <v>10</v>
      </c>
      <c r="B51" s="59">
        <f t="shared" si="5"/>
        <v>26459.999999999993</v>
      </c>
      <c r="C51" s="32" t="s">
        <v>29</v>
      </c>
      <c r="D51" s="59">
        <f t="shared" si="6"/>
        <v>30772.979999999996</v>
      </c>
      <c r="E51" s="61" t="s">
        <v>0</v>
      </c>
      <c r="F51" s="42">
        <f t="shared" si="8"/>
        <v>30.772979999999997</v>
      </c>
      <c r="G51" s="32" t="s">
        <v>1</v>
      </c>
      <c r="H51" s="59">
        <f t="shared" si="7"/>
        <v>35279.999999999993</v>
      </c>
      <c r="I51" s="16" t="s">
        <v>27</v>
      </c>
      <c r="J51" s="59">
        <f t="shared" si="4"/>
        <v>41030.639999999992</v>
      </c>
      <c r="K51" s="61" t="s">
        <v>0</v>
      </c>
      <c r="L51" s="42">
        <f t="shared" si="9"/>
        <v>41.030639999999991</v>
      </c>
      <c r="M51" s="70" t="s">
        <v>1</v>
      </c>
      <c r="N51" s="35"/>
      <c r="O51" s="36"/>
      <c r="Q51" s="176"/>
      <c r="R51" s="177"/>
      <c r="S51" s="177"/>
      <c r="T51" s="177"/>
      <c r="U51" s="178"/>
    </row>
    <row r="52" spans="1:21" x14ac:dyDescent="0.25">
      <c r="A52" s="85" t="s">
        <v>11</v>
      </c>
      <c r="B52" s="101">
        <f t="shared" si="5"/>
        <v>55944</v>
      </c>
      <c r="C52" s="93" t="s">
        <v>29</v>
      </c>
      <c r="D52" s="101">
        <f t="shared" si="6"/>
        <v>65062.872000000003</v>
      </c>
      <c r="E52" s="102" t="s">
        <v>0</v>
      </c>
      <c r="F52" s="42">
        <f t="shared" si="8"/>
        <v>65.062871999999999</v>
      </c>
      <c r="G52" s="93" t="s">
        <v>1</v>
      </c>
      <c r="H52" s="101">
        <f t="shared" si="7"/>
        <v>74592</v>
      </c>
      <c r="I52" s="103" t="s">
        <v>27</v>
      </c>
      <c r="J52" s="101">
        <f t="shared" si="4"/>
        <v>86750.495999999999</v>
      </c>
      <c r="K52" s="95" t="s">
        <v>0</v>
      </c>
      <c r="L52" s="42">
        <f t="shared" si="9"/>
        <v>86.750495999999998</v>
      </c>
      <c r="M52" s="93" t="s">
        <v>1</v>
      </c>
      <c r="N52" s="71"/>
      <c r="O52" s="36"/>
      <c r="Q52" s="176"/>
      <c r="R52" s="177"/>
      <c r="S52" s="177"/>
      <c r="T52" s="177"/>
      <c r="U52" s="178"/>
    </row>
    <row r="53" spans="1:21" x14ac:dyDescent="0.25">
      <c r="A53" s="83" t="s">
        <v>12</v>
      </c>
      <c r="B53" s="86">
        <f t="shared" si="5"/>
        <v>36288.000000000007</v>
      </c>
      <c r="C53" s="98" t="s">
        <v>29</v>
      </c>
      <c r="D53" s="68">
        <f t="shared" si="6"/>
        <v>42202.94400000001</v>
      </c>
      <c r="E53" s="61" t="s">
        <v>0</v>
      </c>
      <c r="F53" s="59">
        <f t="shared" si="8"/>
        <v>42.202944000000009</v>
      </c>
      <c r="G53" s="72" t="s">
        <v>1</v>
      </c>
      <c r="H53" s="100">
        <f t="shared" si="7"/>
        <v>48384.000000000007</v>
      </c>
      <c r="I53" s="32" t="s">
        <v>27</v>
      </c>
      <c r="J53" s="86">
        <f t="shared" si="4"/>
        <v>56270.592000000011</v>
      </c>
      <c r="K53" s="99" t="s">
        <v>0</v>
      </c>
      <c r="L53" s="59">
        <f t="shared" si="9"/>
        <v>56.270592000000015</v>
      </c>
      <c r="M53" s="72" t="s">
        <v>1</v>
      </c>
      <c r="N53" s="35"/>
      <c r="O53" s="36"/>
      <c r="Q53" s="176"/>
      <c r="R53" s="177"/>
      <c r="S53" s="177"/>
      <c r="T53" s="177"/>
      <c r="U53" s="178"/>
    </row>
    <row r="54" spans="1:21" x14ac:dyDescent="0.25">
      <c r="A54" s="65" t="s">
        <v>13</v>
      </c>
      <c r="B54" s="63">
        <f t="shared" si="5"/>
        <v>127007.99999999997</v>
      </c>
      <c r="C54" s="65" t="s">
        <v>29</v>
      </c>
      <c r="D54" s="63">
        <f t="shared" si="6"/>
        <v>147710.304</v>
      </c>
      <c r="E54" s="134" t="s">
        <v>0</v>
      </c>
      <c r="F54" s="63">
        <f t="shared" si="8"/>
        <v>147.71030400000001</v>
      </c>
      <c r="G54" s="135" t="s">
        <v>1</v>
      </c>
      <c r="H54" s="63">
        <f t="shared" si="7"/>
        <v>169343.99999999997</v>
      </c>
      <c r="I54" s="65" t="s">
        <v>27</v>
      </c>
      <c r="J54" s="63">
        <f t="shared" si="4"/>
        <v>196947.07199999999</v>
      </c>
      <c r="K54" s="134" t="s">
        <v>0</v>
      </c>
      <c r="L54" s="63">
        <f t="shared" si="9"/>
        <v>196.94707199999999</v>
      </c>
      <c r="M54" s="135" t="s">
        <v>1</v>
      </c>
      <c r="N54" s="69"/>
      <c r="O54" s="39"/>
      <c r="Q54" s="176"/>
      <c r="R54" s="177"/>
      <c r="S54" s="177"/>
      <c r="T54" s="177"/>
      <c r="U54" s="178"/>
    </row>
    <row r="55" spans="1:21" x14ac:dyDescent="0.25">
      <c r="E55" s="106" t="s">
        <v>30</v>
      </c>
      <c r="Q55" s="176"/>
      <c r="R55" s="177"/>
      <c r="S55" s="177"/>
      <c r="T55" s="177"/>
      <c r="U55" s="178"/>
    </row>
    <row r="56" spans="1:21" x14ac:dyDescent="0.25">
      <c r="G56" s="138" t="s">
        <v>106</v>
      </c>
      <c r="H56" s="139"/>
      <c r="I56" s="139"/>
      <c r="J56" s="139"/>
      <c r="K56" s="139"/>
      <c r="L56" s="139"/>
      <c r="M56" s="140"/>
      <c r="N56" s="43">
        <f>((B4-B5)/(B4-B6))*100</f>
        <v>75</v>
      </c>
      <c r="O56" s="6" t="s">
        <v>23</v>
      </c>
      <c r="Q56" s="176"/>
      <c r="R56" s="177"/>
      <c r="S56" s="177"/>
      <c r="T56" s="177"/>
      <c r="U56" s="178"/>
    </row>
    <row r="57" spans="1:21" x14ac:dyDescent="0.25">
      <c r="D57" s="40"/>
      <c r="Q57" s="179"/>
      <c r="R57" s="180"/>
      <c r="S57" s="180"/>
      <c r="T57" s="180"/>
      <c r="U57" s="181"/>
    </row>
    <row r="58" spans="1:21" x14ac:dyDescent="0.25">
      <c r="A58" s="167" t="s">
        <v>90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</row>
    <row r="60" spans="1:21" x14ac:dyDescent="0.25">
      <c r="A60" s="183" t="s">
        <v>91</v>
      </c>
      <c r="B60" s="143" t="s">
        <v>95</v>
      </c>
      <c r="C60" s="139"/>
      <c r="D60" s="187"/>
      <c r="E60" s="139"/>
      <c r="F60" s="187"/>
      <c r="G60" s="140"/>
      <c r="H60" s="143" t="s">
        <v>96</v>
      </c>
      <c r="I60" s="139"/>
      <c r="J60" s="187"/>
      <c r="K60" s="139"/>
      <c r="L60" s="187"/>
      <c r="M60" s="140"/>
      <c r="N60" s="138" t="s">
        <v>92</v>
      </c>
      <c r="O60" s="140"/>
    </row>
    <row r="61" spans="1:21" x14ac:dyDescent="0.25">
      <c r="A61" s="184"/>
      <c r="B61" s="48">
        <f>$D$30*$B$11*($B$7-$B$6)</f>
        <v>63963.407282372813</v>
      </c>
      <c r="C61" s="49" t="s">
        <v>29</v>
      </c>
      <c r="D61" s="46">
        <f>$D$30*1.163*($B$7-$B$6)</f>
        <v>74389.442669399592</v>
      </c>
      <c r="E61" s="50" t="s">
        <v>0</v>
      </c>
      <c r="F61" s="51">
        <f>$D$61/10^3</f>
        <v>74.389442669399585</v>
      </c>
      <c r="G61" s="52" t="s">
        <v>1</v>
      </c>
      <c r="H61" s="51">
        <f>$D$30*$B$11*($B$4-$B$6)</f>
        <v>85284.543043163751</v>
      </c>
      <c r="I61" s="52" t="s">
        <v>27</v>
      </c>
      <c r="J61" s="51">
        <f>$D$30*1.163*($B$4-$B$6)</f>
        <v>99185.923559199451</v>
      </c>
      <c r="K61" s="54" t="s">
        <v>0</v>
      </c>
      <c r="L61" s="51">
        <f>$J$61/10^3</f>
        <v>99.185923559199452</v>
      </c>
      <c r="M61" s="22" t="s">
        <v>1</v>
      </c>
      <c r="N61" s="43">
        <f>($F$61/$L$61)*100</f>
        <v>75</v>
      </c>
      <c r="O61" s="32" t="s">
        <v>23</v>
      </c>
    </row>
    <row r="62" spans="1:21" x14ac:dyDescent="0.25">
      <c r="A62" s="5"/>
      <c r="B62" s="4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24"/>
    </row>
    <row r="63" spans="1:21" x14ac:dyDescent="0.25">
      <c r="A63" s="5"/>
      <c r="B63" s="7"/>
      <c r="C63" s="5"/>
      <c r="D63" s="7"/>
      <c r="E63" s="7"/>
      <c r="F63" s="7"/>
      <c r="G63" s="138" t="s">
        <v>106</v>
      </c>
      <c r="H63" s="139"/>
      <c r="I63" s="139"/>
      <c r="J63" s="139"/>
      <c r="K63" s="139"/>
      <c r="L63" s="139"/>
      <c r="M63" s="140"/>
      <c r="N63" s="43">
        <f>(($B$4-$B$5)/($B$4-$B$6))*100</f>
        <v>75</v>
      </c>
      <c r="O63" s="16" t="s">
        <v>23</v>
      </c>
    </row>
    <row r="64" spans="1:21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82"/>
      <c r="O64" s="182"/>
    </row>
    <row r="65" spans="1:24" x14ac:dyDescent="0.25">
      <c r="A65" s="167" t="s">
        <v>47</v>
      </c>
      <c r="B65" s="167"/>
      <c r="C65" s="167"/>
      <c r="D65" s="20"/>
      <c r="E65" s="20"/>
      <c r="F65" s="20"/>
      <c r="G65" s="20"/>
      <c r="H65" s="20"/>
      <c r="I65" s="20"/>
      <c r="J65" s="20"/>
      <c r="K65" s="20"/>
      <c r="L65" s="25"/>
      <c r="M65" s="25"/>
      <c r="N65" s="182"/>
      <c r="O65" s="182"/>
    </row>
    <row r="66" spans="1:24" x14ac:dyDescent="0.25">
      <c r="A66" s="136"/>
      <c r="B66" s="136"/>
      <c r="C66" s="136"/>
      <c r="D66" s="29"/>
      <c r="E66" s="29"/>
      <c r="F66" s="29"/>
      <c r="L66" s="7"/>
      <c r="M66" s="7"/>
      <c r="N66" s="182"/>
      <c r="O66" s="182"/>
    </row>
    <row r="67" spans="1:24" x14ac:dyDescent="0.25">
      <c r="A67" s="10" t="s">
        <v>19</v>
      </c>
      <c r="B67" s="144">
        <f>(ABS($B$4-$B$6)-ABS($B$5-$B$7))/(LN(ABS($B$4-$B$6))-(LN(ABS($B$5-$B$7))))</f>
        <v>2.8853900817779268</v>
      </c>
      <c r="C67" s="144"/>
      <c r="D67" s="29"/>
      <c r="E67" s="29"/>
      <c r="F67" s="29"/>
      <c r="G67" s="149" t="s">
        <v>102</v>
      </c>
      <c r="H67" s="149"/>
      <c r="I67" s="149"/>
      <c r="J67" s="149"/>
      <c r="K67" s="149"/>
      <c r="L67" s="81"/>
      <c r="M67" s="7"/>
      <c r="N67" s="182"/>
      <c r="O67" s="182"/>
    </row>
    <row r="68" spans="1:24" x14ac:dyDescent="0.25">
      <c r="A68" s="20"/>
      <c r="B68" s="29"/>
      <c r="C68" s="29"/>
      <c r="D68" s="29"/>
      <c r="E68" s="29"/>
      <c r="F68" s="29"/>
      <c r="G68" s="151"/>
      <c r="H68" s="152"/>
      <c r="I68" s="152"/>
      <c r="J68" s="152"/>
      <c r="K68" s="153"/>
      <c r="L68" s="81"/>
      <c r="M68" s="7"/>
      <c r="N68" s="182"/>
      <c r="O68" s="182"/>
      <c r="V68" s="28"/>
      <c r="W68" s="28"/>
      <c r="X68" s="28"/>
    </row>
    <row r="69" spans="1:24" x14ac:dyDescent="0.25">
      <c r="A69" s="186" t="s">
        <v>107</v>
      </c>
      <c r="B69" s="186"/>
      <c r="C69" s="186"/>
      <c r="D69" s="27"/>
      <c r="E69" s="20"/>
      <c r="F69" s="27"/>
      <c r="G69" s="138" t="s">
        <v>93</v>
      </c>
      <c r="H69" s="139"/>
      <c r="I69" s="150"/>
      <c r="J69" s="80">
        <f>$B$14/($D$3*$B$67)</f>
        <v>19.780701647488328</v>
      </c>
      <c r="K69" s="119" t="s">
        <v>63</v>
      </c>
      <c r="L69" s="8"/>
      <c r="N69" s="182"/>
      <c r="O69" s="182"/>
    </row>
    <row r="70" spans="1:24" x14ac:dyDescent="0.25">
      <c r="A70" s="136"/>
      <c r="B70" s="136"/>
      <c r="C70" s="136"/>
      <c r="D70" s="27"/>
      <c r="E70" s="27"/>
      <c r="F70" s="27"/>
      <c r="G70" s="111"/>
      <c r="H70" s="112"/>
      <c r="I70" s="112"/>
      <c r="J70" s="112"/>
      <c r="K70" s="113"/>
      <c r="L70" s="8"/>
      <c r="N70" s="182"/>
      <c r="O70" s="182"/>
    </row>
    <row r="71" spans="1:24" x14ac:dyDescent="0.25">
      <c r="A71" s="108" t="s">
        <v>22</v>
      </c>
      <c r="B71" s="192" t="s">
        <v>81</v>
      </c>
      <c r="C71" s="193"/>
      <c r="D71" s="27"/>
      <c r="E71" s="27"/>
      <c r="F71" s="27"/>
      <c r="G71" s="138" t="s">
        <v>104</v>
      </c>
      <c r="H71" s="139"/>
      <c r="I71" s="150"/>
      <c r="J71" s="51">
        <f>$J$69*$B$10</f>
        <v>23.736841976985993</v>
      </c>
      <c r="K71" s="121" t="s">
        <v>63</v>
      </c>
      <c r="L71" s="18"/>
    </row>
    <row r="72" spans="1:24" x14ac:dyDescent="0.25">
      <c r="A72" s="21" t="s">
        <v>6</v>
      </c>
      <c r="B72" s="41">
        <f>$D$3*$E19*$B$67</f>
        <v>7.5020142126226101</v>
      </c>
      <c r="C72" s="16" t="s">
        <v>1</v>
      </c>
      <c r="G72" s="25"/>
      <c r="H72" s="25"/>
      <c r="I72" s="25"/>
      <c r="J72" s="120"/>
      <c r="K72" s="20"/>
    </row>
    <row r="73" spans="1:24" x14ac:dyDescent="0.25">
      <c r="A73" s="21" t="s">
        <v>7</v>
      </c>
      <c r="B73" s="41">
        <f t="shared" ref="B73:B79" si="10">$D$3*$E20*$B$67</f>
        <v>7.8771149232537416</v>
      </c>
      <c r="C73" s="16" t="s">
        <v>1</v>
      </c>
      <c r="D73" s="27"/>
      <c r="E73" s="27"/>
      <c r="F73" s="27"/>
    </row>
    <row r="74" spans="1:24" x14ac:dyDescent="0.25">
      <c r="A74" s="21" t="s">
        <v>8</v>
      </c>
      <c r="B74" s="41">
        <f t="shared" si="10"/>
        <v>16.129330557138609</v>
      </c>
      <c r="C74" s="16" t="s">
        <v>1</v>
      </c>
      <c r="D74" s="27"/>
      <c r="E74" s="27"/>
      <c r="F74" s="27"/>
      <c r="G74" s="146" t="s">
        <v>82</v>
      </c>
      <c r="H74" s="147"/>
      <c r="I74" s="147"/>
      <c r="J74" s="147"/>
      <c r="K74" s="148"/>
      <c r="L74" s="29"/>
      <c r="M74" s="29"/>
      <c r="N74" s="159" t="s">
        <v>56</v>
      </c>
      <c r="O74" s="159"/>
    </row>
    <row r="75" spans="1:24" ht="17.25" customHeight="1" x14ac:dyDescent="0.25">
      <c r="A75" s="21" t="s">
        <v>9</v>
      </c>
      <c r="B75" s="41">
        <f t="shared" si="10"/>
        <v>15.00402842524522</v>
      </c>
      <c r="C75" s="16" t="s">
        <v>1</v>
      </c>
      <c r="D75" s="27"/>
      <c r="E75" s="27"/>
      <c r="F75" s="27"/>
      <c r="G75" s="160"/>
      <c r="H75" s="161"/>
      <c r="I75" s="161"/>
      <c r="J75" s="162"/>
      <c r="K75" s="163"/>
      <c r="M75" s="29"/>
      <c r="N75" s="27"/>
      <c r="O75" s="27"/>
      <c r="P75" s="27"/>
    </row>
    <row r="76" spans="1:24" ht="15.75" customHeight="1" x14ac:dyDescent="0.25">
      <c r="A76" s="44" t="s">
        <v>10</v>
      </c>
      <c r="B76" s="60">
        <f>$D$3*$E23*$B$67</f>
        <v>30.008056850490441</v>
      </c>
      <c r="C76" s="32" t="s">
        <v>1</v>
      </c>
      <c r="D76" s="27"/>
      <c r="E76" s="27"/>
      <c r="F76" s="27"/>
      <c r="G76" s="138" t="s">
        <v>98</v>
      </c>
      <c r="H76" s="139"/>
      <c r="I76" s="139"/>
      <c r="J76" s="51" t="s">
        <v>69</v>
      </c>
      <c r="K76" s="119" t="s">
        <v>63</v>
      </c>
      <c r="L76" s="29"/>
      <c r="M76" s="164" t="s">
        <v>64</v>
      </c>
      <c r="N76" s="164"/>
      <c r="O76" s="164"/>
      <c r="P76" s="164"/>
    </row>
    <row r="77" spans="1:24" ht="16.5" customHeight="1" x14ac:dyDescent="0.25">
      <c r="A77" s="21" t="s">
        <v>11</v>
      </c>
      <c r="B77" s="101">
        <f>$D$3*$E24*$B$67</f>
        <v>33.008862535539485</v>
      </c>
      <c r="C77" s="93" t="s">
        <v>1</v>
      </c>
      <c r="D77" s="27"/>
      <c r="E77" s="27"/>
      <c r="F77" s="27"/>
      <c r="G77" s="138" t="s">
        <v>94</v>
      </c>
      <c r="H77" s="139"/>
      <c r="I77" s="139"/>
      <c r="J77" s="133" t="s">
        <v>87</v>
      </c>
      <c r="K77" s="132" t="s">
        <v>1</v>
      </c>
      <c r="L77" s="27"/>
      <c r="M77" s="27"/>
      <c r="N77" s="27"/>
      <c r="O77" s="27"/>
      <c r="P77" s="27"/>
    </row>
    <row r="78" spans="1:24" ht="17.25" customHeight="1" x14ac:dyDescent="0.25">
      <c r="A78" s="66" t="s">
        <v>12</v>
      </c>
      <c r="B78" s="62">
        <f t="shared" si="10"/>
        <v>50.638595935202616</v>
      </c>
      <c r="C78" s="64" t="s">
        <v>1</v>
      </c>
      <c r="D78" s="27"/>
      <c r="E78" s="27"/>
      <c r="F78" s="27"/>
      <c r="G78" s="138" t="s">
        <v>65</v>
      </c>
      <c r="H78" s="139"/>
      <c r="I78" s="139"/>
      <c r="J78" s="165" t="s">
        <v>13</v>
      </c>
      <c r="K78" s="166"/>
      <c r="L78" s="27"/>
      <c r="M78" s="159" t="s">
        <v>57</v>
      </c>
      <c r="N78" s="159"/>
      <c r="O78" s="159"/>
      <c r="P78" s="159"/>
    </row>
    <row r="79" spans="1:24" x14ac:dyDescent="0.25">
      <c r="A79" s="65" t="s">
        <v>13</v>
      </c>
      <c r="B79" s="63">
        <f t="shared" si="10"/>
        <v>109.90450821492124</v>
      </c>
      <c r="C79" s="65" t="s">
        <v>1</v>
      </c>
      <c r="D79" s="27"/>
      <c r="E79" s="27"/>
      <c r="F79" s="82"/>
    </row>
    <row r="80" spans="1:24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21" x14ac:dyDescent="0.25">
      <c r="A81" s="167" t="s">
        <v>74</v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</row>
    <row r="82" spans="1:2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21" x14ac:dyDescent="0.25">
      <c r="A83" s="185" t="s">
        <v>28</v>
      </c>
      <c r="B83" s="185"/>
      <c r="C83" s="185"/>
      <c r="D83" s="185"/>
      <c r="E83" s="185"/>
      <c r="F83" s="185"/>
      <c r="G83" s="185"/>
      <c r="H83" s="27"/>
      <c r="I83" s="27"/>
      <c r="J83" s="27"/>
      <c r="K83" s="27"/>
    </row>
    <row r="84" spans="1:2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</row>
    <row r="85" spans="1:21" ht="15.75" x14ac:dyDescent="0.25">
      <c r="A85" s="10" t="s">
        <v>22</v>
      </c>
      <c r="B85" s="138" t="s">
        <v>70</v>
      </c>
      <c r="C85" s="140"/>
      <c r="D85" s="14"/>
      <c r="E85" s="188" t="s">
        <v>46</v>
      </c>
      <c r="F85" s="138" t="s">
        <v>61</v>
      </c>
      <c r="G85" s="140"/>
      <c r="H85" s="138" t="s">
        <v>71</v>
      </c>
      <c r="I85" s="139"/>
      <c r="J85" s="139"/>
      <c r="K85" s="140"/>
      <c r="N85" s="155" t="s">
        <v>56</v>
      </c>
      <c r="O85" s="155"/>
      <c r="P85" s="28"/>
      <c r="Q85" s="28"/>
      <c r="R85" s="28"/>
      <c r="S85" s="28"/>
      <c r="T85" s="28"/>
      <c r="U85" s="28"/>
    </row>
    <row r="86" spans="1:21" x14ac:dyDescent="0.25">
      <c r="A86" s="21" t="s">
        <v>6</v>
      </c>
      <c r="B86" s="42">
        <f>$L47/($B$4-$B$6)</f>
        <v>7.3268999999999984</v>
      </c>
      <c r="C86" s="16" t="s">
        <v>68</v>
      </c>
      <c r="D86" s="27"/>
      <c r="E86" s="189"/>
      <c r="F86" s="42">
        <f>$D47/($B$12*($B$7-$B$6))</f>
        <v>1.7507526881720428</v>
      </c>
      <c r="G86" s="30" t="s">
        <v>32</v>
      </c>
      <c r="H86" s="42">
        <f>$F86*$B$12</f>
        <v>7326.8999999999987</v>
      </c>
      <c r="I86" s="30" t="s">
        <v>62</v>
      </c>
      <c r="J86" s="42">
        <f>$H86*10^-3</f>
        <v>7.3268999999999993</v>
      </c>
      <c r="K86" s="16" t="s">
        <v>68</v>
      </c>
    </row>
    <row r="87" spans="1:21" ht="15.75" x14ac:dyDescent="0.25">
      <c r="A87" s="21" t="s">
        <v>7</v>
      </c>
      <c r="B87" s="42">
        <f t="shared" ref="B87:B92" si="11">$L48/($B$4-$B$6)</f>
        <v>14.067648000000002</v>
      </c>
      <c r="C87" s="16" t="s">
        <v>68</v>
      </c>
      <c r="D87" s="27"/>
      <c r="E87" s="189"/>
      <c r="F87" s="42">
        <f t="shared" ref="F87:F92" si="12">$D48/($B$12*($B$7-$B$6))</f>
        <v>3.3614451612903227</v>
      </c>
      <c r="G87" s="30" t="s">
        <v>32</v>
      </c>
      <c r="H87" s="42">
        <f t="shared" ref="H87:H92" si="13">$F87*$B$12</f>
        <v>14067.648000000001</v>
      </c>
      <c r="I87" s="30" t="s">
        <v>62</v>
      </c>
      <c r="J87" s="42">
        <f t="shared" ref="J87:J93" si="14">$H87*10^-3</f>
        <v>14.067648000000002</v>
      </c>
      <c r="K87" s="16" t="s">
        <v>68</v>
      </c>
      <c r="M87" s="154" t="s">
        <v>66</v>
      </c>
      <c r="N87" s="154"/>
      <c r="O87" s="154"/>
      <c r="P87" s="154"/>
    </row>
    <row r="88" spans="1:21" x14ac:dyDescent="0.25">
      <c r="A88" s="21" t="s">
        <v>8</v>
      </c>
      <c r="B88" s="42">
        <f t="shared" si="11"/>
        <v>8.7922799999999999</v>
      </c>
      <c r="C88" s="16" t="s">
        <v>68</v>
      </c>
      <c r="D88" s="27"/>
      <c r="E88" s="189"/>
      <c r="F88" s="42">
        <f t="shared" si="12"/>
        <v>2.1009032258064519</v>
      </c>
      <c r="G88" s="30" t="s">
        <v>32</v>
      </c>
      <c r="H88" s="42">
        <f t="shared" si="13"/>
        <v>8792.2800000000007</v>
      </c>
      <c r="I88" s="30" t="s">
        <v>62</v>
      </c>
      <c r="J88" s="42">
        <f t="shared" si="14"/>
        <v>8.7922800000000016</v>
      </c>
      <c r="K88" s="16" t="s">
        <v>68</v>
      </c>
    </row>
    <row r="89" spans="1:21" ht="15.75" x14ac:dyDescent="0.25">
      <c r="A89" s="21" t="s">
        <v>9</v>
      </c>
      <c r="B89" s="42">
        <f t="shared" si="11"/>
        <v>16.412256000000003</v>
      </c>
      <c r="C89" s="16" t="s">
        <v>68</v>
      </c>
      <c r="D89" s="27"/>
      <c r="E89" s="189"/>
      <c r="F89" s="42">
        <f t="shared" si="12"/>
        <v>3.9216860215053768</v>
      </c>
      <c r="G89" s="30" t="s">
        <v>32</v>
      </c>
      <c r="H89" s="42">
        <f t="shared" si="13"/>
        <v>16412.256000000001</v>
      </c>
      <c r="I89" s="30" t="s">
        <v>62</v>
      </c>
      <c r="J89" s="42">
        <f t="shared" si="14"/>
        <v>16.412256000000003</v>
      </c>
      <c r="K89" s="16" t="s">
        <v>68</v>
      </c>
      <c r="M89" s="154" t="s">
        <v>67</v>
      </c>
      <c r="N89" s="154"/>
      <c r="O89" s="154"/>
      <c r="P89" s="154"/>
    </row>
    <row r="90" spans="1:21" x14ac:dyDescent="0.25">
      <c r="A90" s="44" t="s">
        <v>10</v>
      </c>
      <c r="B90" s="59">
        <f t="shared" si="11"/>
        <v>10.257659999999998</v>
      </c>
      <c r="C90" s="16" t="s">
        <v>68</v>
      </c>
      <c r="D90" s="27"/>
      <c r="E90" s="189"/>
      <c r="F90" s="59">
        <f t="shared" si="12"/>
        <v>2.4510537634408598</v>
      </c>
      <c r="G90" s="30" t="s">
        <v>32</v>
      </c>
      <c r="H90" s="42">
        <f t="shared" si="13"/>
        <v>10257.659999999998</v>
      </c>
      <c r="I90" s="30" t="s">
        <v>62</v>
      </c>
      <c r="J90" s="42">
        <f t="shared" si="14"/>
        <v>10.257659999999998</v>
      </c>
      <c r="K90" s="16" t="s">
        <v>68</v>
      </c>
    </row>
    <row r="91" spans="1:21" x14ac:dyDescent="0.25">
      <c r="A91" s="84" t="s">
        <v>11</v>
      </c>
      <c r="B91" s="92">
        <f t="shared" si="11"/>
        <v>21.687624</v>
      </c>
      <c r="C91" s="16" t="s">
        <v>68</v>
      </c>
      <c r="D91" s="27"/>
      <c r="E91" s="190"/>
      <c r="F91" s="92">
        <f>$D52/($B$12*($B$7-$B$6))</f>
        <v>5.182227956989248</v>
      </c>
      <c r="G91" s="94" t="s">
        <v>32</v>
      </c>
      <c r="H91" s="96">
        <f t="shared" si="13"/>
        <v>21687.624000000003</v>
      </c>
      <c r="I91" s="95" t="s">
        <v>62</v>
      </c>
      <c r="J91" s="91">
        <f t="shared" si="14"/>
        <v>21.687624000000003</v>
      </c>
      <c r="K91" s="16" t="s">
        <v>68</v>
      </c>
    </row>
    <row r="92" spans="1:21" x14ac:dyDescent="0.25">
      <c r="A92" s="44" t="s">
        <v>12</v>
      </c>
      <c r="B92" s="86">
        <f t="shared" si="11"/>
        <v>14.067648000000004</v>
      </c>
      <c r="C92" s="32" t="s">
        <v>68</v>
      </c>
      <c r="D92" s="27"/>
      <c r="E92" s="190"/>
      <c r="F92" s="87">
        <f t="shared" si="12"/>
        <v>3.3614451612903236</v>
      </c>
      <c r="G92" s="88" t="s">
        <v>32</v>
      </c>
      <c r="H92" s="89">
        <f t="shared" si="13"/>
        <v>14067.648000000005</v>
      </c>
      <c r="I92" s="90" t="s">
        <v>62</v>
      </c>
      <c r="J92" s="60">
        <f t="shared" si="14"/>
        <v>14.067648000000005</v>
      </c>
      <c r="K92" s="32" t="s">
        <v>68</v>
      </c>
    </row>
    <row r="93" spans="1:21" x14ac:dyDescent="0.25">
      <c r="A93" s="65" t="s">
        <v>13</v>
      </c>
      <c r="B93" s="63">
        <f>$L54/($B$4-$B$6)</f>
        <v>49.236767999999998</v>
      </c>
      <c r="C93" s="65" t="s">
        <v>68</v>
      </c>
      <c r="D93" s="27"/>
      <c r="E93" s="191"/>
      <c r="F93" s="63">
        <f>$D54/($B$12*($B$7-$B$6))</f>
        <v>11.765058064516129</v>
      </c>
      <c r="G93" s="67" t="s">
        <v>32</v>
      </c>
      <c r="H93" s="63">
        <f>$F93*$B$12</f>
        <v>49236.768000000004</v>
      </c>
      <c r="I93" s="67" t="s">
        <v>62</v>
      </c>
      <c r="J93" s="63">
        <f t="shared" si="14"/>
        <v>49.236768000000005</v>
      </c>
      <c r="K93" s="65" t="s">
        <v>68</v>
      </c>
    </row>
    <row r="94" spans="1:21" x14ac:dyDescent="0.25">
      <c r="A94" s="130"/>
      <c r="B94" s="131"/>
      <c r="C94" s="27"/>
      <c r="D94" s="27"/>
      <c r="E94" s="27"/>
      <c r="F94" s="27"/>
      <c r="G94" s="27"/>
      <c r="H94" s="27"/>
      <c r="I94" s="105"/>
      <c r="J94" s="27"/>
      <c r="K94" s="27"/>
    </row>
    <row r="95" spans="1:21" x14ac:dyDescent="0.25">
      <c r="A95" s="167" t="s">
        <v>51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</row>
    <row r="97" spans="1:11" x14ac:dyDescent="0.25">
      <c r="A97" s="27"/>
      <c r="B97" s="143" t="s">
        <v>75</v>
      </c>
      <c r="C97" s="140"/>
      <c r="D97" s="27"/>
      <c r="E97" s="144" t="s">
        <v>46</v>
      </c>
      <c r="F97" s="141" t="s">
        <v>61</v>
      </c>
      <c r="G97" s="142"/>
      <c r="H97" s="141" t="s">
        <v>72</v>
      </c>
      <c r="I97" s="142"/>
      <c r="J97" s="141"/>
      <c r="K97" s="142"/>
    </row>
    <row r="98" spans="1:11" x14ac:dyDescent="0.25">
      <c r="A98" s="55" t="s">
        <v>50</v>
      </c>
      <c r="B98" s="51">
        <f>$L$61/($B$4-$B$6)</f>
        <v>24.796480889799863</v>
      </c>
      <c r="C98" s="119" t="s">
        <v>1</v>
      </c>
      <c r="D98" s="27"/>
      <c r="E98" s="145"/>
      <c r="F98" s="51">
        <f>$D$61/($B$12*($B$7-$B$6))</f>
        <v>5.9250850393787013</v>
      </c>
      <c r="G98" s="126" t="s">
        <v>32</v>
      </c>
      <c r="H98" s="51">
        <f>$F$98*$B$12</f>
        <v>24796.480889799866</v>
      </c>
      <c r="I98" s="126" t="s">
        <v>0</v>
      </c>
      <c r="J98" s="51">
        <f>$H$98*10^-3</f>
        <v>24.796480889799867</v>
      </c>
      <c r="K98" s="107" t="s">
        <v>1</v>
      </c>
    </row>
    <row r="99" spans="1:1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 spans="1:11" x14ac:dyDescent="0.25">
      <c r="A100" s="146" t="s">
        <v>99</v>
      </c>
      <c r="B100" s="147"/>
      <c r="C100" s="147"/>
      <c r="D100" s="147"/>
      <c r="E100" s="147"/>
      <c r="F100" s="148"/>
      <c r="G100" s="27"/>
      <c r="H100" s="27"/>
      <c r="I100" s="27"/>
      <c r="J100" s="27"/>
      <c r="K100" s="27"/>
    </row>
    <row r="101" spans="1:1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1:11" x14ac:dyDescent="0.25">
      <c r="A102" s="10" t="s">
        <v>22</v>
      </c>
      <c r="B102" s="138" t="s">
        <v>103</v>
      </c>
      <c r="C102" s="139"/>
      <c r="D102" s="140"/>
      <c r="E102" s="138" t="s">
        <v>105</v>
      </c>
      <c r="F102" s="140"/>
      <c r="G102" s="27"/>
      <c r="H102" s="27"/>
      <c r="I102" s="27"/>
      <c r="J102" s="27"/>
      <c r="K102" s="27"/>
    </row>
    <row r="103" spans="1:11" x14ac:dyDescent="0.25">
      <c r="A103" s="21" t="s">
        <v>6</v>
      </c>
      <c r="B103" s="41">
        <f>$B72/$F47</f>
        <v>0.34130005926210771</v>
      </c>
      <c r="C103" s="41">
        <f>B103*100</f>
        <v>34.130005926210771</v>
      </c>
      <c r="D103" s="16" t="s">
        <v>23</v>
      </c>
      <c r="E103" s="42">
        <f t="shared" ref="E103:E110" si="15">100-$C103</f>
        <v>65.869994073789229</v>
      </c>
      <c r="F103" s="16" t="s">
        <v>23</v>
      </c>
      <c r="G103" s="27"/>
      <c r="H103" s="137"/>
      <c r="I103" s="137"/>
      <c r="J103" s="137"/>
      <c r="K103" s="27"/>
    </row>
    <row r="104" spans="1:11" x14ac:dyDescent="0.25">
      <c r="A104" s="21" t="s">
        <v>7</v>
      </c>
      <c r="B104" s="41">
        <f t="shared" ref="B104:B110" si="16">$B73/$F48</f>
        <v>0.18664846990896514</v>
      </c>
      <c r="C104" s="41">
        <f t="shared" ref="C104:C109" si="17">B104*100</f>
        <v>18.664846990896514</v>
      </c>
      <c r="D104" s="16" t="s">
        <v>23</v>
      </c>
      <c r="E104" s="42">
        <f t="shared" si="15"/>
        <v>81.335153009103493</v>
      </c>
      <c r="F104" s="16" t="s">
        <v>23</v>
      </c>
      <c r="G104" s="27"/>
      <c r="H104" s="137"/>
      <c r="I104" s="137"/>
      <c r="J104" s="137"/>
      <c r="K104" s="27"/>
    </row>
    <row r="105" spans="1:11" x14ac:dyDescent="0.25">
      <c r="A105" s="21" t="s">
        <v>8</v>
      </c>
      <c r="B105" s="41">
        <f t="shared" si="16"/>
        <v>0.61149593951127601</v>
      </c>
      <c r="C105" s="41">
        <f t="shared" si="17"/>
        <v>61.149593951127599</v>
      </c>
      <c r="D105" s="16" t="s">
        <v>23</v>
      </c>
      <c r="E105" s="42">
        <f t="shared" si="15"/>
        <v>38.850406048872401</v>
      </c>
      <c r="F105" s="16" t="s">
        <v>23</v>
      </c>
      <c r="G105" s="27"/>
      <c r="H105" s="137"/>
      <c r="I105" s="137"/>
      <c r="J105" s="137"/>
      <c r="K105" s="27"/>
    </row>
    <row r="106" spans="1:11" x14ac:dyDescent="0.25">
      <c r="A106" s="21" t="s">
        <v>9</v>
      </c>
      <c r="B106" s="41">
        <f t="shared" si="16"/>
        <v>0.30473219576973898</v>
      </c>
      <c r="C106" s="41">
        <f t="shared" si="17"/>
        <v>30.473219576973896</v>
      </c>
      <c r="D106" s="16" t="s">
        <v>23</v>
      </c>
      <c r="E106" s="42">
        <f t="shared" si="15"/>
        <v>69.526780423026111</v>
      </c>
      <c r="F106" s="16" t="s">
        <v>23</v>
      </c>
      <c r="G106" s="27"/>
      <c r="H106" s="137"/>
      <c r="I106" s="137"/>
      <c r="J106" s="137"/>
      <c r="K106" s="27"/>
    </row>
    <row r="107" spans="1:11" x14ac:dyDescent="0.25">
      <c r="A107" s="44" t="s">
        <v>10</v>
      </c>
      <c r="B107" s="41">
        <f t="shared" si="16"/>
        <v>0.97514302646316486</v>
      </c>
      <c r="C107" s="60">
        <f t="shared" si="17"/>
        <v>97.51430264631648</v>
      </c>
      <c r="D107" s="32" t="s">
        <v>23</v>
      </c>
      <c r="E107" s="59">
        <f t="shared" si="15"/>
        <v>2.4856973536835199</v>
      </c>
      <c r="F107" s="16" t="s">
        <v>23</v>
      </c>
      <c r="G107" s="27"/>
      <c r="H107" s="137"/>
      <c r="I107" s="137"/>
      <c r="J107" s="137"/>
      <c r="K107" s="27"/>
    </row>
    <row r="108" spans="1:11" x14ac:dyDescent="0.25">
      <c r="A108" s="84" t="s">
        <v>11</v>
      </c>
      <c r="B108" s="41">
        <f t="shared" si="16"/>
        <v>0.50733792593016003</v>
      </c>
      <c r="C108" s="96">
        <f>B108*100</f>
        <v>50.733792593016005</v>
      </c>
      <c r="D108" s="97" t="s">
        <v>23</v>
      </c>
      <c r="E108" s="96">
        <f t="shared" si="15"/>
        <v>49.266207406983995</v>
      </c>
      <c r="F108" s="109" t="s">
        <v>23</v>
      </c>
      <c r="G108" s="110"/>
      <c r="H108" s="137"/>
      <c r="I108" s="137"/>
      <c r="J108" s="137"/>
      <c r="K108" s="27"/>
    </row>
    <row r="109" spans="1:11" x14ac:dyDescent="0.25">
      <c r="A109" s="44" t="s">
        <v>12</v>
      </c>
      <c r="B109" s="60">
        <f t="shared" si="16"/>
        <v>1.1998830208433471</v>
      </c>
      <c r="C109" s="60">
        <f t="shared" si="17"/>
        <v>119.98830208433471</v>
      </c>
      <c r="D109" s="32" t="s">
        <v>23</v>
      </c>
      <c r="E109" s="59">
        <f t="shared" si="15"/>
        <v>-19.988302084334705</v>
      </c>
      <c r="F109" s="64" t="s">
        <v>23</v>
      </c>
      <c r="G109" s="27"/>
      <c r="H109" s="137"/>
      <c r="I109" s="137"/>
      <c r="J109" s="137"/>
      <c r="K109" s="27"/>
    </row>
    <row r="110" spans="1:11" x14ac:dyDescent="0.25">
      <c r="A110" s="65" t="s">
        <v>13</v>
      </c>
      <c r="B110" s="63">
        <f t="shared" si="16"/>
        <v>0.7440544446711127</v>
      </c>
      <c r="C110" s="63">
        <f>B110*100</f>
        <v>74.405444467111266</v>
      </c>
      <c r="D110" s="65" t="s">
        <v>23</v>
      </c>
      <c r="E110" s="63">
        <f t="shared" si="15"/>
        <v>25.594555532888734</v>
      </c>
      <c r="F110" s="65" t="s">
        <v>23</v>
      </c>
      <c r="G110" s="27"/>
      <c r="H110" s="27"/>
      <c r="I110" s="27"/>
      <c r="J110" s="27"/>
      <c r="K110" s="27"/>
    </row>
    <row r="111" spans="1:11" x14ac:dyDescent="0.25">
      <c r="A111" s="18"/>
      <c r="G111" s="27"/>
      <c r="H111" s="27"/>
      <c r="I111" s="27"/>
      <c r="J111" s="27"/>
      <c r="K111" s="27"/>
    </row>
    <row r="112" spans="1:11" x14ac:dyDescent="0.25">
      <c r="A112" s="25"/>
      <c r="B112" s="25"/>
      <c r="C112" s="25"/>
      <c r="D112" s="25"/>
      <c r="E112" s="25"/>
      <c r="F112" s="25"/>
      <c r="G112" s="27"/>
      <c r="H112" s="27"/>
      <c r="I112" s="27"/>
      <c r="J112" s="27"/>
      <c r="K112" s="27"/>
    </row>
    <row r="113" spans="1:11" x14ac:dyDescent="0.25">
      <c r="A113" s="20"/>
      <c r="B113" s="29"/>
      <c r="C113" s="29"/>
      <c r="D113" s="29"/>
      <c r="E113" s="29"/>
      <c r="F113" s="27"/>
      <c r="G113" s="27"/>
      <c r="H113" s="27"/>
      <c r="I113" s="27"/>
      <c r="J113" s="27"/>
      <c r="K113" s="27"/>
    </row>
    <row r="114" spans="1:11" x14ac:dyDescent="0.25">
      <c r="A114" s="20"/>
      <c r="B114" s="29"/>
      <c r="C114" s="29"/>
      <c r="D114" s="29"/>
      <c r="E114" s="29"/>
      <c r="F114" s="27"/>
      <c r="G114" s="104"/>
      <c r="H114" s="27"/>
      <c r="I114" s="27"/>
      <c r="J114" s="27"/>
      <c r="K114" s="27"/>
    </row>
    <row r="115" spans="1:11" x14ac:dyDescent="0.25">
      <c r="A115" s="20"/>
      <c r="G115" s="27"/>
      <c r="H115" s="27"/>
      <c r="I115" s="27"/>
      <c r="J115" s="27"/>
      <c r="K115" s="27"/>
    </row>
    <row r="116" spans="1:11" x14ac:dyDescent="0.25">
      <c r="A116" s="20"/>
      <c r="G116" s="27"/>
      <c r="H116" s="27"/>
      <c r="I116" s="27"/>
      <c r="J116" s="27"/>
      <c r="K116" s="27"/>
    </row>
    <row r="117" spans="1:11" x14ac:dyDescent="0.25">
      <c r="A117" s="20"/>
      <c r="G117" s="27"/>
      <c r="H117" s="27"/>
      <c r="I117" s="27"/>
      <c r="J117" s="27"/>
      <c r="K117" s="27"/>
    </row>
    <row r="118" spans="1:11" x14ac:dyDescent="0.25">
      <c r="A118" s="20"/>
      <c r="G118" s="27"/>
      <c r="H118" s="27"/>
      <c r="I118" s="27"/>
      <c r="J118" s="27"/>
      <c r="K118" s="27"/>
    </row>
    <row r="119" spans="1:11" x14ac:dyDescent="0.25">
      <c r="A119" s="20"/>
      <c r="B119" s="73"/>
      <c r="C119" s="73"/>
      <c r="D119" s="73"/>
      <c r="E119" s="20"/>
      <c r="F119" s="20"/>
      <c r="G119" s="27"/>
      <c r="H119" s="27"/>
      <c r="I119" s="27"/>
      <c r="J119" s="27"/>
      <c r="K119" s="27"/>
    </row>
    <row r="120" spans="1:11" x14ac:dyDescent="0.25">
      <c r="A120" s="20"/>
      <c r="B120" s="29"/>
      <c r="C120" s="29"/>
      <c r="D120" s="29"/>
      <c r="E120" s="29"/>
      <c r="F120" s="29"/>
      <c r="G120" s="27"/>
      <c r="H120" s="27"/>
      <c r="I120" s="27"/>
      <c r="J120" s="27"/>
      <c r="K120" s="27"/>
    </row>
    <row r="121" spans="1:11" x14ac:dyDescent="0.25">
      <c r="A121" s="29"/>
      <c r="B121" s="29"/>
      <c r="C121" s="29"/>
      <c r="D121" s="29"/>
      <c r="E121" s="29"/>
      <c r="F121" s="29"/>
      <c r="G121" s="27"/>
      <c r="H121" s="27"/>
      <c r="I121" s="27"/>
      <c r="J121" s="27"/>
      <c r="K121" s="27"/>
    </row>
    <row r="122" spans="1:11" x14ac:dyDescent="0.25">
      <c r="A122" s="20"/>
      <c r="B122" s="29"/>
      <c r="C122" s="29"/>
      <c r="D122" s="29"/>
      <c r="E122" s="29"/>
      <c r="F122" s="29"/>
      <c r="G122" s="27"/>
      <c r="H122" s="27"/>
      <c r="I122" s="27"/>
      <c r="J122" s="27"/>
      <c r="K122" s="27"/>
    </row>
    <row r="123" spans="1:11" x14ac:dyDescent="0.25">
      <c r="A123" s="27"/>
      <c r="B123" s="29"/>
      <c r="C123" s="29"/>
      <c r="D123" s="29"/>
      <c r="E123" s="29"/>
      <c r="F123" s="29"/>
      <c r="G123" s="27"/>
      <c r="H123" s="27"/>
      <c r="I123" s="27"/>
      <c r="J123" s="27"/>
      <c r="K123" s="27"/>
    </row>
    <row r="124" spans="1:11" x14ac:dyDescent="0.25">
      <c r="B124" s="29"/>
      <c r="C124" s="29"/>
      <c r="D124" s="29"/>
      <c r="E124" s="29"/>
      <c r="F124" s="29"/>
    </row>
    <row r="125" spans="1:11" x14ac:dyDescent="0.25">
      <c r="B125" s="29"/>
      <c r="C125" s="29"/>
      <c r="D125" s="29"/>
      <c r="E125" s="29"/>
      <c r="F125" s="29"/>
    </row>
    <row r="126" spans="1:11" x14ac:dyDescent="0.25">
      <c r="B126" s="29"/>
      <c r="C126" s="29"/>
      <c r="D126" s="29"/>
      <c r="E126" s="29"/>
      <c r="F126" s="29"/>
    </row>
    <row r="127" spans="1:11" x14ac:dyDescent="0.25">
      <c r="B127" s="29"/>
      <c r="C127" s="29"/>
      <c r="D127" s="29"/>
      <c r="E127" s="29"/>
      <c r="F127" s="29"/>
    </row>
  </sheetData>
  <mergeCells count="58">
    <mergeCell ref="Q44:U57"/>
    <mergeCell ref="N64:O70"/>
    <mergeCell ref="A95:K95"/>
    <mergeCell ref="A60:A61"/>
    <mergeCell ref="A83:G83"/>
    <mergeCell ref="A65:C65"/>
    <mergeCell ref="B67:C67"/>
    <mergeCell ref="A69:C69"/>
    <mergeCell ref="B60:G60"/>
    <mergeCell ref="H60:M60"/>
    <mergeCell ref="A81:K81"/>
    <mergeCell ref="B85:C85"/>
    <mergeCell ref="E85:E93"/>
    <mergeCell ref="F85:G85"/>
    <mergeCell ref="H85:K85"/>
    <mergeCell ref="B71:C71"/>
    <mergeCell ref="A1:E1"/>
    <mergeCell ref="A16:E16"/>
    <mergeCell ref="A32:E32"/>
    <mergeCell ref="A28:E28"/>
    <mergeCell ref="A58:O58"/>
    <mergeCell ref="G56:M56"/>
    <mergeCell ref="A44:O44"/>
    <mergeCell ref="B46:G46"/>
    <mergeCell ref="H46:M46"/>
    <mergeCell ref="N46:O46"/>
    <mergeCell ref="G37:H38"/>
    <mergeCell ref="D12:D14"/>
    <mergeCell ref="E29:E31"/>
    <mergeCell ref="M87:P87"/>
    <mergeCell ref="M89:P89"/>
    <mergeCell ref="N85:O85"/>
    <mergeCell ref="G36:I36"/>
    <mergeCell ref="N74:O74"/>
    <mergeCell ref="G75:K75"/>
    <mergeCell ref="M76:P76"/>
    <mergeCell ref="M78:P78"/>
    <mergeCell ref="G77:I77"/>
    <mergeCell ref="G78:I78"/>
    <mergeCell ref="J78:K78"/>
    <mergeCell ref="N60:O60"/>
    <mergeCell ref="G63:M63"/>
    <mergeCell ref="A70:C70"/>
    <mergeCell ref="A66:C66"/>
    <mergeCell ref="H103:J109"/>
    <mergeCell ref="B102:D102"/>
    <mergeCell ref="E102:F102"/>
    <mergeCell ref="H97:K97"/>
    <mergeCell ref="F97:G97"/>
    <mergeCell ref="B97:C97"/>
    <mergeCell ref="E97:E98"/>
    <mergeCell ref="A100:F100"/>
    <mergeCell ref="G67:K67"/>
    <mergeCell ref="G69:I69"/>
    <mergeCell ref="G71:I71"/>
    <mergeCell ref="G68:K68"/>
    <mergeCell ref="G74:K74"/>
    <mergeCell ref="G76:I76"/>
  </mergeCells>
  <hyperlinks>
    <hyperlink ref="J28" r:id="rId1" location=":~:text=Une%20fois%20qu%E2%80%99on%20a%20calcul%C3%A9%20le%20%E2%88%86TLM%20et,S%20%3A%20surface%20de%20l%E2%80%99%C3%A9changeur%20en%20m%202" display="https://www.barriquand.com/fr/actualites-news/dimensionner-echangeur-thermique-mode-emploi - :~:text=Une%20fois%20qu%E2%80%99on%20a%20calcul%C3%A9%20le%20%E2%88%86TLM%20et,S%20%3A%20surface%20de%20l%E2%80%99%C3%A9changeur%20en%20m%202" xr:uid="{00000000-0004-0000-0000-000000000000}"/>
    <hyperlink ref="J27" r:id="rId2" location=":~:text=s%E2%80%99exprime%20comme%20le%20d%C3%A9bit%20thermique%20unitaire%20qt%20en,un%20degr%C3%A9.%20%C3%80%20l%E2%80%99usage%2C%20ce%20n%E2%80%99est%20pas%20cette" display="https://www.sft.asso.fr/Local/sft/dir/user-3775/documents/Ouvrages/Padet_Ech_Thermiques/Chapitres 3.pdf - :~:text=s%E2%80%99exprime%20comme%20le%20d%C3%A9bit%20thermique%20unitaire%20qt%20en,un%20degr%C3%A9.%20%C3%80%20l%E2%80%99usage%2C%20ce%20n%E2%80%99est%20pas%20cette" xr:uid="{00000000-0004-0000-0000-000001000000}"/>
    <hyperlink ref="J29" r:id="rId3" xr:uid="{00000000-0004-0000-0000-000002000000}"/>
    <hyperlink ref="J31" r:id="rId4" xr:uid="{00000000-0004-0000-0000-000003000000}"/>
    <hyperlink ref="J30" r:id="rId5" location="56700" xr:uid="{00000000-0004-0000-0000-000004000000}"/>
    <hyperlink ref="J32" r:id="rId6" xr:uid="{00000000-0004-0000-0000-000005000000}"/>
  </hyperlinks>
  <pageMargins left="0.7" right="0.7" top="0.75" bottom="0.75" header="0.3" footer="0.3"/>
  <pageSetup paperSize="9" orientation="portrait" horizontalDpi="4294967293" verticalDpi="4294967293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Emma Gorrias</cp:lastModifiedBy>
  <dcterms:created xsi:type="dcterms:W3CDTF">2015-06-05T18:17:20Z</dcterms:created>
  <dcterms:modified xsi:type="dcterms:W3CDTF">2020-12-03T13:00:45Z</dcterms:modified>
</cp:coreProperties>
</file>