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PROSIT PROJET\2eme ANNEE\Bloc mécaniques des fluides\"/>
    </mc:Choice>
  </mc:AlternateContent>
  <xr:revisionPtr revIDLastSave="0" documentId="13_ncr:1_{9AE56B01-0B44-4046-85C5-B980803E7C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ircuit Froid" sheetId="1" r:id="rId1"/>
    <sheet name="Circuit Eaux Usé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3" l="1"/>
  <c r="C62" i="3" l="1"/>
  <c r="C87" i="3" l="1"/>
  <c r="C85" i="3"/>
  <c r="C73" i="3"/>
  <c r="C64" i="3"/>
  <c r="C56" i="3"/>
  <c r="C48" i="3"/>
  <c r="C46" i="3"/>
  <c r="C45" i="3"/>
  <c r="C44" i="3"/>
  <c r="C40" i="3"/>
  <c r="C39" i="3"/>
  <c r="C38" i="3" s="1"/>
  <c r="C33" i="3"/>
  <c r="C26" i="3"/>
  <c r="C27" i="3" s="1"/>
  <c r="E18" i="3"/>
  <c r="C25" i="3" s="1"/>
  <c r="D18" i="3"/>
  <c r="D10" i="3"/>
  <c r="H6" i="3"/>
  <c r="H5" i="3"/>
  <c r="D4" i="3"/>
  <c r="C34" i="3" s="1"/>
  <c r="H10" i="3" l="1"/>
  <c r="G10" i="3" s="1"/>
  <c r="C54" i="3" s="1"/>
  <c r="C24" i="3"/>
  <c r="E18" i="1"/>
  <c r="D18" i="1"/>
  <c r="C71" i="3" l="1"/>
  <c r="C63" i="3"/>
  <c r="C65" i="3" s="1"/>
  <c r="C66" i="3" s="1"/>
  <c r="C88" i="3" s="1"/>
  <c r="C84" i="3" s="1"/>
  <c r="C47" i="3"/>
  <c r="C49" i="3" s="1"/>
  <c r="C50" i="3" s="1"/>
  <c r="C72" i="3"/>
  <c r="C32" i="3"/>
  <c r="C62" i="1"/>
  <c r="C74" i="3" l="1"/>
  <c r="C75" i="3" s="1"/>
  <c r="C31" i="3"/>
  <c r="C55" i="3"/>
  <c r="C57" i="3" s="1"/>
  <c r="D10" i="1"/>
  <c r="H6" i="1"/>
  <c r="H5" i="1"/>
  <c r="C87" i="1"/>
  <c r="C64" i="1"/>
  <c r="C56" i="1"/>
  <c r="C85" i="1"/>
  <c r="C45" i="1"/>
  <c r="C58" i="3" l="1"/>
  <c r="C86" i="3" s="1"/>
  <c r="C83" i="3" s="1"/>
  <c r="C82" i="3" s="1"/>
  <c r="H10" i="1"/>
  <c r="G10" i="1" s="1"/>
  <c r="C71" i="1" s="1"/>
  <c r="C54" i="1" l="1"/>
  <c r="C73" i="1"/>
  <c r="C48" i="1"/>
  <c r="C26" i="1" l="1"/>
  <c r="C27" i="1" s="1"/>
  <c r="C46" i="1" l="1"/>
  <c r="C44" i="1"/>
  <c r="C40" i="1"/>
  <c r="C39" i="1"/>
  <c r="C25" i="1"/>
  <c r="C24" i="1" s="1"/>
  <c r="C63" i="1" s="1"/>
  <c r="C65" i="1" s="1"/>
  <c r="C66" i="1" s="1"/>
  <c r="C88" i="1" s="1"/>
  <c r="C90" i="1" s="1"/>
  <c r="C84" i="1" s="1"/>
  <c r="C33" i="1"/>
  <c r="D4" i="1"/>
  <c r="C34" i="1" s="1"/>
  <c r="C72" i="1" l="1"/>
  <c r="C74" i="1" s="1"/>
  <c r="C75" i="1" s="1"/>
  <c r="C38" i="1"/>
  <c r="C47" i="1"/>
  <c r="C49" i="1" s="1"/>
  <c r="C50" i="1" s="1"/>
  <c r="C32" i="1"/>
  <c r="C31" i="1" l="1"/>
  <c r="C55" i="1"/>
  <c r="C57" i="1" s="1"/>
  <c r="C58" i="1" s="1"/>
  <c r="C86" i="1" s="1"/>
  <c r="C83" i="1" s="1"/>
  <c r="C82" i="1" s="1"/>
</calcChain>
</file>

<file path=xl/sharedStrings.xml><?xml version="1.0" encoding="utf-8"?>
<sst xmlns="http://schemas.openxmlformats.org/spreadsheetml/2006/main" count="202" uniqueCount="79">
  <si>
    <t>Nb de coudes</t>
  </si>
  <si>
    <t>Nb de vannes</t>
  </si>
  <si>
    <t>m^3/h</t>
  </si>
  <si>
    <t>D - Diamètre (m)</t>
  </si>
  <si>
    <t>L - Longueur (m)</t>
  </si>
  <si>
    <t>Re = (V*D) / v</t>
  </si>
  <si>
    <t>V</t>
  </si>
  <si>
    <t>u - Viscosité cinématique</t>
  </si>
  <si>
    <t>l/s</t>
  </si>
  <si>
    <t>m^3/s</t>
  </si>
  <si>
    <t>e - Rugosité absolue des conduites</t>
  </si>
  <si>
    <t>Rugosité relative = e/D</t>
  </si>
  <si>
    <t>Somme des k</t>
  </si>
  <si>
    <t>Coefficient de perte de charges =&gt; k</t>
  </si>
  <si>
    <t>p</t>
  </si>
  <si>
    <t>Delta Pf sing (Pa) = Somme k * (p/2) * V²</t>
  </si>
  <si>
    <t>kPa</t>
  </si>
  <si>
    <r>
      <t xml:space="preserve">Perte de charges singulières total </t>
    </r>
    <r>
      <rPr>
        <sz val="12"/>
        <color rgb="FFFF0000"/>
        <rFont val="Calibri"/>
        <family val="2"/>
        <scheme val="minor"/>
      </rPr>
      <t>Pa =&gt; kPa</t>
    </r>
  </si>
  <si>
    <t>Eau</t>
  </si>
  <si>
    <t>Rétrécissement section (0,825 =&gt; 0,0762)</t>
  </si>
  <si>
    <t>Diamètre faible</t>
  </si>
  <si>
    <t>Diamètre élevé</t>
  </si>
  <si>
    <t>=((1/Cc)-1)²</t>
  </si>
  <si>
    <t>Cc = 0,59+0,41*(s/S)^3</t>
  </si>
  <si>
    <t>NPSH</t>
  </si>
  <si>
    <t>Circuit froid Aspiration</t>
  </si>
  <si>
    <t>Circuit froid Refoulement</t>
  </si>
  <si>
    <t>Perte de charge en aspiration</t>
  </si>
  <si>
    <t>Perte de charge en refoulement</t>
  </si>
  <si>
    <t>HMT = Hma + HMr</t>
  </si>
  <si>
    <t>Hma = ha + Ja</t>
  </si>
  <si>
    <t>HMr = hr + Jr + Pr</t>
  </si>
  <si>
    <t>ha = hauteur aspiration</t>
  </si>
  <si>
    <t>Ja = Pertes de charge aspiration du au frottement du liquide dans la tuyauterie et les accessoires.</t>
  </si>
  <si>
    <t>hr = hauteur refoulement</t>
  </si>
  <si>
    <t>Jr = Pertes de charge refoulement</t>
  </si>
  <si>
    <t>Section faible</t>
  </si>
  <si>
    <t>Section élevée</t>
  </si>
  <si>
    <t>P utile</t>
  </si>
  <si>
    <t>Pr = Pression résiduelle</t>
  </si>
  <si>
    <t>°C</t>
  </si>
  <si>
    <t>m^2/s</t>
  </si>
  <si>
    <t>kg/m^3</t>
  </si>
  <si>
    <t>T - température</t>
  </si>
  <si>
    <t>Symbole</t>
  </si>
  <si>
    <t>Unité</t>
  </si>
  <si>
    <t>m</t>
  </si>
  <si>
    <t>Conversion du débit</t>
  </si>
  <si>
    <r>
      <rPr>
        <b/>
        <sz val="11"/>
        <color rgb="FFFF0000"/>
        <rFont val="Calibri"/>
        <family val="2"/>
        <scheme val="minor"/>
      </rPr>
      <t>S = pi*(D²/4)</t>
    </r>
    <r>
      <rPr>
        <b/>
        <sz val="11"/>
        <color theme="2" tint="-0.249977111117893"/>
        <rFont val="Calibri"/>
        <family val="2"/>
        <scheme val="minor"/>
      </rPr>
      <t xml:space="preserve"> (m^2)</t>
    </r>
  </si>
  <si>
    <r>
      <t>V = Q / S</t>
    </r>
    <r>
      <rPr>
        <b/>
        <sz val="11"/>
        <color theme="2" tint="-0.249977111117893"/>
        <rFont val="Calibri"/>
        <family val="2"/>
        <scheme val="minor"/>
      </rPr>
      <t xml:space="preserve"> (m/s)</t>
    </r>
  </si>
  <si>
    <t>Calcul de la vitesse V</t>
  </si>
  <si>
    <t>Re - Nombre de Reynolds</t>
  </si>
  <si>
    <t>Résultats</t>
  </si>
  <si>
    <r>
      <t>ΔPf reg = (lmb/2)*p*V²*(L/D)</t>
    </r>
    <r>
      <rPr>
        <b/>
        <sz val="11"/>
        <color theme="2" tint="-0.249977111117893"/>
        <rFont val="Calibri"/>
        <family val="2"/>
        <scheme val="minor"/>
      </rPr>
      <t xml:space="preserve"> (Pa)</t>
    </r>
  </si>
  <si>
    <t>ρ - Masse volumique</t>
  </si>
  <si>
    <t>λ - coefficient de perte de charges</t>
  </si>
  <si>
    <t>λ - Calcul coefficient de perte de charges (Lecture diagramme de Moody) =&gt;</t>
  </si>
  <si>
    <t>Unités</t>
  </si>
  <si>
    <t>vannes</t>
  </si>
  <si>
    <t>coudes</t>
  </si>
  <si>
    <r>
      <rPr>
        <b/>
        <sz val="11"/>
        <color theme="0"/>
        <rFont val="Calibri"/>
        <family val="2"/>
        <scheme val="minor"/>
      </rPr>
      <t>Q - débit volumique</t>
    </r>
    <r>
      <rPr>
        <b/>
        <sz val="11"/>
        <color theme="2" tint="-0.249977111117893"/>
        <rFont val="Calibri"/>
        <family val="2"/>
        <scheme val="minor"/>
      </rPr>
      <t xml:space="preserve"> (m^3/s)</t>
    </r>
  </si>
  <si>
    <r>
      <rPr>
        <b/>
        <sz val="11"/>
        <color theme="0"/>
        <rFont val="Calibri"/>
        <family val="2"/>
        <scheme val="minor"/>
      </rPr>
      <t>D - diamètre de la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2" tint="-0.249977111117893"/>
        <rFont val="Calibri"/>
        <family val="2"/>
        <scheme val="minor"/>
      </rPr>
      <t>(m)</t>
    </r>
  </si>
  <si>
    <r>
      <rPr>
        <b/>
        <sz val="11"/>
        <color theme="0"/>
        <rFont val="Calibri"/>
        <family val="2"/>
        <scheme val="minor"/>
      </rPr>
      <t xml:space="preserve">V - Vitesse </t>
    </r>
    <r>
      <rPr>
        <b/>
        <sz val="11"/>
        <color theme="2" tint="-0.249977111117893"/>
        <rFont val="Calibri"/>
        <family val="2"/>
        <scheme val="minor"/>
      </rPr>
      <t>(m/s)</t>
    </r>
  </si>
  <si>
    <r>
      <rPr>
        <b/>
        <sz val="11"/>
        <color theme="0"/>
        <rFont val="Calibri"/>
        <family val="2"/>
        <scheme val="minor"/>
      </rPr>
      <t>D - Diamètre section</t>
    </r>
    <r>
      <rPr>
        <b/>
        <sz val="11"/>
        <color theme="2" tint="-0.249977111117893"/>
        <rFont val="Calibri"/>
        <family val="2"/>
        <scheme val="minor"/>
      </rPr>
      <t xml:space="preserve"> (m)</t>
    </r>
  </si>
  <si>
    <r>
      <rPr>
        <b/>
        <sz val="11"/>
        <color theme="0"/>
        <rFont val="Calibri"/>
        <family val="2"/>
        <scheme val="minor"/>
      </rPr>
      <t>v - viscosité cinématique</t>
    </r>
    <r>
      <rPr>
        <b/>
        <sz val="11"/>
        <color theme="2" tint="-0.249977111117893"/>
        <rFont val="Calibri"/>
        <family val="2"/>
        <scheme val="minor"/>
      </rPr>
      <t xml:space="preserve"> (m^2/s)</t>
    </r>
  </si>
  <si>
    <r>
      <rPr>
        <b/>
        <sz val="11"/>
        <color theme="0"/>
        <rFont val="Calibri"/>
        <family val="2"/>
        <scheme val="minor"/>
      </rPr>
      <t>e - irrégularités de surface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2" tint="-0.249977111117893"/>
        <rFont val="Calibri"/>
        <family val="2"/>
        <scheme val="minor"/>
      </rPr>
      <t>(mm)</t>
    </r>
  </si>
  <si>
    <r>
      <rPr>
        <b/>
        <sz val="11"/>
        <color theme="0"/>
        <rFont val="Calibri"/>
        <family val="2"/>
        <scheme val="minor"/>
      </rPr>
      <t>D - diamètre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2" tint="-0.249977111117893"/>
        <rFont val="Calibri"/>
        <family val="2"/>
        <scheme val="minor"/>
      </rPr>
      <t>(mm)</t>
    </r>
  </si>
  <si>
    <r>
      <rPr>
        <b/>
        <sz val="11"/>
        <color theme="0"/>
        <rFont val="Calibri"/>
        <family val="2"/>
        <scheme val="minor"/>
      </rPr>
      <t>L - longueur totale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2" tint="-0.249977111117893"/>
        <rFont val="Calibri"/>
        <family val="2"/>
        <scheme val="minor"/>
      </rPr>
      <t>(m)</t>
    </r>
  </si>
  <si>
    <r>
      <rPr>
        <b/>
        <sz val="11"/>
        <color theme="0"/>
        <rFont val="Calibri"/>
        <family val="2"/>
        <scheme val="minor"/>
      </rPr>
      <t>D - diamètre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2" tint="-0.249977111117893"/>
        <rFont val="Calibri"/>
        <family val="2"/>
        <scheme val="minor"/>
      </rPr>
      <t>(m)</t>
    </r>
  </si>
  <si>
    <r>
      <rPr>
        <b/>
        <sz val="11"/>
        <color theme="0"/>
        <rFont val="Calibri"/>
        <family val="2"/>
        <scheme val="minor"/>
      </rPr>
      <t xml:space="preserve">V - vitesse </t>
    </r>
    <r>
      <rPr>
        <b/>
        <sz val="11"/>
        <color theme="2" tint="-0.249977111117893"/>
        <rFont val="Calibri"/>
        <family val="2"/>
        <scheme val="minor"/>
      </rPr>
      <t>(m/s)</t>
    </r>
  </si>
  <si>
    <r>
      <rPr>
        <b/>
        <sz val="11"/>
        <color theme="0"/>
        <rFont val="Calibri"/>
        <family val="2"/>
        <scheme val="minor"/>
      </rPr>
      <t>ρ - masse volumique</t>
    </r>
    <r>
      <rPr>
        <b/>
        <sz val="11"/>
        <color theme="2" tint="-0.249977111117893"/>
        <rFont val="Calibri"/>
        <family val="2"/>
        <scheme val="minor"/>
      </rPr>
      <t xml:space="preserve"> (kg/m^3)</t>
    </r>
  </si>
  <si>
    <r>
      <rPr>
        <b/>
        <sz val="11"/>
        <color theme="0"/>
        <rFont val="Calibri"/>
        <family val="2"/>
        <scheme val="minor"/>
      </rPr>
      <t>ΔPf reg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theme="2" tint="-0.249977111117893"/>
        <rFont val="Calibri"/>
        <family val="2"/>
        <scheme val="minor"/>
      </rPr>
      <t>(kPa)</t>
    </r>
  </si>
  <si>
    <r>
      <rPr>
        <b/>
        <sz val="11"/>
        <color theme="0"/>
        <rFont val="Calibri"/>
        <family val="2"/>
        <scheme val="minor"/>
      </rPr>
      <t>V - vitesse</t>
    </r>
    <r>
      <rPr>
        <b/>
        <sz val="11"/>
        <color theme="2" tint="-0.249977111117893"/>
        <rFont val="Calibri"/>
        <family val="2"/>
        <scheme val="minor"/>
      </rPr>
      <t xml:space="preserve"> (m/s)</t>
    </r>
  </si>
  <si>
    <r>
      <rPr>
        <b/>
        <sz val="11"/>
        <color theme="0"/>
        <rFont val="Calibri"/>
        <family val="2"/>
        <scheme val="minor"/>
      </rPr>
      <t xml:space="preserve">ρ - masse volumique </t>
    </r>
    <r>
      <rPr>
        <b/>
        <sz val="11"/>
        <color theme="2" tint="-0.249977111117893"/>
        <rFont val="Calibri"/>
        <family val="2"/>
        <scheme val="minor"/>
      </rPr>
      <t>(kg/m^3)</t>
    </r>
  </si>
  <si>
    <t>sans unités</t>
  </si>
  <si>
    <r>
      <t xml:space="preserve">Perte de charges régulières globales </t>
    </r>
    <r>
      <rPr>
        <sz val="11"/>
        <color theme="6"/>
        <rFont val="Calibri"/>
        <family val="2"/>
        <scheme val="minor"/>
      </rPr>
      <t xml:space="preserve"> (Pa =&gt; kPa)</t>
    </r>
  </si>
  <si>
    <r>
      <t>Perte de charges Refoulement</t>
    </r>
    <r>
      <rPr>
        <b/>
        <sz val="11"/>
        <color theme="6"/>
        <rFont val="Calibri"/>
        <family val="2"/>
        <scheme val="minor"/>
      </rPr>
      <t xml:space="preserve"> (</t>
    </r>
    <r>
      <rPr>
        <sz val="12"/>
        <color theme="6"/>
        <rFont val="Calibri"/>
        <family val="2"/>
        <scheme val="minor"/>
      </rPr>
      <t>Pa =&gt; kPa)</t>
    </r>
  </si>
  <si>
    <r>
      <t xml:space="preserve">Perte de charges Aspiration </t>
    </r>
    <r>
      <rPr>
        <b/>
        <sz val="11"/>
        <color theme="6"/>
        <rFont val="Calibri"/>
        <family val="2"/>
        <scheme val="minor"/>
      </rPr>
      <t>(</t>
    </r>
    <r>
      <rPr>
        <sz val="12"/>
        <color theme="6"/>
        <rFont val="Calibri"/>
        <family val="2"/>
        <scheme val="minor"/>
      </rPr>
      <t>Pa =&gt; kPa)</t>
    </r>
  </si>
  <si>
    <t xml:space="preserve">L - Longueur (m)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</si>
</sst>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6" xfId="0" applyNumberFormat="1" applyBorder="1"/>
    <xf numFmtId="0" fontId="0" fillId="0" borderId="5" xfId="0" applyBorder="1"/>
    <xf numFmtId="165" fontId="0" fillId="0" borderId="4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/>
    <xf numFmtId="166" fontId="0" fillId="0" borderId="5" xfId="0" applyNumberFormat="1" applyBorder="1"/>
    <xf numFmtId="1" fontId="0" fillId="0" borderId="5" xfId="0" applyNumberFormat="1" applyBorder="1"/>
    <xf numFmtId="164" fontId="1" fillId="0" borderId="5" xfId="0" applyNumberFormat="1" applyFont="1" applyBorder="1"/>
    <xf numFmtId="2" fontId="0" fillId="0" borderId="5" xfId="0" applyNumberForma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0" fillId="0" borderId="5" xfId="0" applyNumberFormat="1" applyBorder="1"/>
    <xf numFmtId="2" fontId="0" fillId="0" borderId="6" xfId="0" applyNumberFormat="1" applyBorder="1"/>
    <xf numFmtId="2" fontId="0" fillId="0" borderId="4" xfId="0" applyNumberFormat="1" applyBorder="1"/>
    <xf numFmtId="0" fontId="0" fillId="0" borderId="0" xfId="0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24" xfId="0" applyFill="1" applyBorder="1"/>
    <xf numFmtId="0" fontId="0" fillId="3" borderId="25" xfId="0" applyFill="1" applyBorder="1"/>
    <xf numFmtId="0" fontId="3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3" fillId="3" borderId="2" xfId="0" applyFont="1" applyFill="1" applyBorder="1"/>
    <xf numFmtId="0" fontId="3" fillId="0" borderId="1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/>
    <xf numFmtId="165" fontId="0" fillId="5" borderId="4" xfId="0" applyNumberFormat="1" applyFill="1" applyBorder="1"/>
    <xf numFmtId="164" fontId="0" fillId="5" borderId="5" xfId="0" applyNumberFormat="1" applyFill="1" applyBorder="1"/>
    <xf numFmtId="0" fontId="0" fillId="5" borderId="8" xfId="0" applyFill="1" applyBorder="1"/>
    <xf numFmtId="11" fontId="0" fillId="5" borderId="5" xfId="0" applyNumberFormat="1" applyFill="1" applyBorder="1"/>
    <xf numFmtId="0" fontId="0" fillId="0" borderId="26" xfId="0" applyFill="1" applyBorder="1"/>
    <xf numFmtId="11" fontId="0" fillId="0" borderId="27" xfId="0" applyNumberFormat="1" applyFill="1" applyBorder="1"/>
    <xf numFmtId="0" fontId="0" fillId="0" borderId="28" xfId="0" applyFill="1" applyBorder="1"/>
    <xf numFmtId="164" fontId="0" fillId="5" borderId="4" xfId="0" applyNumberFormat="1" applyFont="1" applyFill="1" applyBorder="1"/>
    <xf numFmtId="2" fontId="0" fillId="5" borderId="4" xfId="0" applyNumberFormat="1" applyFont="1" applyFill="1" applyBorder="1" applyAlignment="1">
      <alignment horizontal="right"/>
    </xf>
    <xf numFmtId="2" fontId="0" fillId="5" borderId="2" xfId="0" applyNumberFormat="1" applyFill="1" applyBorder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64" fontId="0" fillId="5" borderId="4" xfId="0" applyNumberFormat="1" applyFont="1" applyFill="1" applyBorder="1" applyAlignment="1">
      <alignment horizontal="right"/>
    </xf>
    <xf numFmtId="167" fontId="0" fillId="0" borderId="0" xfId="0" applyNumberFormat="1" applyFill="1" applyAlignment="1">
      <alignment horizontal="center"/>
    </xf>
    <xf numFmtId="166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83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0"/>
  <sheetViews>
    <sheetView tabSelected="1" topLeftCell="A60" zoomScale="85" zoomScaleNormal="85" workbookViewId="0">
      <selection activeCell="C74" sqref="C74"/>
    </sheetView>
  </sheetViews>
  <sheetFormatPr baseColWidth="10" defaultRowHeight="14.4" x14ac:dyDescent="0.3"/>
  <cols>
    <col min="2" max="2" width="94.109375" customWidth="1"/>
    <col min="3" max="3" width="28" customWidth="1"/>
    <col min="4" max="4" width="25.109375" customWidth="1"/>
    <col min="5" max="5" width="24.44140625" customWidth="1"/>
    <col min="6" max="6" width="25" customWidth="1"/>
    <col min="7" max="8" width="41.88671875" customWidth="1"/>
    <col min="9" max="9" width="34" customWidth="1"/>
  </cols>
  <sheetData>
    <row r="1" spans="2:9" ht="15" thickBot="1" x14ac:dyDescent="0.35"/>
    <row r="2" spans="2:9" ht="15" thickBot="1" x14ac:dyDescent="0.35">
      <c r="B2" s="28" t="s">
        <v>44</v>
      </c>
      <c r="C2" s="38" t="s">
        <v>43</v>
      </c>
      <c r="D2" s="36" t="s">
        <v>7</v>
      </c>
      <c r="E2" s="37" t="s">
        <v>54</v>
      </c>
      <c r="G2" s="47" t="s">
        <v>20</v>
      </c>
      <c r="H2" s="51">
        <v>0.1</v>
      </c>
    </row>
    <row r="3" spans="2:9" x14ac:dyDescent="0.3">
      <c r="B3" s="30" t="s">
        <v>45</v>
      </c>
      <c r="C3" s="35" t="s">
        <v>40</v>
      </c>
      <c r="D3" s="31" t="s">
        <v>41</v>
      </c>
      <c r="E3" s="32" t="s">
        <v>42</v>
      </c>
      <c r="G3" s="47"/>
      <c r="H3" s="51"/>
    </row>
    <row r="4" spans="2:9" ht="15" thickBot="1" x14ac:dyDescent="0.35">
      <c r="B4" s="30" t="s">
        <v>18</v>
      </c>
      <c r="C4" s="62">
        <v>14</v>
      </c>
      <c r="D4" s="63">
        <f>1.174*10^-6</f>
        <v>1.1739999999999999E-6</v>
      </c>
      <c r="E4" s="64">
        <v>997</v>
      </c>
      <c r="G4" s="47" t="s">
        <v>21</v>
      </c>
      <c r="H4" s="51">
        <v>0.82499999999999996</v>
      </c>
    </row>
    <row r="5" spans="2:9" x14ac:dyDescent="0.3">
      <c r="G5" s="47" t="s">
        <v>36</v>
      </c>
      <c r="H5" s="68">
        <f>PI()*(H2^2/4)</f>
        <v>7.8539816339744835E-3</v>
      </c>
    </row>
    <row r="6" spans="2:9" ht="15" thickBot="1" x14ac:dyDescent="0.35">
      <c r="G6" s="46" t="s">
        <v>37</v>
      </c>
      <c r="H6" s="69">
        <f>PI()*(H4^2/4)</f>
        <v>0.53456162496238813</v>
      </c>
    </row>
    <row r="7" spans="2:9" x14ac:dyDescent="0.3">
      <c r="B7" s="28" t="s">
        <v>44</v>
      </c>
      <c r="C7" s="50" t="s">
        <v>3</v>
      </c>
      <c r="D7" s="50" t="s">
        <v>0</v>
      </c>
      <c r="E7" s="50" t="s">
        <v>4</v>
      </c>
      <c r="F7" s="50" t="s">
        <v>1</v>
      </c>
      <c r="G7" s="50" t="s">
        <v>19</v>
      </c>
      <c r="H7" s="52" t="s">
        <v>22</v>
      </c>
      <c r="I7" s="53" t="s">
        <v>10</v>
      </c>
    </row>
    <row r="8" spans="2:9" x14ac:dyDescent="0.3">
      <c r="B8" s="30" t="s">
        <v>45</v>
      </c>
      <c r="C8" s="35" t="s">
        <v>46</v>
      </c>
      <c r="D8" s="31" t="s">
        <v>59</v>
      </c>
      <c r="E8" s="31" t="s">
        <v>46</v>
      </c>
      <c r="F8" s="31" t="s">
        <v>58</v>
      </c>
      <c r="G8" s="31" t="s">
        <v>46</v>
      </c>
      <c r="H8" s="55"/>
      <c r="I8" s="32" t="s">
        <v>74</v>
      </c>
    </row>
    <row r="9" spans="2:9" ht="15" thickBot="1" x14ac:dyDescent="0.35">
      <c r="B9" s="30" t="s">
        <v>25</v>
      </c>
      <c r="C9" s="57">
        <v>0.1</v>
      </c>
      <c r="D9" s="2">
        <v>6</v>
      </c>
      <c r="E9" s="2">
        <v>4</v>
      </c>
      <c r="F9" s="2">
        <v>1</v>
      </c>
      <c r="G9" s="2">
        <v>1</v>
      </c>
      <c r="H9" s="2" t="s">
        <v>23</v>
      </c>
      <c r="I9" s="76">
        <v>1.5E-3</v>
      </c>
    </row>
    <row r="10" spans="2:9" x14ac:dyDescent="0.3">
      <c r="B10" s="30" t="s">
        <v>13</v>
      </c>
      <c r="C10" s="42"/>
      <c r="D10" s="18">
        <f>0.6*1.7</f>
        <v>1.02</v>
      </c>
      <c r="E10" s="42"/>
      <c r="F10" s="71">
        <v>1.57</v>
      </c>
      <c r="G10" s="70">
        <f>((1/H10)-1)^2</f>
        <v>0.48290201879672778</v>
      </c>
      <c r="H10" s="70">
        <f>0.59+0.41*(H5/H6)^3</f>
        <v>0.59000130034971077</v>
      </c>
      <c r="I10" s="42"/>
    </row>
    <row r="11" spans="2:9" ht="15" thickBot="1" x14ac:dyDescent="0.35"/>
    <row r="12" spans="2:9" x14ac:dyDescent="0.3">
      <c r="B12" s="28" t="s">
        <v>44</v>
      </c>
      <c r="C12" s="44" t="s">
        <v>3</v>
      </c>
      <c r="D12" s="44" t="s">
        <v>0</v>
      </c>
      <c r="E12" s="44" t="s">
        <v>78</v>
      </c>
      <c r="F12" s="45" t="s">
        <v>1</v>
      </c>
    </row>
    <row r="13" spans="2:9" x14ac:dyDescent="0.3">
      <c r="B13" s="39" t="s">
        <v>45</v>
      </c>
      <c r="C13" s="48"/>
      <c r="D13" s="48"/>
      <c r="E13" s="48"/>
      <c r="F13" s="49"/>
    </row>
    <row r="14" spans="2:9" ht="15" thickBot="1" x14ac:dyDescent="0.35">
      <c r="B14" s="30" t="s">
        <v>26</v>
      </c>
      <c r="C14" s="57">
        <v>0.1</v>
      </c>
      <c r="D14" s="2">
        <v>1</v>
      </c>
      <c r="E14" s="2">
        <v>4</v>
      </c>
      <c r="F14" s="3">
        <v>1</v>
      </c>
    </row>
    <row r="15" spans="2:9" ht="15" thickBot="1" x14ac:dyDescent="0.35">
      <c r="B15" s="29" t="s">
        <v>13</v>
      </c>
      <c r="C15" s="42"/>
      <c r="D15" s="18">
        <v>1.02</v>
      </c>
      <c r="E15" s="42"/>
      <c r="F15" s="71">
        <v>1.57</v>
      </c>
    </row>
    <row r="16" spans="2:9" ht="15" thickBot="1" x14ac:dyDescent="0.35"/>
    <row r="17" spans="2:5" x14ac:dyDescent="0.3">
      <c r="B17" s="28" t="s">
        <v>57</v>
      </c>
      <c r="C17" s="40" t="s">
        <v>8</v>
      </c>
      <c r="D17" s="33" t="s">
        <v>2</v>
      </c>
      <c r="E17" s="34" t="s">
        <v>9</v>
      </c>
    </row>
    <row r="18" spans="2:5" ht="15" thickBot="1" x14ac:dyDescent="0.35">
      <c r="B18" s="29" t="s">
        <v>47</v>
      </c>
      <c r="C18" s="41">
        <v>6</v>
      </c>
      <c r="D18" s="20">
        <f>C18*3.6</f>
        <v>21.6</v>
      </c>
      <c r="E18" s="19">
        <f>C18/1000</f>
        <v>6.0000000000000001E-3</v>
      </c>
    </row>
    <row r="22" spans="2:5" ht="15" thickBot="1" x14ac:dyDescent="0.35"/>
    <row r="23" spans="2:5" ht="15" thickBot="1" x14ac:dyDescent="0.35">
      <c r="B23" s="27" t="s">
        <v>50</v>
      </c>
      <c r="C23" s="27" t="s">
        <v>52</v>
      </c>
    </row>
    <row r="24" spans="2:5" x14ac:dyDescent="0.3">
      <c r="B24" s="21" t="s">
        <v>49</v>
      </c>
      <c r="C24" s="59">
        <f>C25/C27</f>
        <v>0.76394372684109757</v>
      </c>
    </row>
    <row r="25" spans="2:5" x14ac:dyDescent="0.3">
      <c r="B25" s="22" t="s">
        <v>60</v>
      </c>
      <c r="C25" s="5">
        <f>E18</f>
        <v>6.0000000000000001E-3</v>
      </c>
    </row>
    <row r="26" spans="2:5" x14ac:dyDescent="0.3">
      <c r="B26" s="22" t="s">
        <v>61</v>
      </c>
      <c r="C26" s="5">
        <f>C9</f>
        <v>0.1</v>
      </c>
    </row>
    <row r="27" spans="2:5" ht="15" thickBot="1" x14ac:dyDescent="0.35">
      <c r="B27" s="23" t="s">
        <v>48</v>
      </c>
      <c r="C27" s="58">
        <f>PI()*(C26^2/4)</f>
        <v>7.8539816339744835E-3</v>
      </c>
    </row>
    <row r="29" spans="2:5" ht="15" thickBot="1" x14ac:dyDescent="0.35"/>
    <row r="30" spans="2:5" ht="15" thickBot="1" x14ac:dyDescent="0.35">
      <c r="B30" s="27" t="s">
        <v>51</v>
      </c>
      <c r="C30" s="27" t="s">
        <v>52</v>
      </c>
    </row>
    <row r="31" spans="2:5" x14ac:dyDescent="0.3">
      <c r="B31" s="21" t="s">
        <v>5</v>
      </c>
      <c r="C31" s="59">
        <f>(C32*C33)/C34</f>
        <v>65071.867703671007</v>
      </c>
    </row>
    <row r="32" spans="2:5" x14ac:dyDescent="0.3">
      <c r="B32" s="24" t="s">
        <v>62</v>
      </c>
      <c r="C32" s="1">
        <f>C24</f>
        <v>0.76394372684109757</v>
      </c>
    </row>
    <row r="33" spans="2:3" x14ac:dyDescent="0.3">
      <c r="B33" s="24" t="s">
        <v>63</v>
      </c>
      <c r="C33" s="1">
        <f>C9</f>
        <v>0.1</v>
      </c>
    </row>
    <row r="34" spans="2:3" ht="15" thickBot="1" x14ac:dyDescent="0.35">
      <c r="B34" s="23" t="s">
        <v>64</v>
      </c>
      <c r="C34" s="7">
        <f>D4</f>
        <v>1.1739999999999999E-6</v>
      </c>
    </row>
    <row r="36" spans="2:3" ht="15" thickBot="1" x14ac:dyDescent="0.35"/>
    <row r="37" spans="2:3" ht="15" thickBot="1" x14ac:dyDescent="0.35">
      <c r="B37" s="26" t="s">
        <v>56</v>
      </c>
      <c r="C37" s="60">
        <v>1.9E-2</v>
      </c>
    </row>
    <row r="38" spans="2:3" x14ac:dyDescent="0.3">
      <c r="B38" s="21" t="s">
        <v>11</v>
      </c>
      <c r="C38" s="61">
        <f>C39/(C40*10^2)</f>
        <v>1.5000000000000001E-4</v>
      </c>
    </row>
    <row r="39" spans="2:3" x14ac:dyDescent="0.3">
      <c r="B39" s="24" t="s">
        <v>65</v>
      </c>
      <c r="C39" s="10">
        <f>I9</f>
        <v>1.5E-3</v>
      </c>
    </row>
    <row r="40" spans="2:3" ht="15" thickBot="1" x14ac:dyDescent="0.35">
      <c r="B40" s="23" t="s">
        <v>66</v>
      </c>
      <c r="C40" s="4">
        <f>C9</f>
        <v>0.1</v>
      </c>
    </row>
    <row r="41" spans="2:3" x14ac:dyDescent="0.3">
      <c r="B41" s="54"/>
    </row>
    <row r="42" spans="2:3" ht="15" thickBot="1" x14ac:dyDescent="0.35">
      <c r="B42" s="43"/>
    </row>
    <row r="43" spans="2:3" ht="15" thickBot="1" x14ac:dyDescent="0.35">
      <c r="B43" s="21" t="s">
        <v>75</v>
      </c>
      <c r="C43" s="8"/>
    </row>
    <row r="44" spans="2:3" x14ac:dyDescent="0.3">
      <c r="B44" s="28" t="s">
        <v>55</v>
      </c>
      <c r="C44" s="6">
        <f>C37</f>
        <v>1.9E-2</v>
      </c>
    </row>
    <row r="45" spans="2:3" x14ac:dyDescent="0.3">
      <c r="B45" s="24" t="s">
        <v>67</v>
      </c>
      <c r="C45" s="11">
        <f>E9+E14</f>
        <v>8</v>
      </c>
    </row>
    <row r="46" spans="2:3" x14ac:dyDescent="0.3">
      <c r="B46" s="24" t="s">
        <v>68</v>
      </c>
      <c r="C46" s="6">
        <f>C9</f>
        <v>0.1</v>
      </c>
    </row>
    <row r="47" spans="2:3" x14ac:dyDescent="0.3">
      <c r="B47" s="24" t="s">
        <v>69</v>
      </c>
      <c r="C47" s="1">
        <f>C24</f>
        <v>0.76394372684109757</v>
      </c>
    </row>
    <row r="48" spans="2:3" x14ac:dyDescent="0.3">
      <c r="B48" s="24" t="s">
        <v>70</v>
      </c>
      <c r="C48" s="11">
        <f>E4</f>
        <v>997</v>
      </c>
    </row>
    <row r="49" spans="2:3" x14ac:dyDescent="0.3">
      <c r="B49" s="25" t="s">
        <v>53</v>
      </c>
      <c r="C49" s="12">
        <f>(C44/2)*C48*C47^2*(E9/C9)</f>
        <v>221.10649133607981</v>
      </c>
    </row>
    <row r="50" spans="2:3" ht="15" thickBot="1" x14ac:dyDescent="0.35">
      <c r="B50" s="23" t="s">
        <v>71</v>
      </c>
      <c r="C50" s="65">
        <f>C49/1000</f>
        <v>0.22110649133607982</v>
      </c>
    </row>
    <row r="52" spans="2:3" ht="15" thickBot="1" x14ac:dyDescent="0.35"/>
    <row r="53" spans="2:3" ht="16.2" thickBot="1" x14ac:dyDescent="0.35">
      <c r="B53" s="25" t="s">
        <v>77</v>
      </c>
      <c r="C53" s="27" t="s">
        <v>52</v>
      </c>
    </row>
    <row r="54" spans="2:3" x14ac:dyDescent="0.3">
      <c r="B54" s="28" t="s">
        <v>12</v>
      </c>
      <c r="C54" s="13">
        <f>(D9*D10+F9*F10+G10+C79)</f>
        <v>9.4229020187967283</v>
      </c>
    </row>
    <row r="55" spans="2:3" x14ac:dyDescent="0.3">
      <c r="B55" s="24" t="s">
        <v>72</v>
      </c>
      <c r="C55" s="13">
        <f>C32</f>
        <v>0.76394372684109757</v>
      </c>
    </row>
    <row r="56" spans="2:3" x14ac:dyDescent="0.3">
      <c r="B56" s="24" t="s">
        <v>73</v>
      </c>
      <c r="C56" s="73">
        <f>E4</f>
        <v>997</v>
      </c>
    </row>
    <row r="57" spans="2:3" x14ac:dyDescent="0.3">
      <c r="B57" s="25" t="s">
        <v>15</v>
      </c>
      <c r="C57" s="72">
        <f>C54*(C56/2)*C55^2</f>
        <v>2741.4010573418527</v>
      </c>
    </row>
    <row r="58" spans="2:3" ht="15" thickBot="1" x14ac:dyDescent="0.35">
      <c r="B58" s="30" t="s">
        <v>16</v>
      </c>
      <c r="C58" s="74">
        <f>C57/1000</f>
        <v>2.7414010573418528</v>
      </c>
    </row>
    <row r="60" spans="2:3" ht="15" thickBot="1" x14ac:dyDescent="0.35"/>
    <row r="61" spans="2:3" ht="16.2" thickBot="1" x14ac:dyDescent="0.35">
      <c r="B61" s="25" t="s">
        <v>76</v>
      </c>
      <c r="C61" s="27" t="s">
        <v>52</v>
      </c>
    </row>
    <row r="62" spans="2:3" x14ac:dyDescent="0.3">
      <c r="B62" s="30" t="s">
        <v>12</v>
      </c>
      <c r="C62" s="13">
        <f>(C80+D14*D15+F14*F15)</f>
        <v>5.39</v>
      </c>
    </row>
    <row r="63" spans="2:3" x14ac:dyDescent="0.3">
      <c r="B63" s="30" t="s">
        <v>6</v>
      </c>
      <c r="C63" s="13">
        <f>C24</f>
        <v>0.76394372684109757</v>
      </c>
    </row>
    <row r="64" spans="2:3" x14ac:dyDescent="0.3">
      <c r="B64" s="30" t="s">
        <v>14</v>
      </c>
      <c r="C64" s="73">
        <f>E4</f>
        <v>997</v>
      </c>
    </row>
    <row r="65" spans="2:3" x14ac:dyDescent="0.3">
      <c r="B65" s="25" t="s">
        <v>15</v>
      </c>
      <c r="C65" s="72">
        <f>C62*(C64/2)*C63^2</f>
        <v>1568.1105109229875</v>
      </c>
    </row>
    <row r="66" spans="2:3" ht="15" thickBot="1" x14ac:dyDescent="0.35">
      <c r="B66" s="30" t="s">
        <v>16</v>
      </c>
      <c r="C66" s="74">
        <f>C65/1000</f>
        <v>1.5681105109229876</v>
      </c>
    </row>
    <row r="69" spans="2:3" ht="15" thickBot="1" x14ac:dyDescent="0.35"/>
    <row r="70" spans="2:3" ht="16.2" thickBot="1" x14ac:dyDescent="0.35">
      <c r="B70" s="25" t="s">
        <v>17</v>
      </c>
      <c r="C70" s="27" t="s">
        <v>52</v>
      </c>
    </row>
    <row r="71" spans="2:3" x14ac:dyDescent="0.3">
      <c r="B71" s="30" t="s">
        <v>12</v>
      </c>
      <c r="C71" s="13">
        <f>(D10*D9+F9*F10+G10+C79)+(D14*D15+F14*F15+C80)</f>
        <v>14.812902018796727</v>
      </c>
    </row>
    <row r="72" spans="2:3" x14ac:dyDescent="0.3">
      <c r="B72" s="30" t="s">
        <v>6</v>
      </c>
      <c r="C72" s="13">
        <f>C24</f>
        <v>0.76394372684109757</v>
      </c>
    </row>
    <row r="73" spans="2:3" x14ac:dyDescent="0.3">
      <c r="B73" s="30" t="s">
        <v>14</v>
      </c>
      <c r="C73" s="73">
        <f>E4</f>
        <v>997</v>
      </c>
    </row>
    <row r="74" spans="2:3" x14ac:dyDescent="0.3">
      <c r="B74" s="25" t="s">
        <v>15</v>
      </c>
      <c r="C74" s="14">
        <f>C71*(C73/2)*C72^2</f>
        <v>4309.5115682648402</v>
      </c>
    </row>
    <row r="75" spans="2:3" ht="15" thickBot="1" x14ac:dyDescent="0.35">
      <c r="B75" s="30" t="s">
        <v>16</v>
      </c>
      <c r="C75" s="66">
        <f>C74/1000</f>
        <v>4.3095115682648402</v>
      </c>
    </row>
    <row r="77" spans="2:3" ht="15" thickBot="1" x14ac:dyDescent="0.35"/>
    <row r="78" spans="2:3" x14ac:dyDescent="0.3">
      <c r="B78" s="30" t="s">
        <v>24</v>
      </c>
      <c r="C78" s="9"/>
    </row>
    <row r="79" spans="2:3" x14ac:dyDescent="0.3">
      <c r="B79" s="30" t="s">
        <v>27</v>
      </c>
      <c r="C79" s="15">
        <v>1.25</v>
      </c>
    </row>
    <row r="80" spans="2:3" ht="15" thickBot="1" x14ac:dyDescent="0.35">
      <c r="B80" s="30" t="s">
        <v>28</v>
      </c>
      <c r="C80" s="4">
        <v>2.8</v>
      </c>
    </row>
    <row r="81" spans="2:3" ht="15" thickBot="1" x14ac:dyDescent="0.35"/>
    <row r="82" spans="2:3" x14ac:dyDescent="0.3">
      <c r="B82" s="25" t="s">
        <v>29</v>
      </c>
      <c r="C82" s="67">
        <f>C83+C84</f>
        <v>13.341401057341852</v>
      </c>
    </row>
    <row r="83" spans="2:3" x14ac:dyDescent="0.3">
      <c r="B83" s="25" t="s">
        <v>30</v>
      </c>
      <c r="C83" s="15">
        <f>C85+C86</f>
        <v>6.7414010573418528</v>
      </c>
    </row>
    <row r="84" spans="2:3" x14ac:dyDescent="0.3">
      <c r="B84" s="25" t="s">
        <v>31</v>
      </c>
      <c r="C84" s="15">
        <f>C90+C88+C87</f>
        <v>6.6</v>
      </c>
    </row>
    <row r="85" spans="2:3" x14ac:dyDescent="0.3">
      <c r="B85" s="30" t="s">
        <v>32</v>
      </c>
      <c r="C85" s="6">
        <f>E9</f>
        <v>4</v>
      </c>
    </row>
    <row r="86" spans="2:3" x14ac:dyDescent="0.3">
      <c r="B86" s="30" t="s">
        <v>33</v>
      </c>
      <c r="C86" s="15">
        <f>C58</f>
        <v>2.7414010573418528</v>
      </c>
    </row>
    <row r="87" spans="2:3" x14ac:dyDescent="0.3">
      <c r="B87" s="30" t="s">
        <v>34</v>
      </c>
      <c r="C87" s="6">
        <f>E14</f>
        <v>4</v>
      </c>
    </row>
    <row r="88" spans="2:3" x14ac:dyDescent="0.3">
      <c r="B88" s="30" t="s">
        <v>35</v>
      </c>
      <c r="C88" s="15">
        <f>C66</f>
        <v>1.5681105109229876</v>
      </c>
    </row>
    <row r="89" spans="2:3" x14ac:dyDescent="0.3">
      <c r="B89" s="30" t="s">
        <v>38</v>
      </c>
      <c r="C89" s="16">
        <v>6.6</v>
      </c>
    </row>
    <row r="90" spans="2:3" ht="15" thickBot="1" x14ac:dyDescent="0.35">
      <c r="B90" s="30" t="s">
        <v>39</v>
      </c>
      <c r="C90" s="17">
        <f>C89-C88-C87</f>
        <v>1.0318894890770123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BF81-FA0A-470D-8755-591C4B67C7FF}">
  <dimension ref="B1:I90"/>
  <sheetViews>
    <sheetView topLeftCell="A17" workbookViewId="0">
      <selection activeCell="C89" sqref="C89"/>
    </sheetView>
  </sheetViews>
  <sheetFormatPr baseColWidth="10" defaultRowHeight="14.4" x14ac:dyDescent="0.3"/>
  <cols>
    <col min="2" max="2" width="94.109375" customWidth="1"/>
    <col min="3" max="3" width="28" customWidth="1"/>
    <col min="4" max="4" width="25.109375" customWidth="1"/>
    <col min="5" max="5" width="24.44140625" customWidth="1"/>
    <col min="6" max="6" width="25" customWidth="1"/>
    <col min="7" max="8" width="41.88671875" customWidth="1"/>
    <col min="9" max="9" width="34" customWidth="1"/>
  </cols>
  <sheetData>
    <row r="1" spans="2:9" ht="15" thickBot="1" x14ac:dyDescent="0.35"/>
    <row r="2" spans="2:9" ht="15" thickBot="1" x14ac:dyDescent="0.35">
      <c r="B2" s="28" t="s">
        <v>44</v>
      </c>
      <c r="C2" s="38" t="s">
        <v>43</v>
      </c>
      <c r="D2" s="36" t="s">
        <v>7</v>
      </c>
      <c r="E2" s="37" t="s">
        <v>54</v>
      </c>
      <c r="G2" s="47" t="s">
        <v>20</v>
      </c>
      <c r="H2" s="51">
        <v>0.1</v>
      </c>
    </row>
    <row r="3" spans="2:9" x14ac:dyDescent="0.3">
      <c r="B3" s="30" t="s">
        <v>45</v>
      </c>
      <c r="C3" s="35" t="s">
        <v>40</v>
      </c>
      <c r="D3" s="31" t="s">
        <v>41</v>
      </c>
      <c r="E3" s="32" t="s">
        <v>42</v>
      </c>
      <c r="G3" s="47"/>
      <c r="H3" s="51"/>
    </row>
    <row r="4" spans="2:9" ht="15" thickBot="1" x14ac:dyDescent="0.35">
      <c r="B4" s="30" t="s">
        <v>18</v>
      </c>
      <c r="C4" s="62">
        <v>14</v>
      </c>
      <c r="D4" s="63">
        <f>1.174*10^-6</f>
        <v>1.1739999999999999E-6</v>
      </c>
      <c r="E4" s="64">
        <v>997</v>
      </c>
      <c r="G4" s="47" t="s">
        <v>21</v>
      </c>
      <c r="H4" s="51">
        <v>0.82499999999999996</v>
      </c>
    </row>
    <row r="5" spans="2:9" x14ac:dyDescent="0.3">
      <c r="G5" s="47" t="s">
        <v>36</v>
      </c>
      <c r="H5" s="68">
        <f>PI()*(H2^2/4)</f>
        <v>7.8539816339744835E-3</v>
      </c>
    </row>
    <row r="6" spans="2:9" ht="15" thickBot="1" x14ac:dyDescent="0.35">
      <c r="G6" s="46" t="s">
        <v>37</v>
      </c>
      <c r="H6" s="69">
        <f>PI()*(H4^2/4)</f>
        <v>0.53456162496238813</v>
      </c>
    </row>
    <row r="7" spans="2:9" x14ac:dyDescent="0.3">
      <c r="B7" s="28" t="s">
        <v>44</v>
      </c>
      <c r="C7" s="50" t="s">
        <v>3</v>
      </c>
      <c r="D7" s="50" t="s">
        <v>0</v>
      </c>
      <c r="E7" s="50" t="s">
        <v>4</v>
      </c>
      <c r="F7" s="50" t="s">
        <v>1</v>
      </c>
      <c r="G7" s="50" t="s">
        <v>19</v>
      </c>
      <c r="H7" s="52" t="s">
        <v>22</v>
      </c>
      <c r="I7" s="53" t="s">
        <v>10</v>
      </c>
    </row>
    <row r="8" spans="2:9" x14ac:dyDescent="0.3">
      <c r="B8" s="30" t="s">
        <v>45</v>
      </c>
      <c r="C8" s="35" t="s">
        <v>46</v>
      </c>
      <c r="D8" s="31" t="s">
        <v>59</v>
      </c>
      <c r="E8" s="31" t="s">
        <v>46</v>
      </c>
      <c r="F8" s="31" t="s">
        <v>58</v>
      </c>
      <c r="G8" s="31" t="s">
        <v>46</v>
      </c>
      <c r="H8" s="55"/>
      <c r="I8" s="32" t="s">
        <v>74</v>
      </c>
    </row>
    <row r="9" spans="2:9" ht="15" thickBot="1" x14ac:dyDescent="0.35">
      <c r="B9" s="30" t="s">
        <v>25</v>
      </c>
      <c r="C9" s="57">
        <v>0.1</v>
      </c>
      <c r="D9" s="2">
        <v>3</v>
      </c>
      <c r="E9" s="2">
        <v>4</v>
      </c>
      <c r="F9" s="2">
        <v>1</v>
      </c>
      <c r="G9" s="2">
        <v>1</v>
      </c>
      <c r="H9" s="2" t="s">
        <v>23</v>
      </c>
      <c r="I9" s="56">
        <v>1.5E-3</v>
      </c>
    </row>
    <row r="10" spans="2:9" x14ac:dyDescent="0.3">
      <c r="B10" s="30" t="s">
        <v>13</v>
      </c>
      <c r="C10" s="42"/>
      <c r="D10" s="18">
        <f>0.6*1.7</f>
        <v>1.02</v>
      </c>
      <c r="E10" s="42"/>
      <c r="F10" s="18">
        <v>1.57</v>
      </c>
      <c r="G10" s="70">
        <f>((1/H10)-1)^2 + 0.99</f>
        <v>1.4729020187967277</v>
      </c>
      <c r="H10" s="75">
        <f>0.59+0.41*(H5/H6)^3</f>
        <v>0.59000130034971077</v>
      </c>
      <c r="I10" s="42"/>
    </row>
    <row r="11" spans="2:9" ht="15" thickBot="1" x14ac:dyDescent="0.35"/>
    <row r="12" spans="2:9" x14ac:dyDescent="0.3">
      <c r="B12" s="28" t="s">
        <v>44</v>
      </c>
      <c r="C12" s="44" t="s">
        <v>3</v>
      </c>
      <c r="D12" s="44" t="s">
        <v>0</v>
      </c>
      <c r="E12" s="44" t="s">
        <v>78</v>
      </c>
      <c r="F12" s="45" t="s">
        <v>1</v>
      </c>
    </row>
    <row r="13" spans="2:9" x14ac:dyDescent="0.3">
      <c r="B13" s="39" t="s">
        <v>45</v>
      </c>
      <c r="C13" s="48"/>
      <c r="D13" s="48"/>
      <c r="E13" s="48"/>
      <c r="F13" s="49"/>
    </row>
    <row r="14" spans="2:9" ht="15" thickBot="1" x14ac:dyDescent="0.35">
      <c r="B14" s="30" t="s">
        <v>26</v>
      </c>
      <c r="C14" s="57">
        <v>0.1</v>
      </c>
      <c r="D14" s="2">
        <v>0</v>
      </c>
      <c r="E14" s="2">
        <v>4</v>
      </c>
      <c r="F14" s="3">
        <v>0</v>
      </c>
    </row>
    <row r="15" spans="2:9" ht="15" thickBot="1" x14ac:dyDescent="0.35">
      <c r="B15" s="29" t="s">
        <v>13</v>
      </c>
      <c r="C15" s="42"/>
      <c r="D15" s="18">
        <v>1.02</v>
      </c>
      <c r="E15" s="42"/>
      <c r="F15" s="18">
        <v>1.57</v>
      </c>
    </row>
    <row r="16" spans="2:9" ht="15" thickBot="1" x14ac:dyDescent="0.35"/>
    <row r="17" spans="2:5" x14ac:dyDescent="0.3">
      <c r="B17" s="28" t="s">
        <v>57</v>
      </c>
      <c r="C17" s="40" t="s">
        <v>8</v>
      </c>
      <c r="D17" s="33" t="s">
        <v>2</v>
      </c>
      <c r="E17" s="34" t="s">
        <v>9</v>
      </c>
    </row>
    <row r="18" spans="2:5" ht="15" thickBot="1" x14ac:dyDescent="0.35">
      <c r="B18" s="29" t="s">
        <v>47</v>
      </c>
      <c r="C18" s="41">
        <v>6</v>
      </c>
      <c r="D18" s="20">
        <f>C18*3.6</f>
        <v>21.6</v>
      </c>
      <c r="E18" s="19">
        <f>C18/1000</f>
        <v>6.0000000000000001E-3</v>
      </c>
    </row>
    <row r="22" spans="2:5" ht="15" thickBot="1" x14ac:dyDescent="0.35"/>
    <row r="23" spans="2:5" ht="15" thickBot="1" x14ac:dyDescent="0.35">
      <c r="B23" s="27" t="s">
        <v>50</v>
      </c>
      <c r="C23" s="27" t="s">
        <v>52</v>
      </c>
    </row>
    <row r="24" spans="2:5" x14ac:dyDescent="0.3">
      <c r="B24" s="21" t="s">
        <v>49</v>
      </c>
      <c r="C24" s="59">
        <f>C25/C27</f>
        <v>0.76394372684109757</v>
      </c>
    </row>
    <row r="25" spans="2:5" x14ac:dyDescent="0.3">
      <c r="B25" s="22" t="s">
        <v>60</v>
      </c>
      <c r="C25" s="5">
        <f>E18</f>
        <v>6.0000000000000001E-3</v>
      </c>
    </row>
    <row r="26" spans="2:5" x14ac:dyDescent="0.3">
      <c r="B26" s="22" t="s">
        <v>61</v>
      </c>
      <c r="C26" s="5">
        <f>C9</f>
        <v>0.1</v>
      </c>
    </row>
    <row r="27" spans="2:5" ht="15" thickBot="1" x14ac:dyDescent="0.35">
      <c r="B27" s="23" t="s">
        <v>48</v>
      </c>
      <c r="C27" s="58">
        <f>PI()*(C26^2/4)</f>
        <v>7.8539816339744835E-3</v>
      </c>
    </row>
    <row r="29" spans="2:5" ht="15" thickBot="1" x14ac:dyDescent="0.35"/>
    <row r="30" spans="2:5" ht="15" thickBot="1" x14ac:dyDescent="0.35">
      <c r="B30" s="27" t="s">
        <v>51</v>
      </c>
      <c r="C30" s="27" t="s">
        <v>52</v>
      </c>
    </row>
    <row r="31" spans="2:5" x14ac:dyDescent="0.3">
      <c r="B31" s="21" t="s">
        <v>5</v>
      </c>
      <c r="C31" s="59">
        <f>(C32*C33)/C34</f>
        <v>65071.867703671007</v>
      </c>
    </row>
    <row r="32" spans="2:5" x14ac:dyDescent="0.3">
      <c r="B32" s="24" t="s">
        <v>62</v>
      </c>
      <c r="C32" s="1">
        <f>C24</f>
        <v>0.76394372684109757</v>
      </c>
    </row>
    <row r="33" spans="2:3" x14ac:dyDescent="0.3">
      <c r="B33" s="24" t="s">
        <v>63</v>
      </c>
      <c r="C33" s="1">
        <f>C9</f>
        <v>0.1</v>
      </c>
    </row>
    <row r="34" spans="2:3" ht="15" thickBot="1" x14ac:dyDescent="0.35">
      <c r="B34" s="23" t="s">
        <v>64</v>
      </c>
      <c r="C34" s="7">
        <f>D4</f>
        <v>1.1739999999999999E-6</v>
      </c>
    </row>
    <row r="36" spans="2:3" ht="15" thickBot="1" x14ac:dyDescent="0.35"/>
    <row r="37" spans="2:3" ht="15" thickBot="1" x14ac:dyDescent="0.35">
      <c r="B37" s="26" t="s">
        <v>56</v>
      </c>
      <c r="C37" s="60">
        <v>1.9E-2</v>
      </c>
    </row>
    <row r="38" spans="2:3" x14ac:dyDescent="0.3">
      <c r="B38" s="21" t="s">
        <v>11</v>
      </c>
      <c r="C38" s="61">
        <f>C39/(C40*10^2)</f>
        <v>1.5000000000000001E-4</v>
      </c>
    </row>
    <row r="39" spans="2:3" x14ac:dyDescent="0.3">
      <c r="B39" s="24" t="s">
        <v>65</v>
      </c>
      <c r="C39" s="10">
        <f>I9</f>
        <v>1.5E-3</v>
      </c>
    </row>
    <row r="40" spans="2:3" ht="15" thickBot="1" x14ac:dyDescent="0.35">
      <c r="B40" s="23" t="s">
        <v>66</v>
      </c>
      <c r="C40" s="4">
        <f>C9</f>
        <v>0.1</v>
      </c>
    </row>
    <row r="41" spans="2:3" x14ac:dyDescent="0.3">
      <c r="B41" s="54"/>
    </row>
    <row r="42" spans="2:3" ht="15" thickBot="1" x14ac:dyDescent="0.35">
      <c r="B42" s="43"/>
    </row>
    <row r="43" spans="2:3" ht="15" thickBot="1" x14ac:dyDescent="0.35">
      <c r="B43" s="21" t="s">
        <v>75</v>
      </c>
      <c r="C43" s="8"/>
    </row>
    <row r="44" spans="2:3" x14ac:dyDescent="0.3">
      <c r="B44" s="28" t="s">
        <v>55</v>
      </c>
      <c r="C44" s="6">
        <f>C37</f>
        <v>1.9E-2</v>
      </c>
    </row>
    <row r="45" spans="2:3" x14ac:dyDescent="0.3">
      <c r="B45" s="24" t="s">
        <v>67</v>
      </c>
      <c r="C45" s="11">
        <f>E9+E14</f>
        <v>8</v>
      </c>
    </row>
    <row r="46" spans="2:3" x14ac:dyDescent="0.3">
      <c r="B46" s="24" t="s">
        <v>68</v>
      </c>
      <c r="C46" s="6">
        <f>C9</f>
        <v>0.1</v>
      </c>
    </row>
    <row r="47" spans="2:3" x14ac:dyDescent="0.3">
      <c r="B47" s="24" t="s">
        <v>69</v>
      </c>
      <c r="C47" s="1">
        <f>C24</f>
        <v>0.76394372684109757</v>
      </c>
    </row>
    <row r="48" spans="2:3" x14ac:dyDescent="0.3">
      <c r="B48" s="24" t="s">
        <v>70</v>
      </c>
      <c r="C48" s="11">
        <f>E4</f>
        <v>997</v>
      </c>
    </row>
    <row r="49" spans="2:3" x14ac:dyDescent="0.3">
      <c r="B49" s="25" t="s">
        <v>53</v>
      </c>
      <c r="C49" s="12">
        <f>(C44/2)*C48*C47^2*(E9/C9)</f>
        <v>221.10649133607981</v>
      </c>
    </row>
    <row r="50" spans="2:3" ht="15" thickBot="1" x14ac:dyDescent="0.35">
      <c r="B50" s="23" t="s">
        <v>71</v>
      </c>
      <c r="C50" s="65">
        <f>C49/1000</f>
        <v>0.22110649133607982</v>
      </c>
    </row>
    <row r="52" spans="2:3" ht="15" thickBot="1" x14ac:dyDescent="0.35"/>
    <row r="53" spans="2:3" ht="16.2" thickBot="1" x14ac:dyDescent="0.35">
      <c r="B53" s="25" t="s">
        <v>77</v>
      </c>
      <c r="C53" s="27" t="s">
        <v>52</v>
      </c>
    </row>
    <row r="54" spans="2:3" x14ac:dyDescent="0.3">
      <c r="B54" s="28" t="s">
        <v>12</v>
      </c>
      <c r="C54" s="13">
        <f>(D9*D10+F9*F10+G10+C79)</f>
        <v>6.9029020187967278</v>
      </c>
    </row>
    <row r="55" spans="2:3" x14ac:dyDescent="0.3">
      <c r="B55" s="24" t="s">
        <v>72</v>
      </c>
      <c r="C55" s="13">
        <f>C32</f>
        <v>0.76394372684109757</v>
      </c>
    </row>
    <row r="56" spans="2:3" x14ac:dyDescent="0.3">
      <c r="B56" s="24" t="s">
        <v>73</v>
      </c>
      <c r="C56" s="13">
        <f>E4</f>
        <v>997</v>
      </c>
    </row>
    <row r="57" spans="2:3" x14ac:dyDescent="0.3">
      <c r="B57" s="25" t="s">
        <v>15</v>
      </c>
      <c r="C57" s="14">
        <f>C54*(C56/2)*C55^2</f>
        <v>2008.25848080643</v>
      </c>
    </row>
    <row r="58" spans="2:3" ht="15" thickBot="1" x14ac:dyDescent="0.35">
      <c r="B58" s="30" t="s">
        <v>16</v>
      </c>
      <c r="C58" s="66">
        <f>C57/1000</f>
        <v>2.0082584808064299</v>
      </c>
    </row>
    <row r="60" spans="2:3" ht="15" thickBot="1" x14ac:dyDescent="0.35"/>
    <row r="61" spans="2:3" ht="16.2" thickBot="1" x14ac:dyDescent="0.35">
      <c r="B61" s="25" t="s">
        <v>76</v>
      </c>
      <c r="C61" s="27" t="s">
        <v>52</v>
      </c>
    </row>
    <row r="62" spans="2:3" x14ac:dyDescent="0.3">
      <c r="B62" s="30" t="s">
        <v>12</v>
      </c>
      <c r="C62" s="13">
        <f>0.9</f>
        <v>0.9</v>
      </c>
    </row>
    <row r="63" spans="2:3" x14ac:dyDescent="0.3">
      <c r="B63" s="30" t="s">
        <v>6</v>
      </c>
      <c r="C63" s="13">
        <f>C24</f>
        <v>0.76394372684109757</v>
      </c>
    </row>
    <row r="64" spans="2:3" x14ac:dyDescent="0.3">
      <c r="B64" s="30" t="s">
        <v>14</v>
      </c>
      <c r="C64" s="73">
        <f>E4</f>
        <v>997</v>
      </c>
    </row>
    <row r="65" spans="2:3" x14ac:dyDescent="0.3">
      <c r="B65" s="25" t="s">
        <v>15</v>
      </c>
      <c r="C65" s="14">
        <f>C62*(C64/2)*C63^2</f>
        <v>261.83663447693669</v>
      </c>
    </row>
    <row r="66" spans="2:3" ht="15" thickBot="1" x14ac:dyDescent="0.35">
      <c r="B66" s="30" t="s">
        <v>16</v>
      </c>
      <c r="C66" s="66">
        <f>C65/1000</f>
        <v>0.26183663447693667</v>
      </c>
    </row>
    <row r="69" spans="2:3" ht="15" thickBot="1" x14ac:dyDescent="0.35"/>
    <row r="70" spans="2:3" ht="16.2" thickBot="1" x14ac:dyDescent="0.35">
      <c r="B70" s="25" t="s">
        <v>17</v>
      </c>
      <c r="C70" s="27" t="s">
        <v>52</v>
      </c>
    </row>
    <row r="71" spans="2:3" x14ac:dyDescent="0.3">
      <c r="B71" s="30" t="s">
        <v>12</v>
      </c>
      <c r="C71" s="13">
        <f>(D10*D9+F9*F10+G10+C79)+(D14*D15+F14*F15+C80)</f>
        <v>7.8029020187967282</v>
      </c>
    </row>
    <row r="72" spans="2:3" x14ac:dyDescent="0.3">
      <c r="B72" s="30" t="s">
        <v>6</v>
      </c>
      <c r="C72" s="13">
        <f>C24</f>
        <v>0.76394372684109757</v>
      </c>
    </row>
    <row r="73" spans="2:3" x14ac:dyDescent="0.3">
      <c r="B73" s="30" t="s">
        <v>14</v>
      </c>
      <c r="C73" s="73">
        <f>E4</f>
        <v>997</v>
      </c>
    </row>
    <row r="74" spans="2:3" x14ac:dyDescent="0.3">
      <c r="B74" s="25" t="s">
        <v>15</v>
      </c>
      <c r="C74" s="14">
        <f>C71*(C73/2)*C72^2</f>
        <v>2270.0951152833668</v>
      </c>
    </row>
    <row r="75" spans="2:3" ht="15" thickBot="1" x14ac:dyDescent="0.35">
      <c r="B75" s="30" t="s">
        <v>16</v>
      </c>
      <c r="C75" s="66">
        <f>C74/1000</f>
        <v>2.2700951152833668</v>
      </c>
    </row>
    <row r="77" spans="2:3" ht="15" thickBot="1" x14ac:dyDescent="0.35"/>
    <row r="78" spans="2:3" x14ac:dyDescent="0.3">
      <c r="B78" s="30" t="s">
        <v>24</v>
      </c>
      <c r="C78" s="9"/>
    </row>
    <row r="79" spans="2:3" x14ac:dyDescent="0.3">
      <c r="B79" s="30" t="s">
        <v>27</v>
      </c>
      <c r="C79" s="6">
        <v>0.8</v>
      </c>
    </row>
    <row r="80" spans="2:3" ht="15" thickBot="1" x14ac:dyDescent="0.35">
      <c r="B80" s="30" t="s">
        <v>28</v>
      </c>
      <c r="C80" s="4">
        <v>0.9</v>
      </c>
    </row>
    <row r="81" spans="2:3" ht="15" thickBot="1" x14ac:dyDescent="0.35"/>
    <row r="82" spans="2:3" x14ac:dyDescent="0.3">
      <c r="B82" s="25" t="s">
        <v>29</v>
      </c>
      <c r="C82" s="67">
        <f>C83+C84</f>
        <v>12.60825848080643</v>
      </c>
    </row>
    <row r="83" spans="2:3" x14ac:dyDescent="0.3">
      <c r="B83" s="25" t="s">
        <v>30</v>
      </c>
      <c r="C83" s="15">
        <f>C85+C86</f>
        <v>6.0082584808064299</v>
      </c>
    </row>
    <row r="84" spans="2:3" x14ac:dyDescent="0.3">
      <c r="B84" s="25" t="s">
        <v>31</v>
      </c>
      <c r="C84" s="15">
        <f>C90+C88+C87</f>
        <v>6.6</v>
      </c>
    </row>
    <row r="85" spans="2:3" x14ac:dyDescent="0.3">
      <c r="B85" s="30" t="s">
        <v>32</v>
      </c>
      <c r="C85" s="6">
        <f>E9</f>
        <v>4</v>
      </c>
    </row>
    <row r="86" spans="2:3" x14ac:dyDescent="0.3">
      <c r="B86" s="30" t="s">
        <v>33</v>
      </c>
      <c r="C86" s="15">
        <f>C58</f>
        <v>2.0082584808064299</v>
      </c>
    </row>
    <row r="87" spans="2:3" x14ac:dyDescent="0.3">
      <c r="B87" s="30" t="s">
        <v>34</v>
      </c>
      <c r="C87" s="6">
        <f>E14</f>
        <v>4</v>
      </c>
    </row>
    <row r="88" spans="2:3" x14ac:dyDescent="0.3">
      <c r="B88" s="30" t="s">
        <v>35</v>
      </c>
      <c r="C88" s="15">
        <f>C66</f>
        <v>0.26183663447693667</v>
      </c>
    </row>
    <row r="89" spans="2:3" x14ac:dyDescent="0.3">
      <c r="B89" s="30" t="s">
        <v>38</v>
      </c>
      <c r="C89" s="16">
        <v>6.6</v>
      </c>
    </row>
    <row r="90" spans="2:3" ht="15" thickBot="1" x14ac:dyDescent="0.35">
      <c r="B90" s="30" t="s">
        <v>39</v>
      </c>
      <c r="C90" s="17">
        <f>C89-C88-C87</f>
        <v>2.3381633655230631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Circuit Froid</vt:lpstr>
      <vt:lpstr>Circuit Eaux Usées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TAMBUTTÉ</dc:creator>
  <cp:lastModifiedBy>pesce julien</cp:lastModifiedBy>
  <dcterms:created xsi:type="dcterms:W3CDTF">2020-12-01T11:11:39Z</dcterms:created>
  <dcterms:modified xsi:type="dcterms:W3CDTF">2020-12-02T19:33:03Z</dcterms:modified>
</cp:coreProperties>
</file>