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ierr\EnergyScope\Personal\EUD calculation\"/>
    </mc:Choice>
  </mc:AlternateContent>
  <xr:revisionPtr revIDLastSave="0" documentId="13_ncr:1_{6B720644-E0F8-4BC7-AA98-88F6386D91C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LEVER" sheetId="2" r:id="rId1"/>
    <sheet name="Energyvil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4" l="1"/>
  <c r="O28" i="4"/>
  <c r="L23" i="4"/>
  <c r="M23" i="4"/>
  <c r="N23" i="4"/>
  <c r="N30" i="4" l="1"/>
  <c r="N24" i="4"/>
  <c r="N25" i="4"/>
  <c r="N26" i="4"/>
  <c r="N27" i="4"/>
  <c r="M27" i="4"/>
  <c r="M26" i="4"/>
  <c r="M24" i="4"/>
  <c r="L27" i="4"/>
  <c r="L26" i="4"/>
  <c r="L24" i="4"/>
  <c r="H33" i="2"/>
  <c r="H27" i="2"/>
  <c r="H28" i="2"/>
  <c r="H29" i="2"/>
  <c r="H30" i="2"/>
  <c r="H26" i="2"/>
  <c r="I32" i="2"/>
  <c r="I31" i="2"/>
  <c r="G30" i="2"/>
  <c r="G29" i="2"/>
  <c r="G27" i="2"/>
  <c r="G26" i="2"/>
  <c r="F30" i="2"/>
  <c r="F29" i="2"/>
  <c r="F27" i="2"/>
  <c r="F26" i="2"/>
  <c r="C10" i="2"/>
  <c r="N6" i="4"/>
  <c r="N5" i="4"/>
  <c r="W11" i="4"/>
  <c r="H12" i="2"/>
  <c r="H10" i="2"/>
  <c r="F11" i="2" l="1"/>
  <c r="X4" i="2"/>
  <c r="W5" i="2" l="1"/>
  <c r="Y5" i="2" s="1"/>
  <c r="W6" i="2"/>
  <c r="Y6" i="2" s="1"/>
  <c r="W4" i="2"/>
  <c r="Y4" i="2" s="1"/>
  <c r="Y7" i="2" l="1"/>
  <c r="Z5" i="2" l="1"/>
  <c r="Z4" i="2"/>
  <c r="Z6" i="2"/>
  <c r="M19" i="2"/>
  <c r="H11" i="2"/>
  <c r="H17" i="2" l="1"/>
  <c r="H18" i="2"/>
  <c r="H19" i="2"/>
  <c r="H16" i="2"/>
  <c r="C19" i="2"/>
  <c r="C21" i="2" s="1"/>
  <c r="C20" i="2" l="1"/>
  <c r="N9" i="4" l="1"/>
  <c r="P6" i="4"/>
  <c r="P7" i="4"/>
  <c r="P8" i="4"/>
  <c r="P5" i="4"/>
  <c r="H17" i="4"/>
  <c r="H16" i="4"/>
  <c r="C17" i="4"/>
  <c r="C16" i="4"/>
  <c r="H5" i="4"/>
  <c r="H8" i="4" s="1"/>
  <c r="C8" i="4"/>
  <c r="C9" i="4" s="1"/>
  <c r="N11" i="4" l="1"/>
  <c r="P11" i="4" s="1"/>
  <c r="P9" i="4"/>
  <c r="P10" i="4" l="1"/>
  <c r="P12" i="4" s="1"/>
  <c r="N12" i="4"/>
  <c r="T11" i="4" l="1"/>
  <c r="H5" i="2"/>
  <c r="H6" i="2"/>
  <c r="H7" i="2"/>
  <c r="H8" i="2"/>
  <c r="H4" i="2"/>
  <c r="H9" i="2" l="1"/>
</calcChain>
</file>

<file path=xl/sharedStrings.xml><?xml version="1.0" encoding="utf-8"?>
<sst xmlns="http://schemas.openxmlformats.org/spreadsheetml/2006/main" count="207" uniqueCount="124">
  <si>
    <t>elec</t>
  </si>
  <si>
    <t>Ind share</t>
  </si>
  <si>
    <t>Elec</t>
  </si>
  <si>
    <t>NED</t>
  </si>
  <si>
    <t>Passenger</t>
  </si>
  <si>
    <t>Freight</t>
  </si>
  <si>
    <t>[GWh]</t>
  </si>
  <si>
    <t>eff</t>
  </si>
  <si>
    <t>EUD</t>
  </si>
  <si>
    <t>Fossil</t>
  </si>
  <si>
    <t>Residential</t>
  </si>
  <si>
    <t>Industry</t>
  </si>
  <si>
    <t>Total</t>
  </si>
  <si>
    <t>variable</t>
  </si>
  <si>
    <t>To copy-paste</t>
  </si>
  <si>
    <t>HVC</t>
  </si>
  <si>
    <t>Electricity</t>
  </si>
  <si>
    <t>gas</t>
  </si>
  <si>
    <t>heat</t>
  </si>
  <si>
    <t>biomas</t>
  </si>
  <si>
    <t>h2</t>
  </si>
  <si>
    <t>share</t>
  </si>
  <si>
    <t>Ammonia</t>
  </si>
  <si>
    <t>https://www.power-eng.com/hydrogen/boilers-running-on-hydrogen-what-you-need-to-know/</t>
  </si>
  <si>
    <t xml:space="preserve">https://www.maintenanceandengineering.com/2021/04/09/energy-efficiency-in-steam-generation/ </t>
  </si>
  <si>
    <t>Transport - freight</t>
  </si>
  <si>
    <t>Navigation</t>
  </si>
  <si>
    <t>[TWh]</t>
  </si>
  <si>
    <t>[Gpkm]</t>
  </si>
  <si>
    <t>[Gtkm]</t>
  </si>
  <si>
    <t>Bus</t>
  </si>
  <si>
    <t>Car</t>
  </si>
  <si>
    <t>Truck</t>
  </si>
  <si>
    <t>Rail</t>
  </si>
  <si>
    <t>Share pub</t>
  </si>
  <si>
    <t>Eff boat</t>
  </si>
  <si>
    <t>Space heating</t>
  </si>
  <si>
    <t>Hot water</t>
  </si>
  <si>
    <t xml:space="preserve">   Base</t>
  </si>
  <si>
    <t xml:space="preserve">   Variable</t>
  </si>
  <si>
    <t>Services</t>
  </si>
  <si>
    <t>Synthetic</t>
  </si>
  <si>
    <t>Bio</t>
  </si>
  <si>
    <t>(gas)</t>
  </si>
  <si>
    <t>assumption</t>
  </si>
  <si>
    <t>(wood)</t>
  </si>
  <si>
    <t>Industry demand</t>
  </si>
  <si>
    <t>Energy FEC industry</t>
  </si>
  <si>
    <t>Tertiary</t>
  </si>
  <si>
    <t>(incl ambient heat)</t>
  </si>
  <si>
    <t xml:space="preserve">   Space heating</t>
  </si>
  <si>
    <t xml:space="preserve">   Hot water</t>
  </si>
  <si>
    <t xml:space="preserve">   Other (elec)</t>
  </si>
  <si>
    <t xml:space="preserve">      Elec base</t>
  </si>
  <si>
    <t xml:space="preserve">      Elec variable</t>
  </si>
  <si>
    <t>Transport</t>
  </si>
  <si>
    <t>[Gpkm/Gtkm]</t>
  </si>
  <si>
    <t>(incl aviation)</t>
  </si>
  <si>
    <t>Clever data !</t>
  </si>
  <si>
    <t>Elec base</t>
  </si>
  <si>
    <t>Elec variable</t>
  </si>
  <si>
    <t>(assumed 100% electric cfr Fh)</t>
  </si>
  <si>
    <t>Total EUD wo double counting</t>
  </si>
  <si>
    <t>Cars</t>
  </si>
  <si>
    <t>Pub share</t>
  </si>
  <si>
    <t>Total corr</t>
  </si>
  <si>
    <t>share 2015</t>
  </si>
  <si>
    <t>Methanol</t>
  </si>
  <si>
    <t>Volume [GWh]</t>
  </si>
  <si>
    <t>2015 NED</t>
  </si>
  <si>
    <t>index</t>
  </si>
  <si>
    <t>Volume 2050</t>
  </si>
  <si>
    <t>TOTAL</t>
  </si>
  <si>
    <t>EUD / FEC</t>
  </si>
  <si>
    <t>EUD/FEC</t>
  </si>
  <si>
    <t>(35% recycling cfr BBL)</t>
  </si>
  <si>
    <t>prim HVC + ammonia</t>
  </si>
  <si>
    <t>Heat</t>
  </si>
  <si>
    <t>With HP</t>
  </si>
  <si>
    <t>Other chem</t>
  </si>
  <si>
    <t>HVC + NH3</t>
  </si>
  <si>
    <t>Clever + ES data !</t>
  </si>
  <si>
    <t>ES</t>
  </si>
  <si>
    <t>wood - ES</t>
  </si>
  <si>
    <t>(shares from ES)</t>
  </si>
  <si>
    <t>50% of LT with HP</t>
  </si>
  <si>
    <t>NED new approach</t>
  </si>
  <si>
    <t>Share 2050</t>
  </si>
  <si>
    <t>Transport - passenger</t>
  </si>
  <si>
    <t>-&gt; similar to ES</t>
  </si>
  <si>
    <t>50% LT with HP</t>
  </si>
  <si>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</si>
  <si>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</si>
  <si>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</si>
  <si>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</si>
  <si>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</si>
  <si>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</si>
  <si>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</si>
  <si>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 xml:space="preserve">Units </t>
  </si>
  <si>
    <t>baseload</t>
  </si>
  <si>
    <t>ELECTRICITY</t>
  </si>
  <si>
    <t xml:space="preserve">[GWh] </t>
  </si>
  <si>
    <t>LIGHTING</t>
  </si>
  <si>
    <t>high temperature</t>
  </si>
  <si>
    <t>HEAT_HIGH_T</t>
  </si>
  <si>
    <t>space heating</t>
  </si>
  <si>
    <t>HEAT_LOW_T_SH</t>
  </si>
  <si>
    <t>hot water</t>
  </si>
  <si>
    <t>HEAT_LOW_T_HW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</si>
  <si>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</si>
  <si>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</si>
  <si>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</si>
  <si>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</si>
  <si>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</si>
  <si>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</si>
  <si>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</si>
  <si>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</si>
  <si>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</si>
  <si>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(pathways explorer 2020)</t>
  </si>
  <si>
    <t>Olefins</t>
  </si>
  <si>
    <t>(part of which are HVC)</t>
  </si>
  <si>
    <t>(HVC)</t>
  </si>
  <si>
    <t>(no data from EnergyVille)</t>
  </si>
  <si>
    <t>constant, no extra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</si>
</sst>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1" fillId="0" borderId="4" xfId="0" applyFont="1" applyBorder="1"/>
    <xf numFmtId="0" fontId="0" fillId="0" borderId="13" xfId="0" applyBorder="1"/>
    <xf numFmtId="0" fontId="3" fillId="0" borderId="0" xfId="0" applyFont="1"/>
    <xf numFmtId="0" fontId="1" fillId="0" borderId="8" xfId="0" applyFont="1" applyBorder="1"/>
    <xf numFmtId="0" fontId="0" fillId="0" borderId="14" xfId="0" applyBorder="1"/>
    <xf numFmtId="0" fontId="1" fillId="0" borderId="9" xfId="0" applyFont="1" applyBorder="1"/>
    <xf numFmtId="0" fontId="1" fillId="0" borderId="13" xfId="0" applyFont="1" applyBorder="1"/>
    <xf numFmtId="0" fontId="4" fillId="0" borderId="1" xfId="0" applyFont="1" applyBorder="1"/>
    <xf numFmtId="0" fontId="4" fillId="0" borderId="0" xfId="0" applyFont="1"/>
    <xf numFmtId="0" fontId="3" fillId="0" borderId="5" xfId="0" applyFont="1" applyBorder="1"/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" fontId="0" fillId="0" borderId="0" xfId="0" applyNumberFormat="1" applyBorder="1"/>
    <xf numFmtId="1" fontId="0" fillId="0" borderId="10" xfId="0" applyNumberFormat="1" applyBorder="1"/>
    <xf numFmtId="0" fontId="5" fillId="0" borderId="4" xfId="0" applyFont="1" applyBorder="1"/>
    <xf numFmtId="0" fontId="5" fillId="0" borderId="3" xfId="0" applyFont="1" applyBorder="1"/>
    <xf numFmtId="0" fontId="5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intenanceandengineering.com/2021/04/09/energy-efficiency-in-steam-generation/" TargetMode="External"/><Relationship Id="rId1" Type="http://schemas.openxmlformats.org/officeDocument/2006/relationships/hyperlink" Target="https://www.power-eng.com/hydrogen/boilers-running-on-hydrogen-what-you-need-to-know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A670-B522-4D4C-8BDD-8A1300AAB580}">
  <dimension ref="B2:AO33"/>
  <sheetViews>
    <sheetView workbookViewId="0">
      <selection activeCell="AQ15" sqref="AQ15"/>
    </sheetView>
  </sheetViews>
  <sheetFormatPr defaultRowHeight="15" x14ac:dyDescent="0.25"/>
  <cols>
    <col min="2" max="2" width="18.28515625" customWidth="1"/>
    <col min="3" max="3" width="16.7109375" customWidth="1"/>
    <col min="4" max="4" width="18.42578125" customWidth="1"/>
    <col min="6" max="6" width="13.42578125" customWidth="1"/>
    <col min="7" max="7" width="16.7109375" customWidth="1"/>
    <col min="8" max="8" width="16.42578125" customWidth="1"/>
    <col min="13" max="13" width="13.140625" customWidth="1"/>
    <col min="17" max="17" width="12" bestFit="1" customWidth="1"/>
    <col min="21" max="21" width="9.7109375" customWidth="1"/>
    <col min="22" max="22" width="11" customWidth="1"/>
    <col min="23" max="23" width="13.5703125" customWidth="1"/>
    <col min="25" max="25" width="11.140625" customWidth="1"/>
    <col min="26" max="26" width="10.7109375" customWidth="1"/>
  </cols>
  <sheetData>
    <row r="2" spans="2:41" x14ac:dyDescent="0.25">
      <c r="E2" s="1" t="s">
        <v>46</v>
      </c>
      <c r="S2" s="13" t="s">
        <v>69</v>
      </c>
      <c r="U2" s="1" t="s">
        <v>86</v>
      </c>
    </row>
    <row r="3" spans="2:41" x14ac:dyDescent="0.25">
      <c r="B3" s="13" t="s">
        <v>47</v>
      </c>
      <c r="E3" s="5"/>
      <c r="F3" s="3" t="s">
        <v>21</v>
      </c>
      <c r="G3" s="3" t="s">
        <v>7</v>
      </c>
      <c r="H3" s="4" t="s">
        <v>8</v>
      </c>
      <c r="I3" s="26" t="s">
        <v>44</v>
      </c>
      <c r="S3" s="20">
        <v>51094</v>
      </c>
      <c r="U3" s="9"/>
      <c r="V3" s="17" t="s">
        <v>66</v>
      </c>
      <c r="W3" s="17" t="s">
        <v>68</v>
      </c>
      <c r="X3" s="17" t="s">
        <v>70</v>
      </c>
      <c r="Y3" s="17" t="s">
        <v>71</v>
      </c>
      <c r="Z3" s="10" t="s">
        <v>87</v>
      </c>
      <c r="AM3" s="23"/>
      <c r="AN3" s="24"/>
      <c r="AO3" s="24"/>
    </row>
    <row r="4" spans="2:41" x14ac:dyDescent="0.25">
      <c r="B4" s="14">
        <v>82.2</v>
      </c>
      <c r="E4" s="2" t="s">
        <v>17</v>
      </c>
      <c r="F4">
        <v>0.09</v>
      </c>
      <c r="G4">
        <v>0.93</v>
      </c>
      <c r="H4" s="6">
        <f>$B$4*F4*G4</f>
        <v>6.8801399999999999</v>
      </c>
      <c r="I4" t="s">
        <v>82</v>
      </c>
      <c r="U4" s="2" t="s">
        <v>15</v>
      </c>
      <c r="V4">
        <v>0.77900000000000003</v>
      </c>
      <c r="W4">
        <f>$S$3*V4</f>
        <v>39802.226000000002</v>
      </c>
      <c r="X4">
        <f>0.9*0.65</f>
        <v>0.58500000000000008</v>
      </c>
      <c r="Y4">
        <f>W4*X4</f>
        <v>23284.302210000005</v>
      </c>
      <c r="Z4" s="6">
        <f>Y4/$Y$7</f>
        <v>0.73607488108025176</v>
      </c>
      <c r="AB4" t="s">
        <v>75</v>
      </c>
      <c r="AM4" s="23"/>
      <c r="AN4" s="24"/>
      <c r="AO4" s="24"/>
    </row>
    <row r="5" spans="2:41" x14ac:dyDescent="0.25">
      <c r="E5" s="2" t="s">
        <v>18</v>
      </c>
      <c r="F5">
        <v>0.03</v>
      </c>
      <c r="G5">
        <v>0.85</v>
      </c>
      <c r="H5" s="6">
        <f t="shared" ref="H5:H8" si="0">$B$4*F5*G5</f>
        <v>2.0961000000000003</v>
      </c>
      <c r="I5" s="11" t="s">
        <v>24</v>
      </c>
      <c r="U5" s="2" t="s">
        <v>22</v>
      </c>
      <c r="V5">
        <v>0.192</v>
      </c>
      <c r="W5">
        <f t="shared" ref="W5:W6" si="1">$S$3*V5</f>
        <v>9810.0480000000007</v>
      </c>
      <c r="X5">
        <v>0.7</v>
      </c>
      <c r="Y5">
        <f t="shared" ref="Y5:Y6" si="2">W5*X5</f>
        <v>6867.0335999999998</v>
      </c>
      <c r="Z5" s="6">
        <f t="shared" ref="Z5:Z6" si="3">Y5/$Y$7</f>
        <v>0.21708406354231441</v>
      </c>
      <c r="AM5" s="23"/>
      <c r="AN5" s="24"/>
      <c r="AO5" s="24"/>
    </row>
    <row r="6" spans="2:41" x14ac:dyDescent="0.25">
      <c r="E6" s="2" t="s">
        <v>19</v>
      </c>
      <c r="F6">
        <v>7.0000000000000007E-2</v>
      </c>
      <c r="G6">
        <v>0.86</v>
      </c>
      <c r="H6" s="6">
        <f t="shared" si="0"/>
        <v>4.9484400000000006</v>
      </c>
      <c r="I6" t="s">
        <v>83</v>
      </c>
      <c r="U6" s="2" t="s">
        <v>67</v>
      </c>
      <c r="V6">
        <v>2.9000000000000001E-2</v>
      </c>
      <c r="W6">
        <f t="shared" si="1"/>
        <v>1481.7260000000001</v>
      </c>
      <c r="X6">
        <v>1</v>
      </c>
      <c r="Y6">
        <f t="shared" si="2"/>
        <v>1481.7260000000001</v>
      </c>
      <c r="Z6" s="6">
        <f t="shared" si="3"/>
        <v>4.6841055377433917E-2</v>
      </c>
      <c r="AM6" s="23"/>
      <c r="AN6" s="24"/>
      <c r="AO6" s="24"/>
    </row>
    <row r="7" spans="2:41" x14ac:dyDescent="0.25">
      <c r="E7" s="2" t="s">
        <v>0</v>
      </c>
      <c r="F7">
        <v>0.72</v>
      </c>
      <c r="G7">
        <v>1</v>
      </c>
      <c r="H7" s="6">
        <f t="shared" si="0"/>
        <v>59.183999999999997</v>
      </c>
      <c r="I7" t="s">
        <v>82</v>
      </c>
      <c r="U7" s="9" t="s">
        <v>72</v>
      </c>
      <c r="V7" s="17"/>
      <c r="W7" s="17"/>
      <c r="X7" s="17"/>
      <c r="Y7" s="22">
        <f>SUM(Y4:Y6)</f>
        <v>31633.061810000003</v>
      </c>
      <c r="Z7" s="10"/>
      <c r="AM7" s="23"/>
      <c r="AN7" s="24"/>
      <c r="AO7" s="24"/>
    </row>
    <row r="8" spans="2:41" x14ac:dyDescent="0.25">
      <c r="E8" s="2" t="s">
        <v>20</v>
      </c>
      <c r="F8">
        <v>0.09</v>
      </c>
      <c r="G8">
        <v>0.95</v>
      </c>
      <c r="H8" s="6">
        <f t="shared" si="0"/>
        <v>7.0280999999999993</v>
      </c>
      <c r="I8" s="11" t="s">
        <v>23</v>
      </c>
    </row>
    <row r="9" spans="2:41" x14ac:dyDescent="0.25">
      <c r="C9" s="13" t="s">
        <v>73</v>
      </c>
      <c r="E9" s="9" t="s">
        <v>12</v>
      </c>
      <c r="F9" s="17"/>
      <c r="G9" s="17"/>
      <c r="H9" s="10">
        <f>SUM(H4:H8)</f>
        <v>80.136779999999987</v>
      </c>
    </row>
    <row r="10" spans="2:41" x14ac:dyDescent="0.25">
      <c r="C10" s="14">
        <f>H12/(B4-F11)</f>
        <v>1.0625217524685302</v>
      </c>
      <c r="E10" s="5"/>
      <c r="F10" s="3" t="s">
        <v>78</v>
      </c>
      <c r="G10" s="3">
        <v>1.0774999999999999</v>
      </c>
      <c r="H10" s="4">
        <f>H9*G10</f>
        <v>86.347380449999974</v>
      </c>
      <c r="I10" t="s">
        <v>85</v>
      </c>
      <c r="Y10" s="1"/>
    </row>
    <row r="11" spans="2:41" x14ac:dyDescent="0.25">
      <c r="E11" s="9" t="s">
        <v>76</v>
      </c>
      <c r="F11" s="17">
        <f>0.65*22.1+1.5</f>
        <v>15.865000000000002</v>
      </c>
      <c r="G11" s="17">
        <v>1</v>
      </c>
      <c r="H11" s="10">
        <f>F11*G11</f>
        <v>15.865000000000002</v>
      </c>
      <c r="I11" t="s">
        <v>61</v>
      </c>
    </row>
    <row r="12" spans="2:41" x14ac:dyDescent="0.25">
      <c r="E12" s="9" t="s">
        <v>62</v>
      </c>
      <c r="F12" s="17"/>
      <c r="G12" s="17"/>
      <c r="H12" s="21">
        <f>H10-H11</f>
        <v>70.482380449999965</v>
      </c>
    </row>
    <row r="13" spans="2:41" x14ac:dyDescent="0.25">
      <c r="B13" t="s">
        <v>58</v>
      </c>
    </row>
    <row r="14" spans="2:41" x14ac:dyDescent="0.25">
      <c r="B14" s="5"/>
      <c r="C14" s="3" t="s">
        <v>27</v>
      </c>
      <c r="D14" s="4"/>
      <c r="F14" t="s">
        <v>81</v>
      </c>
      <c r="K14" t="s">
        <v>58</v>
      </c>
    </row>
    <row r="15" spans="2:41" x14ac:dyDescent="0.25">
      <c r="B15" s="15" t="s">
        <v>48</v>
      </c>
      <c r="C15">
        <v>22.2</v>
      </c>
      <c r="D15" s="6" t="s">
        <v>49</v>
      </c>
      <c r="F15" s="16" t="s">
        <v>48</v>
      </c>
      <c r="G15" s="3" t="s">
        <v>21</v>
      </c>
      <c r="H15" s="4" t="s">
        <v>8</v>
      </c>
      <c r="K15" s="16" t="s">
        <v>55</v>
      </c>
      <c r="L15" s="3" t="s">
        <v>56</v>
      </c>
      <c r="M15" s="4"/>
    </row>
    <row r="16" spans="2:41" x14ac:dyDescent="0.25">
      <c r="B16" s="15" t="s">
        <v>10</v>
      </c>
      <c r="C16">
        <v>47</v>
      </c>
      <c r="D16" s="6"/>
      <c r="F16" s="2" t="s">
        <v>59</v>
      </c>
      <c r="G16">
        <v>0.21</v>
      </c>
      <c r="H16" s="6">
        <f>G16*$C$15</f>
        <v>4.6619999999999999</v>
      </c>
      <c r="K16" s="2" t="s">
        <v>4</v>
      </c>
      <c r="L16">
        <v>125.7</v>
      </c>
      <c r="M16" s="6" t="s">
        <v>57</v>
      </c>
    </row>
    <row r="17" spans="2:13" x14ac:dyDescent="0.25">
      <c r="B17" s="2" t="s">
        <v>50</v>
      </c>
      <c r="C17">
        <v>32.9</v>
      </c>
      <c r="D17" s="6" t="s">
        <v>49</v>
      </c>
      <c r="F17" s="2" t="s">
        <v>60</v>
      </c>
      <c r="G17">
        <v>0.16</v>
      </c>
      <c r="H17" s="6">
        <f t="shared" ref="H17:H19" si="4">G17*$C$15</f>
        <v>3.552</v>
      </c>
      <c r="K17" s="7" t="s">
        <v>5</v>
      </c>
      <c r="L17" s="12">
        <v>70</v>
      </c>
      <c r="M17" s="8"/>
    </row>
    <row r="18" spans="2:13" x14ac:dyDescent="0.25">
      <c r="B18" s="2" t="s">
        <v>51</v>
      </c>
      <c r="C18">
        <v>4.5999999999999996</v>
      </c>
      <c r="D18" s="6"/>
      <c r="F18" s="2" t="s">
        <v>36</v>
      </c>
      <c r="G18">
        <v>0.52</v>
      </c>
      <c r="H18" s="6">
        <f t="shared" si="4"/>
        <v>11.544</v>
      </c>
      <c r="K18" t="s">
        <v>63</v>
      </c>
      <c r="L18">
        <v>62.9</v>
      </c>
    </row>
    <row r="19" spans="2:13" x14ac:dyDescent="0.25">
      <c r="B19" s="2" t="s">
        <v>52</v>
      </c>
      <c r="C19" s="18">
        <f>C16-C17-C18</f>
        <v>9.5000000000000018</v>
      </c>
      <c r="D19" s="6"/>
      <c r="F19" s="7" t="s">
        <v>37</v>
      </c>
      <c r="G19" s="12">
        <v>0.12</v>
      </c>
      <c r="H19" s="8">
        <f t="shared" si="4"/>
        <v>2.6639999999999997</v>
      </c>
      <c r="K19" t="s">
        <v>64</v>
      </c>
      <c r="M19">
        <f>1-L18/L16</f>
        <v>0.49960222752585526</v>
      </c>
    </row>
    <row r="20" spans="2:13" x14ac:dyDescent="0.25">
      <c r="B20" s="2" t="s">
        <v>53</v>
      </c>
      <c r="C20">
        <f>C19*0.65</f>
        <v>6.1750000000000016</v>
      </c>
      <c r="D20" s="6"/>
      <c r="G20" t="s">
        <v>84</v>
      </c>
    </row>
    <row r="21" spans="2:13" x14ac:dyDescent="0.25">
      <c r="B21" s="7" t="s">
        <v>54</v>
      </c>
      <c r="C21" s="12">
        <f>C19*0.35</f>
        <v>3.3250000000000006</v>
      </c>
      <c r="D21" s="8"/>
    </row>
    <row r="24" spans="2:13" x14ac:dyDescent="0.25">
      <c r="C24" t="s">
        <v>14</v>
      </c>
    </row>
    <row r="25" spans="2:13" x14ac:dyDescent="0.25">
      <c r="C25" s="5" t="s">
        <v>91</v>
      </c>
      <c r="D25" s="3" t="s">
        <v>92</v>
      </c>
      <c r="E25" s="3" t="s">
        <v>93</v>
      </c>
      <c r="F25" s="3" t="s">
        <v>94</v>
      </c>
      <c r="G25" s="3" t="s">
        <v>95</v>
      </c>
      <c r="H25" s="3" t="s">
        <v>96</v>
      </c>
      <c r="I25" s="3" t="s">
        <v>97</v>
      </c>
      <c r="J25" s="4" t="s">
        <v>98</v>
      </c>
      <c r="L25" t="s">
        <v>1</v>
      </c>
    </row>
    <row r="26" spans="2:13" x14ac:dyDescent="0.25">
      <c r="C26" s="2" t="s">
        <v>16</v>
      </c>
      <c r="D26" s="28" t="s">
        <v>99</v>
      </c>
      <c r="E26" s="28" t="s">
        <v>100</v>
      </c>
      <c r="F26" s="28">
        <f>C20*1000</f>
        <v>6175.0000000000018</v>
      </c>
      <c r="G26" s="28">
        <f>H16*1000</f>
        <v>4662</v>
      </c>
      <c r="H26" s="29">
        <f>$H$12*L26*1000</f>
        <v>25162.209820649987</v>
      </c>
      <c r="I26" s="28">
        <v>0</v>
      </c>
      <c r="J26" s="6" t="s">
        <v>101</v>
      </c>
      <c r="L26">
        <v>0.35699999999999998</v>
      </c>
    </row>
    <row r="27" spans="2:13" x14ac:dyDescent="0.25">
      <c r="C27" s="2" t="s">
        <v>16</v>
      </c>
      <c r="D27" s="28" t="s">
        <v>13</v>
      </c>
      <c r="E27" s="28" t="s">
        <v>102</v>
      </c>
      <c r="F27" s="28">
        <f>C21*1000</f>
        <v>3325.0000000000005</v>
      </c>
      <c r="G27" s="28">
        <f>H17*10000</f>
        <v>35520</v>
      </c>
      <c r="H27" s="29">
        <f t="shared" ref="H27:H30" si="5">$H$12*L27*1000</f>
        <v>8316.9208930999957</v>
      </c>
      <c r="I27" s="28">
        <v>0</v>
      </c>
      <c r="J27" s="6" t="s">
        <v>101</v>
      </c>
      <c r="L27">
        <v>0.11799999999999999</v>
      </c>
    </row>
    <row r="28" spans="2:13" x14ac:dyDescent="0.25">
      <c r="C28" s="2" t="s">
        <v>77</v>
      </c>
      <c r="D28" s="28" t="s">
        <v>103</v>
      </c>
      <c r="E28" s="28" t="s">
        <v>104</v>
      </c>
      <c r="F28" s="28">
        <v>0</v>
      </c>
      <c r="G28" s="28">
        <v>0</v>
      </c>
      <c r="H28" s="29">
        <f t="shared" si="5"/>
        <v>27840.540277749988</v>
      </c>
      <c r="I28" s="28">
        <v>0</v>
      </c>
      <c r="J28" s="6" t="s">
        <v>101</v>
      </c>
      <c r="L28">
        <v>0.39500000000000002</v>
      </c>
    </row>
    <row r="29" spans="2:13" x14ac:dyDescent="0.25">
      <c r="C29" s="2" t="s">
        <v>77</v>
      </c>
      <c r="D29" s="28" t="s">
        <v>105</v>
      </c>
      <c r="E29" s="28" t="s">
        <v>106</v>
      </c>
      <c r="F29" s="28">
        <f>C17*1000</f>
        <v>32900</v>
      </c>
      <c r="G29" s="28">
        <f>H18*1000</f>
        <v>11544</v>
      </c>
      <c r="H29" s="29">
        <f t="shared" si="5"/>
        <v>7259.685186349996</v>
      </c>
      <c r="I29" s="28">
        <v>0</v>
      </c>
      <c r="J29" s="6" t="s">
        <v>101</v>
      </c>
      <c r="L29">
        <v>0.10299999999999999</v>
      </c>
    </row>
    <row r="30" spans="2:13" x14ac:dyDescent="0.25">
      <c r="C30" s="2" t="s">
        <v>77</v>
      </c>
      <c r="D30" s="28" t="s">
        <v>107</v>
      </c>
      <c r="E30" s="28" t="s">
        <v>108</v>
      </c>
      <c r="F30" s="28">
        <f>C18*1000</f>
        <v>4600</v>
      </c>
      <c r="G30" s="28">
        <f>H19*1000</f>
        <v>2663.9999999999995</v>
      </c>
      <c r="H30" s="29">
        <f t="shared" si="5"/>
        <v>1903.024272149999</v>
      </c>
      <c r="I30" s="28">
        <v>0</v>
      </c>
      <c r="J30" s="6" t="s">
        <v>101</v>
      </c>
      <c r="L30">
        <v>2.7E-2</v>
      </c>
    </row>
    <row r="31" spans="2:13" x14ac:dyDescent="0.25">
      <c r="C31" s="2" t="s">
        <v>109</v>
      </c>
      <c r="D31" s="28" t="s">
        <v>110</v>
      </c>
      <c r="E31" s="28" t="s">
        <v>111</v>
      </c>
      <c r="F31" s="28">
        <v>0</v>
      </c>
      <c r="G31" s="28">
        <v>0</v>
      </c>
      <c r="H31" s="29">
        <v>0</v>
      </c>
      <c r="I31" s="28">
        <f>L16*1000</f>
        <v>125700</v>
      </c>
      <c r="J31" s="6" t="s">
        <v>112</v>
      </c>
    </row>
    <row r="32" spans="2:13" x14ac:dyDescent="0.25">
      <c r="C32" s="2" t="s">
        <v>109</v>
      </c>
      <c r="D32" s="28" t="s">
        <v>113</v>
      </c>
      <c r="E32" s="28" t="s">
        <v>114</v>
      </c>
      <c r="F32" s="28">
        <v>0</v>
      </c>
      <c r="G32" s="28">
        <v>0</v>
      </c>
      <c r="H32" s="29">
        <v>0</v>
      </c>
      <c r="I32" s="28">
        <f>L17*1000</f>
        <v>70000</v>
      </c>
      <c r="J32" s="6" t="s">
        <v>115</v>
      </c>
    </row>
    <row r="33" spans="3:10" x14ac:dyDescent="0.25">
      <c r="C33" s="7" t="s">
        <v>116</v>
      </c>
      <c r="D33" s="12" t="s">
        <v>116</v>
      </c>
      <c r="E33" s="12" t="s">
        <v>117</v>
      </c>
      <c r="F33" s="12">
        <v>0</v>
      </c>
      <c r="G33" s="12">
        <v>0</v>
      </c>
      <c r="H33" s="30">
        <f>Y7</f>
        <v>31633.061810000003</v>
      </c>
      <c r="I33" s="12">
        <v>0</v>
      </c>
      <c r="J33" s="8" t="s">
        <v>6</v>
      </c>
    </row>
  </sheetData>
  <hyperlinks>
    <hyperlink ref="I8" r:id="rId1" xr:uid="{4E85E494-9A7B-435E-8739-629B89A3054D}"/>
    <hyperlink ref="I5" r:id="rId2" xr:uid="{2657D8A2-38EB-4E67-A588-DF986D7DE31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B2E4-DD43-48FF-B0E2-CC7D1CA553A4}">
  <dimension ref="B2:X30"/>
  <sheetViews>
    <sheetView tabSelected="1" workbookViewId="0">
      <selection activeCell="T30" sqref="T30"/>
    </sheetView>
  </sheetViews>
  <sheetFormatPr defaultRowHeight="15" x14ac:dyDescent="0.25"/>
  <cols>
    <col min="2" max="2" width="11.28515625" customWidth="1"/>
    <col min="3" max="3" width="9.5703125" customWidth="1"/>
    <col min="5" max="5" width="6.42578125" customWidth="1"/>
    <col min="7" max="7" width="12.7109375" customWidth="1"/>
    <col min="8" max="8" width="9.42578125" customWidth="1"/>
    <col min="13" max="13" width="10.28515625" customWidth="1"/>
  </cols>
  <sheetData>
    <row r="2" spans="2:24" x14ac:dyDescent="0.25">
      <c r="B2" s="16" t="s">
        <v>88</v>
      </c>
      <c r="C2" s="4"/>
      <c r="G2" s="16" t="s">
        <v>25</v>
      </c>
      <c r="H2" s="4"/>
      <c r="M2" s="1" t="s">
        <v>11</v>
      </c>
    </row>
    <row r="3" spans="2:24" x14ac:dyDescent="0.25">
      <c r="B3" s="2"/>
      <c r="C3" s="6"/>
      <c r="G3" s="2"/>
      <c r="H3" s="6"/>
    </row>
    <row r="4" spans="2:24" x14ac:dyDescent="0.25">
      <c r="B4" s="2"/>
      <c r="C4" s="6" t="s">
        <v>28</v>
      </c>
      <c r="G4" s="2"/>
      <c r="H4" s="6" t="s">
        <v>29</v>
      </c>
      <c r="I4" t="s">
        <v>27</v>
      </c>
      <c r="J4" t="s">
        <v>35</v>
      </c>
      <c r="M4" s="5"/>
      <c r="N4" s="3" t="s">
        <v>27</v>
      </c>
      <c r="O4" s="3" t="s">
        <v>7</v>
      </c>
      <c r="P4" s="4" t="s">
        <v>8</v>
      </c>
      <c r="Q4" t="s">
        <v>44</v>
      </c>
    </row>
    <row r="5" spans="2:24" x14ac:dyDescent="0.25">
      <c r="B5" s="2" t="s">
        <v>30</v>
      </c>
      <c r="C5" s="6">
        <v>20</v>
      </c>
      <c r="G5" s="2" t="s">
        <v>26</v>
      </c>
      <c r="H5" s="6">
        <f>I5/J5</f>
        <v>23.454545454545457</v>
      </c>
      <c r="I5">
        <v>2.58</v>
      </c>
      <c r="J5">
        <v>0.11</v>
      </c>
      <c r="K5" s="27" t="s">
        <v>89</v>
      </c>
      <c r="M5" s="2" t="s">
        <v>2</v>
      </c>
      <c r="N5">
        <f>90.76-14</f>
        <v>76.760000000000005</v>
      </c>
      <c r="O5">
        <v>1</v>
      </c>
      <c r="P5" s="6">
        <f>N5*O5</f>
        <v>76.760000000000005</v>
      </c>
      <c r="V5" t="s">
        <v>122</v>
      </c>
    </row>
    <row r="6" spans="2:24" x14ac:dyDescent="0.25">
      <c r="B6" s="2" t="s">
        <v>33</v>
      </c>
      <c r="C6" s="6">
        <v>13.15</v>
      </c>
      <c r="G6" s="2" t="s">
        <v>32</v>
      </c>
      <c r="H6" s="6">
        <v>40.94</v>
      </c>
      <c r="M6" s="2" t="s">
        <v>41</v>
      </c>
      <c r="N6">
        <f>15.23+11</f>
        <v>26.23</v>
      </c>
      <c r="O6">
        <v>0.93</v>
      </c>
      <c r="P6" s="6">
        <f t="shared" ref="P6:P8" si="0">N6*O6</f>
        <v>24.393900000000002</v>
      </c>
      <c r="Q6" t="s">
        <v>43</v>
      </c>
      <c r="V6" t="s">
        <v>118</v>
      </c>
    </row>
    <row r="7" spans="2:24" x14ac:dyDescent="0.25">
      <c r="B7" s="2" t="s">
        <v>31</v>
      </c>
      <c r="C7" s="6">
        <v>126.54</v>
      </c>
      <c r="G7" s="2" t="s">
        <v>33</v>
      </c>
      <c r="H7" s="6">
        <v>13.99</v>
      </c>
      <c r="M7" s="2" t="s">
        <v>9</v>
      </c>
      <c r="N7">
        <v>9.26</v>
      </c>
      <c r="O7">
        <v>0.93</v>
      </c>
      <c r="P7" s="6">
        <f t="shared" si="0"/>
        <v>8.6118000000000006</v>
      </c>
      <c r="Q7" t="s">
        <v>43</v>
      </c>
      <c r="V7" t="s">
        <v>12</v>
      </c>
      <c r="W7">
        <v>120.78</v>
      </c>
    </row>
    <row r="8" spans="2:24" x14ac:dyDescent="0.25">
      <c r="B8" s="15" t="s">
        <v>12</v>
      </c>
      <c r="C8" s="40">
        <f>SUM(C5:C7)</f>
        <v>159.69</v>
      </c>
      <c r="G8" s="41" t="s">
        <v>12</v>
      </c>
      <c r="H8" s="42">
        <f>SUM(H5:H7)</f>
        <v>78.384545454545446</v>
      </c>
      <c r="M8" s="7" t="s">
        <v>42</v>
      </c>
      <c r="N8" s="12">
        <v>5.38</v>
      </c>
      <c r="O8" s="12">
        <v>0.86</v>
      </c>
      <c r="P8" s="8">
        <f t="shared" si="0"/>
        <v>4.6268000000000002</v>
      </c>
      <c r="Q8" t="s">
        <v>45</v>
      </c>
      <c r="V8" t="s">
        <v>119</v>
      </c>
      <c r="W8">
        <v>13.61</v>
      </c>
      <c r="X8" t="s">
        <v>121</v>
      </c>
    </row>
    <row r="9" spans="2:24" x14ac:dyDescent="0.25">
      <c r="B9" s="41" t="s">
        <v>34</v>
      </c>
      <c r="C9" s="42">
        <f>SUM(C5:C6)/C8</f>
        <v>0.20758970505354124</v>
      </c>
      <c r="M9" s="19" t="s">
        <v>12</v>
      </c>
      <c r="N9" s="17">
        <f>SUM(N5:N8)</f>
        <v>117.63000000000001</v>
      </c>
      <c r="O9" s="17"/>
      <c r="P9" s="10">
        <f t="shared" ref="P9" si="1">SUM(P5:P8)</f>
        <v>114.39250000000001</v>
      </c>
      <c r="V9" t="s">
        <v>79</v>
      </c>
      <c r="W9">
        <v>6.78</v>
      </c>
      <c r="X9" t="s">
        <v>120</v>
      </c>
    </row>
    <row r="10" spans="2:24" x14ac:dyDescent="0.25">
      <c r="M10" s="9"/>
      <c r="N10" s="17" t="s">
        <v>78</v>
      </c>
      <c r="O10" s="17">
        <v>1.0774999999999999</v>
      </c>
      <c r="P10" s="10">
        <f>P9*O10</f>
        <v>123.25791875</v>
      </c>
      <c r="Q10" t="s">
        <v>90</v>
      </c>
      <c r="T10" t="s">
        <v>74</v>
      </c>
      <c r="V10" t="s">
        <v>22</v>
      </c>
      <c r="W10">
        <v>5.42</v>
      </c>
    </row>
    <row r="11" spans="2:24" x14ac:dyDescent="0.25">
      <c r="M11" s="7" t="s">
        <v>80</v>
      </c>
      <c r="N11" s="12">
        <f>W11*N9</f>
        <v>21.615169895678097</v>
      </c>
      <c r="O11" s="12">
        <v>1</v>
      </c>
      <c r="P11" s="8">
        <f>N11*O11</f>
        <v>21.615169895678097</v>
      </c>
      <c r="T11">
        <f>P12/N12</f>
        <v>1.058615098770525</v>
      </c>
      <c r="W11">
        <f>(W8+W9*7/15+W10)/W7</f>
        <v>0.18375558867362149</v>
      </c>
    </row>
    <row r="12" spans="2:24" x14ac:dyDescent="0.25">
      <c r="B12" s="16" t="s">
        <v>10</v>
      </c>
      <c r="C12" s="4" t="s">
        <v>27</v>
      </c>
      <c r="D12" s="28" t="s">
        <v>21</v>
      </c>
      <c r="G12" s="16" t="s">
        <v>40</v>
      </c>
      <c r="H12" s="4" t="s">
        <v>27</v>
      </c>
      <c r="I12" t="s">
        <v>21</v>
      </c>
      <c r="M12" s="19" t="s">
        <v>65</v>
      </c>
      <c r="N12" s="17">
        <f>N9-N11</f>
        <v>96.014830104321916</v>
      </c>
      <c r="O12" s="17"/>
      <c r="P12" s="21">
        <f>P10-P11</f>
        <v>101.64274885432191</v>
      </c>
    </row>
    <row r="13" spans="2:24" x14ac:dyDescent="0.25">
      <c r="B13" s="2" t="s">
        <v>36</v>
      </c>
      <c r="C13" s="6">
        <v>45.03</v>
      </c>
      <c r="D13" s="28"/>
      <c r="G13" s="2" t="s">
        <v>36</v>
      </c>
      <c r="H13" s="6">
        <v>29.03</v>
      </c>
    </row>
    <row r="14" spans="2:24" x14ac:dyDescent="0.25">
      <c r="B14" s="2" t="s">
        <v>37</v>
      </c>
      <c r="C14" s="6">
        <v>8.86</v>
      </c>
      <c r="D14" s="28"/>
      <c r="G14" s="2" t="s">
        <v>37</v>
      </c>
      <c r="H14" s="6">
        <v>3.98</v>
      </c>
    </row>
    <row r="15" spans="2:24" x14ac:dyDescent="0.25">
      <c r="B15" s="2" t="s">
        <v>2</v>
      </c>
      <c r="C15" s="25">
        <v>19.739999999999998</v>
      </c>
      <c r="D15" s="28"/>
      <c r="G15" s="2" t="s">
        <v>2</v>
      </c>
      <c r="H15" s="25">
        <v>22.86</v>
      </c>
      <c r="M15" s="9" t="s">
        <v>3</v>
      </c>
      <c r="N15" s="17"/>
      <c r="O15" s="17"/>
      <c r="P15" s="10">
        <v>51.094000000000001</v>
      </c>
      <c r="Q15" t="s">
        <v>123</v>
      </c>
    </row>
    <row r="16" spans="2:24" x14ac:dyDescent="0.25">
      <c r="B16" s="2" t="s">
        <v>38</v>
      </c>
      <c r="C16" s="6">
        <f>$C$15*D16</f>
        <v>12.831</v>
      </c>
      <c r="D16" s="28">
        <v>0.65</v>
      </c>
      <c r="G16" s="2" t="s">
        <v>38</v>
      </c>
      <c r="H16" s="6">
        <f>$H$15*I16</f>
        <v>12.801600000000001</v>
      </c>
      <c r="I16">
        <v>0.56000000000000005</v>
      </c>
    </row>
    <row r="17" spans="2:18" x14ac:dyDescent="0.25">
      <c r="B17" s="7" t="s">
        <v>39</v>
      </c>
      <c r="C17" s="8">
        <f>$C$15*D17</f>
        <v>6.9089999999999989</v>
      </c>
      <c r="D17" s="28">
        <v>0.35</v>
      </c>
      <c r="G17" s="7" t="s">
        <v>39</v>
      </c>
      <c r="H17" s="8">
        <f>$H$15*I17</f>
        <v>10.058400000000001</v>
      </c>
      <c r="I17">
        <v>0.44</v>
      </c>
    </row>
    <row r="19" spans="2:18" x14ac:dyDescent="0.25">
      <c r="B19" s="1"/>
    </row>
    <row r="21" spans="2:18" x14ac:dyDescent="0.25">
      <c r="I21" t="s">
        <v>14</v>
      </c>
    </row>
    <row r="22" spans="2:18" x14ac:dyDescent="0.25">
      <c r="I22" s="31" t="s">
        <v>91</v>
      </c>
      <c r="J22" s="32" t="s">
        <v>92</v>
      </c>
      <c r="K22" s="32" t="s">
        <v>93</v>
      </c>
      <c r="L22" s="32" t="s">
        <v>94</v>
      </c>
      <c r="M22" s="32" t="s">
        <v>95</v>
      </c>
      <c r="N22" s="32" t="s">
        <v>96</v>
      </c>
      <c r="O22" s="32" t="s">
        <v>97</v>
      </c>
      <c r="P22" s="33" t="s">
        <v>98</v>
      </c>
      <c r="R22" t="s">
        <v>1</v>
      </c>
    </row>
    <row r="23" spans="2:18" x14ac:dyDescent="0.25">
      <c r="I23" s="34" t="s">
        <v>16</v>
      </c>
      <c r="J23" s="35" t="s">
        <v>99</v>
      </c>
      <c r="K23" s="35" t="s">
        <v>100</v>
      </c>
      <c r="L23" s="35">
        <f>C16*1000</f>
        <v>12831</v>
      </c>
      <c r="M23" s="35">
        <f>H16*1000</f>
        <v>12801.6</v>
      </c>
      <c r="N23" s="43">
        <f>$P$12*R23*1000</f>
        <v>36286.461340992922</v>
      </c>
      <c r="O23" s="35">
        <v>0</v>
      </c>
      <c r="P23" s="36" t="s">
        <v>101</v>
      </c>
      <c r="R23">
        <v>0.35699999999999998</v>
      </c>
    </row>
    <row r="24" spans="2:18" x14ac:dyDescent="0.25">
      <c r="I24" s="34" t="s">
        <v>16</v>
      </c>
      <c r="J24" s="35" t="s">
        <v>13</v>
      </c>
      <c r="K24" s="35" t="s">
        <v>102</v>
      </c>
      <c r="L24" s="35">
        <f>C17*1000</f>
        <v>6908.9999999999991</v>
      </c>
      <c r="M24" s="35">
        <f>H17*1000</f>
        <v>10058.400000000001</v>
      </c>
      <c r="N24" s="43">
        <f t="shared" ref="N24:N27" si="2">$P$12*R24*1000</f>
        <v>11993.844364809984</v>
      </c>
      <c r="O24" s="35">
        <v>0</v>
      </c>
      <c r="P24" s="36" t="s">
        <v>101</v>
      </c>
      <c r="R24">
        <v>0.11799999999999999</v>
      </c>
    </row>
    <row r="25" spans="2:18" x14ac:dyDescent="0.25">
      <c r="I25" s="34" t="s">
        <v>77</v>
      </c>
      <c r="J25" s="35" t="s">
        <v>103</v>
      </c>
      <c r="K25" s="35" t="s">
        <v>104</v>
      </c>
      <c r="L25" s="35">
        <v>0</v>
      </c>
      <c r="M25" s="35">
        <v>0</v>
      </c>
      <c r="N25" s="43">
        <f t="shared" si="2"/>
        <v>40148.885797457151</v>
      </c>
      <c r="O25" s="35">
        <v>0</v>
      </c>
      <c r="P25" s="36" t="s">
        <v>101</v>
      </c>
      <c r="R25">
        <v>0.39500000000000002</v>
      </c>
    </row>
    <row r="26" spans="2:18" x14ac:dyDescent="0.25">
      <c r="I26" s="34" t="s">
        <v>77</v>
      </c>
      <c r="J26" s="35" t="s">
        <v>105</v>
      </c>
      <c r="K26" s="35" t="s">
        <v>106</v>
      </c>
      <c r="L26" s="35">
        <f>C13*1000</f>
        <v>45030</v>
      </c>
      <c r="M26" s="35">
        <f>H13*1000</f>
        <v>29030</v>
      </c>
      <c r="N26" s="43">
        <f t="shared" si="2"/>
        <v>10469.203131995157</v>
      </c>
      <c r="O26" s="35">
        <v>0</v>
      </c>
      <c r="P26" s="36" t="s">
        <v>101</v>
      </c>
      <c r="R26">
        <v>0.10299999999999999</v>
      </c>
    </row>
    <row r="27" spans="2:18" x14ac:dyDescent="0.25">
      <c r="I27" s="34" t="s">
        <v>77</v>
      </c>
      <c r="J27" s="35" t="s">
        <v>107</v>
      </c>
      <c r="K27" s="35" t="s">
        <v>108</v>
      </c>
      <c r="L27" s="35">
        <f>C14*1000</f>
        <v>8860</v>
      </c>
      <c r="M27" s="35">
        <f>H14*1000</f>
        <v>3980</v>
      </c>
      <c r="N27" s="43">
        <f t="shared" si="2"/>
        <v>2744.3542190666913</v>
      </c>
      <c r="O27" s="35">
        <v>0</v>
      </c>
      <c r="P27" s="36" t="s">
        <v>101</v>
      </c>
      <c r="R27">
        <v>2.7E-2</v>
      </c>
    </row>
    <row r="28" spans="2:18" x14ac:dyDescent="0.25">
      <c r="I28" s="34" t="s">
        <v>109</v>
      </c>
      <c r="J28" s="35" t="s">
        <v>110</v>
      </c>
      <c r="K28" s="35" t="s">
        <v>111</v>
      </c>
      <c r="L28" s="35">
        <v>0</v>
      </c>
      <c r="M28" s="35">
        <v>0</v>
      </c>
      <c r="N28" s="35">
        <v>0</v>
      </c>
      <c r="O28" s="35">
        <f>C8*1000</f>
        <v>159690</v>
      </c>
      <c r="P28" s="36" t="s">
        <v>112</v>
      </c>
    </row>
    <row r="29" spans="2:18" x14ac:dyDescent="0.25">
      <c r="I29" s="34" t="s">
        <v>109</v>
      </c>
      <c r="J29" s="35" t="s">
        <v>113</v>
      </c>
      <c r="K29" s="35" t="s">
        <v>114</v>
      </c>
      <c r="L29" s="35">
        <v>0</v>
      </c>
      <c r="M29" s="35">
        <v>0</v>
      </c>
      <c r="N29" s="35">
        <v>0</v>
      </c>
      <c r="O29" s="43">
        <f>H8*1000</f>
        <v>78384.545454545441</v>
      </c>
      <c r="P29" s="36" t="s">
        <v>115</v>
      </c>
    </row>
    <row r="30" spans="2:18" x14ac:dyDescent="0.25">
      <c r="I30" s="37" t="s">
        <v>116</v>
      </c>
      <c r="J30" s="38" t="s">
        <v>116</v>
      </c>
      <c r="K30" s="38" t="s">
        <v>117</v>
      </c>
      <c r="L30" s="38">
        <v>0</v>
      </c>
      <c r="M30" s="38">
        <v>0</v>
      </c>
      <c r="N30" s="38">
        <f>P15*1000</f>
        <v>51094</v>
      </c>
      <c r="O30" s="38">
        <v>0</v>
      </c>
      <c r="P30" s="39" t="s">
        <v>6</v>
      </c>
    </row>
  </sheetData>
  <pageMargins left="0.7" right="0.7" top="0.75" bottom="0.75" header="0.3" footer="0.3"/>
  <pageSetup orientation="portrait" r:id="rId1"/>
  <ignoredErrors>
    <ignoredError sqref="C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CLEVER</vt:lpstr>
      <vt:lpstr>Energyville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Verstraeten</dc:creator>
  <cp:lastModifiedBy>Pierre Verstraeten</cp:lastModifiedBy>
  <dcterms:created xsi:type="dcterms:W3CDTF">2015-06-05T18:19:34Z</dcterms:created>
  <dcterms:modified xsi:type="dcterms:W3CDTF">2023-06-27T15:14:47Z</dcterms:modified>
</cp:coreProperties>
</file>