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uclouvain-my.sharepoint.com/personal/pierre_verstraeten_student_uclouvain_be/Documents/EPL/LEPL2990 Mémoire/"/>
    </mc:Choice>
  </mc:AlternateContent>
  <xr:revisionPtr revIDLastSave="749" documentId="11_AD4DB114E441178AC67DF4DFE691D9CA693EDF24" xr6:coauthVersionLast="47" xr6:coauthVersionMax="47" xr10:uidLastSave="{46B977CC-0769-4F6E-8462-5BF7466B0D63}"/>
  <bookViews>
    <workbookView xWindow="-120" yWindow="-120" windowWidth="29040" windowHeight="15720" activeTab="7" xr2:uid="{00000000-000D-0000-FFFF-FFFF00000000}"/>
  </bookViews>
  <sheets>
    <sheet name="Steel" sheetId="1" r:id="rId1"/>
    <sheet name="Cement" sheetId="4" r:id="rId2"/>
    <sheet name="Food" sheetId="5" r:id="rId3"/>
    <sheet name="HVC" sheetId="2" r:id="rId4"/>
    <sheet name="Ammonia" sheetId="3" r:id="rId5"/>
    <sheet name="Paper" sheetId="8" r:id="rId6"/>
    <sheet name="Transport equipment" sheetId="9" r:id="rId7"/>
    <sheet name="Total" sheetId="6" r:id="rId8"/>
    <sheet name="Total NED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I3" i="4"/>
  <c r="I3" i="12"/>
  <c r="I4" i="12"/>
  <c r="I2" i="12"/>
  <c r="H22" i="6"/>
  <c r="E22" i="6"/>
  <c r="C22" i="6"/>
  <c r="H14" i="2"/>
  <c r="F23" i="6" l="1"/>
  <c r="F24" i="6"/>
  <c r="F25" i="6"/>
  <c r="F26" i="6"/>
  <c r="G26" i="6"/>
  <c r="H26" i="6"/>
  <c r="D26" i="6"/>
  <c r="E26" i="6"/>
  <c r="C26" i="6"/>
  <c r="G21" i="6"/>
  <c r="E21" i="6"/>
  <c r="D21" i="6"/>
  <c r="H24" i="6"/>
  <c r="E24" i="6"/>
  <c r="C24" i="6"/>
  <c r="C25" i="6" s="1"/>
  <c r="G16" i="6"/>
  <c r="E16" i="6"/>
  <c r="K9" i="5"/>
  <c r="I8" i="5"/>
  <c r="H8" i="5"/>
  <c r="J8" i="5" s="1"/>
  <c r="G8" i="5"/>
  <c r="G14" i="6"/>
  <c r="G19" i="6"/>
  <c r="G20" i="6"/>
  <c r="E19" i="6"/>
  <c r="E20" i="6"/>
  <c r="E18" i="6"/>
  <c r="E14" i="6"/>
  <c r="E13" i="6"/>
  <c r="G18" i="6"/>
  <c r="G13" i="6"/>
  <c r="D13" i="6"/>
  <c r="G10" i="6"/>
  <c r="G9" i="6"/>
  <c r="H6" i="6"/>
  <c r="E6" i="6"/>
  <c r="G6" i="6"/>
  <c r="G4" i="6"/>
  <c r="E9" i="6"/>
  <c r="E10" i="6"/>
  <c r="E8" i="6"/>
  <c r="E4" i="6"/>
  <c r="D4" i="6"/>
  <c r="D6" i="6"/>
  <c r="D10" i="6"/>
  <c r="D9" i="6"/>
  <c r="D18" i="6"/>
  <c r="D24" i="6" l="1"/>
  <c r="D3" i="8" s="1"/>
  <c r="K8" i="5"/>
  <c r="L3" i="4" l="1"/>
  <c r="I13" i="2"/>
  <c r="E5" i="12" l="1"/>
  <c r="F3" i="12" s="1"/>
  <c r="C5" i="12"/>
  <c r="E3" i="12"/>
  <c r="E4" i="12"/>
  <c r="E2" i="12"/>
  <c r="F2" i="12" l="1"/>
  <c r="F4" i="12"/>
  <c r="H20" i="6"/>
  <c r="H19" i="6"/>
  <c r="H14" i="6"/>
  <c r="E17" i="6"/>
  <c r="E4" i="8"/>
  <c r="D15" i="6" s="1"/>
  <c r="E15" i="6" s="1"/>
  <c r="E25" i="6" s="1"/>
  <c r="D25" i="6" s="1"/>
  <c r="G17" i="6"/>
  <c r="H17" i="6" s="1"/>
  <c r="G7" i="6"/>
  <c r="G8" i="6"/>
  <c r="G12" i="6"/>
  <c r="G3" i="6"/>
  <c r="E12" i="6"/>
  <c r="E3" i="6"/>
  <c r="G15" i="6" l="1"/>
  <c r="H15" i="6" s="1"/>
  <c r="H25" i="6" s="1"/>
  <c r="G25" i="6" s="1"/>
  <c r="H16" i="6"/>
  <c r="H12" i="6"/>
  <c r="H3" i="6"/>
  <c r="L4" i="3"/>
  <c r="C8" i="6"/>
  <c r="C7" i="6"/>
  <c r="H8" i="6" l="1"/>
  <c r="H7" i="6"/>
  <c r="H23" i="6" s="1"/>
  <c r="C23" i="6"/>
  <c r="E7" i="6"/>
  <c r="E23" i="6" s="1"/>
  <c r="D23" i="6" s="1"/>
  <c r="G23" i="6" l="1"/>
  <c r="H13" i="6" l="1"/>
  <c r="H18" i="6"/>
  <c r="H10" i="6"/>
  <c r="H9" i="6"/>
  <c r="H4" i="6"/>
  <c r="AA10" i="1"/>
  <c r="G24" i="6" l="1"/>
  <c r="H21" i="6" s="1"/>
  <c r="F11" i="4"/>
  <c r="F3" i="2"/>
  <c r="F5" i="2"/>
  <c r="F4" i="2"/>
  <c r="V8" i="1"/>
  <c r="P6" i="1"/>
  <c r="N22" i="6" l="1"/>
  <c r="E3" i="3"/>
  <c r="C7" i="2"/>
  <c r="V10" i="1"/>
  <c r="W10" i="1" s="1"/>
  <c r="U10" i="1"/>
  <c r="V9" i="1"/>
  <c r="Q15" i="1"/>
  <c r="Q14" i="1"/>
  <c r="Q13" i="1"/>
  <c r="K19" i="1"/>
  <c r="K18" i="1"/>
  <c r="K17" i="1"/>
  <c r="L13" i="1"/>
  <c r="L12" i="1"/>
  <c r="L11" i="1"/>
  <c r="J5" i="1"/>
  <c r="J6" i="1"/>
  <c r="J4" i="1"/>
  <c r="I6" i="1"/>
  <c r="H6" i="1"/>
  <c r="C7" i="1"/>
  <c r="G3" i="2" l="1"/>
  <c r="K5" i="2" s="1"/>
</calcChain>
</file>

<file path=xl/sharedStrings.xml><?xml version="1.0" encoding="utf-8"?>
<sst xmlns="http://schemas.openxmlformats.org/spreadsheetml/2006/main" count="137" uniqueCount="109">
  <si>
    <t>From Material Economics</t>
  </si>
  <si>
    <t>Construction</t>
  </si>
  <si>
    <t>Transport</t>
  </si>
  <si>
    <t>Machinery</t>
  </si>
  <si>
    <t>Other</t>
  </si>
  <si>
    <t>TOTAL</t>
  </si>
  <si>
    <t>Mt</t>
  </si>
  <si>
    <t>Construction Hugo</t>
  </si>
  <si>
    <t>Households</t>
  </si>
  <si>
    <t>Residential</t>
  </si>
  <si>
    <t>Surface 2015</t>
  </si>
  <si>
    <t xml:space="preserve"> Surface 2050</t>
  </si>
  <si>
    <t>Total</t>
  </si>
  <si>
    <t>Ratio</t>
  </si>
  <si>
    <t>Index</t>
  </si>
  <si>
    <t>pkm / cap</t>
  </si>
  <si>
    <t>pop</t>
  </si>
  <si>
    <t>share car</t>
  </si>
  <si>
    <t>Cars Hugo</t>
  </si>
  <si>
    <t>occupancy</t>
  </si>
  <si>
    <t>car km</t>
  </si>
  <si>
    <t>Public Hugo</t>
  </si>
  <si>
    <t>share public</t>
  </si>
  <si>
    <t>pub pkm</t>
  </si>
  <si>
    <t>Eurofer</t>
  </si>
  <si>
    <t>Steel for car</t>
  </si>
  <si>
    <t>Steel for public</t>
  </si>
  <si>
    <t>Share of transport steel</t>
  </si>
  <si>
    <t>Steel use in construction</t>
  </si>
  <si>
    <t>Steel use in transport</t>
  </si>
  <si>
    <t>Packaging</t>
  </si>
  <si>
    <t>BEH with smart crop set to level 3</t>
  </si>
  <si>
    <t>Buildings</t>
  </si>
  <si>
    <t>negaWatt</t>
  </si>
  <si>
    <t>(FEC)</t>
  </si>
  <si>
    <t xml:space="preserve">20% substitution by wood (Climact) </t>
  </si>
  <si>
    <t>40% substitution by wood</t>
  </si>
  <si>
    <t>Final index</t>
  </si>
  <si>
    <t>Material substitution</t>
  </si>
  <si>
    <t>Material Economics  p172</t>
  </si>
  <si>
    <t>Clinker cement share</t>
  </si>
  <si>
    <t>Efficiency</t>
  </si>
  <si>
    <t>Index total</t>
  </si>
  <si>
    <t>Iron and steel</t>
  </si>
  <si>
    <t>Non Ferrous Metals</t>
  </si>
  <si>
    <t>Chemicals Industry</t>
  </si>
  <si>
    <t xml:space="preserve">Basic chemicals </t>
  </si>
  <si>
    <t>Other chemicals</t>
  </si>
  <si>
    <t>Pharmaceutical products etc.</t>
  </si>
  <si>
    <t>Non-metallic mineral products</t>
  </si>
  <si>
    <t>Cement</t>
  </si>
  <si>
    <t>Ceramics &amp; other NMM</t>
  </si>
  <si>
    <t xml:space="preserve">Glass production </t>
  </si>
  <si>
    <t>Pulp, paper and printing</t>
  </si>
  <si>
    <t xml:space="preserve"> Food, beverages and tobacco</t>
  </si>
  <si>
    <t xml:space="preserve"> Transport Equipment</t>
  </si>
  <si>
    <t xml:space="preserve"> Machinery Equipment</t>
  </si>
  <si>
    <t xml:space="preserve"> Textiles and leather</t>
  </si>
  <si>
    <t xml:space="preserve"> Wood and wood products</t>
  </si>
  <si>
    <t xml:space="preserve"> Other Industrial Sectors</t>
  </si>
  <si>
    <t>FEC [TWh]</t>
  </si>
  <si>
    <t xml:space="preserve">     Ammonia</t>
  </si>
  <si>
    <t xml:space="preserve">     HVC</t>
  </si>
  <si>
    <t>FEC ratio</t>
  </si>
  <si>
    <t>FEC 2050</t>
  </si>
  <si>
    <t>TOTAL selected sectors</t>
  </si>
  <si>
    <t>Other (packaging, …)</t>
  </si>
  <si>
    <t>Share newsprint &amp; hygiene</t>
  </si>
  <si>
    <t>Suff index</t>
  </si>
  <si>
    <t>Global index</t>
  </si>
  <si>
    <t>Sufficiency</t>
  </si>
  <si>
    <t>(from Climact)</t>
  </si>
  <si>
    <t>Suff FEC</t>
  </si>
  <si>
    <t>Material sufficiency vehicles (cfr steel)</t>
  </si>
  <si>
    <t>(Climact)</t>
  </si>
  <si>
    <t>Ammonia</t>
  </si>
  <si>
    <t>HVC</t>
  </si>
  <si>
    <t>2015 feedstock demand</t>
  </si>
  <si>
    <t>Share feedstock</t>
  </si>
  <si>
    <t>Methanol</t>
  </si>
  <si>
    <t>Feedstock</t>
  </si>
  <si>
    <t>New  share</t>
  </si>
  <si>
    <t>EUD excl basic chem</t>
  </si>
  <si>
    <t>(substitutiotn from Climact)</t>
  </si>
  <si>
    <t>(mat efficiency from CLEVER - ME)</t>
  </si>
  <si>
    <t>FEC</t>
  </si>
  <si>
    <t>Current recycling</t>
  </si>
  <si>
    <t>2050 recycling</t>
  </si>
  <si>
    <t>NED ratio</t>
  </si>
  <si>
    <t>Material Economics</t>
  </si>
  <si>
    <t xml:space="preserve"> </t>
  </si>
  <si>
    <t>Tot Efficiency</t>
  </si>
  <si>
    <t>Process</t>
  </si>
  <si>
    <t>(other)</t>
  </si>
  <si>
    <t>Food</t>
  </si>
  <si>
    <t>Prod 2015</t>
  </si>
  <si>
    <t>Prod 2050</t>
  </si>
  <si>
    <t>FEC 2015</t>
  </si>
  <si>
    <t>Intensity 2015</t>
  </si>
  <si>
    <t>Int 2050</t>
  </si>
  <si>
    <t>Global</t>
  </si>
  <si>
    <t>2000 kcal</t>
  </si>
  <si>
    <t>TOTAL excl others</t>
  </si>
  <si>
    <t>TOTAL excl others + paper</t>
  </si>
  <si>
    <t>TOTAL TOTAL</t>
  </si>
  <si>
    <t>TOTAL excl ammonia + prim HVC</t>
  </si>
  <si>
    <t>2015 EUD</t>
  </si>
  <si>
    <t>EUD/FEC Climact BEH</t>
  </si>
  <si>
    <t>reduction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</si>
</sst>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i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2" fillId="2" borderId="0" xfId="0" applyFont="1" applyFill="1"/>
    <xf numFmtId="0" fontId="5" fillId="2" borderId="0" xfId="0" applyFont="1" applyFill="1"/>
    <xf numFmtId="164" fontId="6" fillId="3" borderId="0" xfId="0" applyNumberFormat="1" applyFont="1" applyFill="1"/>
    <xf numFmtId="165" fontId="0" fillId="0" borderId="0" xfId="0" applyNumberFormat="1"/>
    <xf numFmtId="165" fontId="2" fillId="0" borderId="0" xfId="0" applyNumberFormat="1" applyFont="1"/>
    <xf numFmtId="2" fontId="6" fillId="3" borderId="0" xfId="0" applyNumberFormat="1" applyFont="1" applyFill="1"/>
    <xf numFmtId="0" fontId="2" fillId="0" borderId="1" xfId="0" applyFont="1" applyBorder="1"/>
    <xf numFmtId="2" fontId="0" fillId="0" borderId="2" xfId="0" applyNumberFormat="1" applyBorder="1"/>
    <xf numFmtId="2" fontId="2" fillId="0" borderId="3" xfId="0" applyNumberFormat="1" applyFont="1" applyBorder="1"/>
    <xf numFmtId="0" fontId="2" fillId="2" borderId="4" xfId="0" applyFont="1" applyFill="1" applyBorder="1"/>
    <xf numFmtId="164" fontId="0" fillId="0" borderId="0" xfId="1" applyNumberFormat="1" applyFont="1" applyBorder="1"/>
    <xf numFmtId="10" fontId="0" fillId="0" borderId="0" xfId="1" applyNumberFormat="1" applyFont="1" applyBorder="1"/>
    <xf numFmtId="2" fontId="0" fillId="0" borderId="5" xfId="0" applyNumberFormat="1" applyBorder="1"/>
    <xf numFmtId="0" fontId="2" fillId="0" borderId="4" xfId="0" applyFont="1" applyBorder="1"/>
    <xf numFmtId="0" fontId="2" fillId="0" borderId="6" xfId="0" applyFont="1" applyBorder="1"/>
    <xf numFmtId="2" fontId="0" fillId="0" borderId="7" xfId="0" applyNumberFormat="1" applyBorder="1"/>
    <xf numFmtId="164" fontId="0" fillId="0" borderId="7" xfId="1" applyNumberFormat="1" applyFont="1" applyBorder="1"/>
    <xf numFmtId="10" fontId="0" fillId="0" borderId="7" xfId="1" applyNumberFormat="1" applyFont="1" applyBorder="1"/>
    <xf numFmtId="2" fontId="0" fillId="0" borderId="8" xfId="0" applyNumberFormat="1" applyBorder="1"/>
    <xf numFmtId="164" fontId="0" fillId="3" borderId="2" xfId="1" applyNumberFormat="1" applyFont="1" applyFill="1" applyBorder="1"/>
    <xf numFmtId="10" fontId="0" fillId="3" borderId="2" xfId="1" applyNumberFormat="1" applyFont="1" applyFill="1" applyBorder="1"/>
    <xf numFmtId="164" fontId="0" fillId="3" borderId="0" xfId="1" applyNumberFormat="1" applyFont="1" applyFill="1"/>
    <xf numFmtId="2" fontId="0" fillId="3" borderId="0" xfId="0" applyNumberFormat="1" applyFill="1"/>
    <xf numFmtId="164" fontId="7" fillId="0" borderId="0" xfId="1" applyNumberFormat="1" applyFont="1"/>
    <xf numFmtId="2" fontId="7" fillId="0" borderId="0" xfId="0" applyNumberFormat="1" applyFont="1"/>
    <xf numFmtId="164" fontId="7" fillId="3" borderId="0" xfId="0" applyNumberFormat="1" applyFont="1" applyFill="1"/>
    <xf numFmtId="2" fontId="7" fillId="3" borderId="0" xfId="0" applyNumberFormat="1" applyFont="1" applyFill="1"/>
    <xf numFmtId="0" fontId="7" fillId="0" borderId="0" xfId="0" applyFont="1"/>
    <xf numFmtId="0" fontId="2" fillId="0" borderId="0" xfId="0" applyFont="1" applyAlignment="1">
      <alignment horizontal="center"/>
    </xf>
  </cellXfs>
  <cellStyles count="3">
    <cellStyle name="Normal" xfId="0" builtinId="0"/>
    <cellStyle name="Normal 2" xfId="2" xr:uid="{31A7F2BA-851B-44D9-9907-33F7E9D27BC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topLeftCell="C1" workbookViewId="0">
      <selection activeCell="AA10" sqref="AA10"/>
    </sheetView>
  </sheetViews>
  <sheetFormatPr defaultRowHeight="15" x14ac:dyDescent="0.25"/>
  <cols>
    <col min="2" max="2" width="12.5703125" customWidth="1"/>
    <col min="7" max="7" width="12.28515625" customWidth="1"/>
    <col min="8" max="8" width="12.85546875" customWidth="1"/>
    <col min="9" max="9" width="13" customWidth="1"/>
    <col min="10" max="10" width="11.5703125" customWidth="1"/>
    <col min="15" max="15" width="13.5703125" customWidth="1"/>
    <col min="20" max="20" width="22.5703125" customWidth="1"/>
    <col min="21" max="21" width="9.7109375" customWidth="1"/>
    <col min="27" max="27" width="11" bestFit="1" customWidth="1"/>
  </cols>
  <sheetData>
    <row r="2" spans="2:27" x14ac:dyDescent="0.25">
      <c r="B2" t="s">
        <v>0</v>
      </c>
      <c r="C2" t="s">
        <v>6</v>
      </c>
      <c r="H2" t="s">
        <v>7</v>
      </c>
    </row>
    <row r="3" spans="2:27" x14ac:dyDescent="0.25">
      <c r="B3" t="s">
        <v>1</v>
      </c>
      <c r="C3">
        <v>66</v>
      </c>
      <c r="H3" t="s">
        <v>10</v>
      </c>
      <c r="I3" t="s">
        <v>11</v>
      </c>
      <c r="J3" t="s">
        <v>14</v>
      </c>
    </row>
    <row r="4" spans="2:27" x14ac:dyDescent="0.25">
      <c r="B4" t="s">
        <v>2</v>
      </c>
      <c r="C4">
        <v>49</v>
      </c>
      <c r="G4" t="s">
        <v>8</v>
      </c>
      <c r="H4">
        <v>616</v>
      </c>
      <c r="I4">
        <v>334</v>
      </c>
      <c r="J4">
        <f>I4/H4</f>
        <v>0.54220779220779225</v>
      </c>
    </row>
    <row r="5" spans="2:27" x14ac:dyDescent="0.25">
      <c r="B5" t="s">
        <v>3</v>
      </c>
      <c r="C5">
        <v>26</v>
      </c>
      <c r="G5" t="s">
        <v>9</v>
      </c>
      <c r="H5">
        <v>227</v>
      </c>
      <c r="I5">
        <v>210</v>
      </c>
      <c r="J5">
        <f t="shared" ref="J5:J6" si="0">I5/H5</f>
        <v>0.92511013215859028</v>
      </c>
      <c r="L5" t="s">
        <v>35</v>
      </c>
      <c r="P5" t="s">
        <v>37</v>
      </c>
    </row>
    <row r="6" spans="2:27" x14ac:dyDescent="0.25">
      <c r="B6" t="s">
        <v>4</v>
      </c>
      <c r="C6">
        <v>17</v>
      </c>
      <c r="G6" t="s">
        <v>12</v>
      </c>
      <c r="H6">
        <f>SUM(H4:H5)</f>
        <v>843</v>
      </c>
      <c r="I6">
        <f>SUM(I4:I5)</f>
        <v>544</v>
      </c>
      <c r="J6">
        <f t="shared" si="0"/>
        <v>0.64531435349940691</v>
      </c>
      <c r="L6">
        <v>0.8</v>
      </c>
      <c r="P6">
        <f>J6*L6</f>
        <v>0.5162514827995256</v>
      </c>
    </row>
    <row r="7" spans="2:27" x14ac:dyDescent="0.25">
      <c r="B7" t="s">
        <v>5</v>
      </c>
      <c r="C7">
        <f>SUM(C3:C6)</f>
        <v>158</v>
      </c>
      <c r="U7">
        <v>2015</v>
      </c>
      <c r="V7">
        <v>2050</v>
      </c>
      <c r="W7" t="s">
        <v>13</v>
      </c>
    </row>
    <row r="8" spans="2:27" x14ac:dyDescent="0.25">
      <c r="T8" t="s">
        <v>28</v>
      </c>
      <c r="U8">
        <v>66</v>
      </c>
      <c r="V8">
        <f>P6*C3</f>
        <v>34.072597864768689</v>
      </c>
    </row>
    <row r="9" spans="2:27" x14ac:dyDescent="0.25">
      <c r="H9" t="s">
        <v>18</v>
      </c>
      <c r="T9" t="s">
        <v>29</v>
      </c>
      <c r="U9">
        <v>49</v>
      </c>
      <c r="V9">
        <f>Q15*C4</f>
        <v>5.5273558530209144</v>
      </c>
      <c r="Y9" t="s">
        <v>41</v>
      </c>
      <c r="AA9" s="2" t="s">
        <v>42</v>
      </c>
    </row>
    <row r="10" spans="2:27" x14ac:dyDescent="0.25">
      <c r="H10" t="s">
        <v>15</v>
      </c>
      <c r="I10" t="s">
        <v>16</v>
      </c>
      <c r="J10" t="s">
        <v>17</v>
      </c>
      <c r="K10" t="s">
        <v>19</v>
      </c>
      <c r="L10" t="s">
        <v>20</v>
      </c>
      <c r="T10" t="s">
        <v>12</v>
      </c>
      <c r="U10">
        <f>U8+U9</f>
        <v>115</v>
      </c>
      <c r="V10">
        <f>V8+V9</f>
        <v>39.599953717789603</v>
      </c>
      <c r="W10" s="1">
        <f>V10/U10</f>
        <v>0.34434742363295306</v>
      </c>
      <c r="Y10">
        <v>0.59</v>
      </c>
      <c r="AA10" s="2">
        <f>W10*Y10</f>
        <v>0.20316497994344229</v>
      </c>
    </row>
    <row r="11" spans="2:27" x14ac:dyDescent="0.25">
      <c r="G11">
        <v>2015</v>
      </c>
      <c r="H11">
        <v>12910</v>
      </c>
      <c r="I11">
        <v>11.2</v>
      </c>
      <c r="J11">
        <v>0.8</v>
      </c>
      <c r="K11">
        <v>1.5</v>
      </c>
      <c r="L11">
        <f>H11*I11*J11/K11</f>
        <v>77115.733333333337</v>
      </c>
    </row>
    <row r="12" spans="2:27" x14ac:dyDescent="0.25">
      <c r="G12">
        <v>2050</v>
      </c>
      <c r="H12">
        <v>4300</v>
      </c>
      <c r="I12">
        <v>11.9</v>
      </c>
      <c r="J12">
        <v>0.2</v>
      </c>
      <c r="K12">
        <v>3</v>
      </c>
      <c r="L12">
        <f>H12*I12*J12/K12</f>
        <v>3411.3333333333335</v>
      </c>
      <c r="P12" t="s">
        <v>24</v>
      </c>
      <c r="Q12" t="s">
        <v>27</v>
      </c>
    </row>
    <row r="13" spans="2:27" x14ac:dyDescent="0.25">
      <c r="K13" t="s">
        <v>13</v>
      </c>
      <c r="L13">
        <f>L12/L11</f>
        <v>4.4236541440743612E-2</v>
      </c>
      <c r="O13" t="s">
        <v>25</v>
      </c>
      <c r="P13">
        <v>0.95</v>
      </c>
      <c r="Q13">
        <f>P13*L13</f>
        <v>4.2024714368706431E-2</v>
      </c>
    </row>
    <row r="14" spans="2:27" x14ac:dyDescent="0.25">
      <c r="O14" t="s">
        <v>26</v>
      </c>
      <c r="P14">
        <v>0.05</v>
      </c>
      <c r="Q14">
        <f>P14*K19</f>
        <v>7.0778466305189774E-2</v>
      </c>
    </row>
    <row r="15" spans="2:27" x14ac:dyDescent="0.25">
      <c r="H15" t="s">
        <v>21</v>
      </c>
      <c r="O15" t="s">
        <v>12</v>
      </c>
      <c r="Q15">
        <f>Q13+Q14</f>
        <v>0.11280318067389621</v>
      </c>
    </row>
    <row r="16" spans="2:27" x14ac:dyDescent="0.25">
      <c r="H16" t="s">
        <v>15</v>
      </c>
      <c r="I16" t="s">
        <v>16</v>
      </c>
      <c r="J16" t="s">
        <v>22</v>
      </c>
      <c r="K16" t="s">
        <v>23</v>
      </c>
    </row>
    <row r="17" spans="7:11" x14ac:dyDescent="0.25">
      <c r="G17">
        <v>2015</v>
      </c>
      <c r="H17">
        <v>12910</v>
      </c>
      <c r="I17">
        <v>11.2</v>
      </c>
      <c r="J17">
        <v>0.2</v>
      </c>
      <c r="K17">
        <f>H17*I17*J17</f>
        <v>28918.400000000001</v>
      </c>
    </row>
    <row r="18" spans="7:11" x14ac:dyDescent="0.25">
      <c r="G18">
        <v>2050</v>
      </c>
      <c r="H18">
        <v>4300</v>
      </c>
      <c r="I18">
        <v>11.9</v>
      </c>
      <c r="J18">
        <v>0.8</v>
      </c>
      <c r="K18">
        <f>H18*I18*J18</f>
        <v>40936</v>
      </c>
    </row>
    <row r="19" spans="7:11" x14ac:dyDescent="0.25">
      <c r="J19" t="s">
        <v>13</v>
      </c>
      <c r="K19">
        <f>K18/K17</f>
        <v>1.4155693261037954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F3E3E-BA5C-4723-BCDC-40D7913B5718}">
  <dimension ref="B2:N11"/>
  <sheetViews>
    <sheetView workbookViewId="0">
      <selection activeCell="L3" sqref="L3"/>
    </sheetView>
  </sheetViews>
  <sheetFormatPr defaultRowHeight="15" x14ac:dyDescent="0.25"/>
  <sheetData>
    <row r="2" spans="2:14" x14ac:dyDescent="0.25">
      <c r="C2" t="s">
        <v>108</v>
      </c>
      <c r="E2" t="s">
        <v>36</v>
      </c>
      <c r="I2" t="s">
        <v>37</v>
      </c>
      <c r="K2" t="s">
        <v>92</v>
      </c>
      <c r="L2" t="s">
        <v>91</v>
      </c>
      <c r="N2" s="2" t="s">
        <v>42</v>
      </c>
    </row>
    <row r="3" spans="2:14" x14ac:dyDescent="0.25">
      <c r="B3" t="s">
        <v>32</v>
      </c>
      <c r="C3" s="1">
        <v>0.65</v>
      </c>
      <c r="E3">
        <v>0.6</v>
      </c>
      <c r="I3">
        <f>C3*E3</f>
        <v>0.39</v>
      </c>
      <c r="K3">
        <v>0.74</v>
      </c>
      <c r="L3">
        <f>F11*K3</f>
        <v>0.6</v>
      </c>
      <c r="N3" s="2">
        <f>I3*L3</f>
        <v>0.23399999999999999</v>
      </c>
    </row>
    <row r="8" spans="2:14" x14ac:dyDescent="0.25">
      <c r="C8" t="s">
        <v>40</v>
      </c>
    </row>
    <row r="9" spans="2:14" x14ac:dyDescent="0.25">
      <c r="C9" t="s">
        <v>39</v>
      </c>
    </row>
    <row r="10" spans="2:14" x14ac:dyDescent="0.25">
      <c r="C10">
        <v>2015</v>
      </c>
      <c r="D10">
        <v>0.74</v>
      </c>
      <c r="F10" t="s">
        <v>14</v>
      </c>
    </row>
    <row r="11" spans="2:14" x14ac:dyDescent="0.25">
      <c r="C11">
        <v>2050</v>
      </c>
      <c r="D11">
        <v>0.6</v>
      </c>
      <c r="F11">
        <f>D11/D10</f>
        <v>0.81081081081081074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B7ED-F0C3-4905-964F-183364299B3C}">
  <dimension ref="B2:K9"/>
  <sheetViews>
    <sheetView workbookViewId="0">
      <selection activeCell="J12" sqref="J12"/>
    </sheetView>
  </sheetViews>
  <sheetFormatPr defaultRowHeight="15" x14ac:dyDescent="0.25"/>
  <sheetData>
    <row r="2" spans="2:11" x14ac:dyDescent="0.25">
      <c r="B2" t="s">
        <v>33</v>
      </c>
    </row>
    <row r="3" spans="2:11" x14ac:dyDescent="0.25">
      <c r="B3" s="2">
        <v>0.57999999999999996</v>
      </c>
      <c r="C3" t="s">
        <v>34</v>
      </c>
    </row>
    <row r="7" spans="2:11" x14ac:dyDescent="0.25">
      <c r="B7" t="s">
        <v>94</v>
      </c>
      <c r="C7" t="s">
        <v>95</v>
      </c>
      <c r="D7" t="s">
        <v>96</v>
      </c>
      <c r="E7" t="s">
        <v>97</v>
      </c>
      <c r="F7" t="s">
        <v>64</v>
      </c>
      <c r="G7" t="s">
        <v>98</v>
      </c>
      <c r="H7" t="s">
        <v>99</v>
      </c>
      <c r="I7" t="s">
        <v>70</v>
      </c>
      <c r="J7" t="s">
        <v>41</v>
      </c>
      <c r="K7" t="s">
        <v>100</v>
      </c>
    </row>
    <row r="8" spans="2:11" x14ac:dyDescent="0.25">
      <c r="B8" t="s">
        <v>101</v>
      </c>
      <c r="C8">
        <v>7020</v>
      </c>
      <c r="D8">
        <v>4040</v>
      </c>
      <c r="E8">
        <v>16.899999999999999</v>
      </c>
      <c r="F8">
        <v>6.76</v>
      </c>
      <c r="G8">
        <f>E8/C8*1000*1000</f>
        <v>2407.4074074074069</v>
      </c>
      <c r="H8">
        <f>F8/D8*1000*1000</f>
        <v>1673.2673267326732</v>
      </c>
      <c r="I8">
        <f>D8/C8</f>
        <v>0.57549857549857553</v>
      </c>
      <c r="J8">
        <f>H8/G8</f>
        <v>0.69504950495049511</v>
      </c>
      <c r="K8" s="12">
        <f>I8*J8</f>
        <v>0.40000000000000008</v>
      </c>
    </row>
    <row r="9" spans="2:11" x14ac:dyDescent="0.25">
      <c r="K9" s="12">
        <f>F8/E8</f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9034-295C-4D57-9F18-D7AE8DFB20CF}">
  <dimension ref="B1:P16"/>
  <sheetViews>
    <sheetView workbookViewId="0">
      <selection activeCell="H15" sqref="H15"/>
    </sheetView>
  </sheetViews>
  <sheetFormatPr defaultRowHeight="15" x14ac:dyDescent="0.25"/>
  <cols>
    <col min="5" max="5" width="11.7109375" customWidth="1"/>
    <col min="7" max="7" width="11" bestFit="1" customWidth="1"/>
    <col min="11" max="11" width="12" bestFit="1" customWidth="1"/>
  </cols>
  <sheetData>
    <row r="1" spans="2:16" x14ac:dyDescent="0.25">
      <c r="F1" s="37" t="s">
        <v>85</v>
      </c>
      <c r="G1" s="37"/>
    </row>
    <row r="2" spans="2:16" x14ac:dyDescent="0.25">
      <c r="C2">
        <v>2015</v>
      </c>
      <c r="D2" t="s">
        <v>13</v>
      </c>
      <c r="E2" t="s">
        <v>38</v>
      </c>
      <c r="F2">
        <v>2050</v>
      </c>
      <c r="G2" t="s">
        <v>13</v>
      </c>
    </row>
    <row r="3" spans="2:16" x14ac:dyDescent="0.25">
      <c r="B3" t="s">
        <v>30</v>
      </c>
      <c r="C3">
        <v>20</v>
      </c>
      <c r="D3">
        <v>0.75</v>
      </c>
      <c r="E3">
        <v>0.8</v>
      </c>
      <c r="F3">
        <f>C3*D3*E3</f>
        <v>12</v>
      </c>
      <c r="G3" s="37">
        <f>(F4+F5+F3)/(C4+C5+C3)</f>
        <v>0.50642857142857145</v>
      </c>
      <c r="H3" t="s">
        <v>71</v>
      </c>
      <c r="K3" s="2"/>
      <c r="P3" t="s">
        <v>84</v>
      </c>
    </row>
    <row r="4" spans="2:16" x14ac:dyDescent="0.25">
      <c r="B4" t="s">
        <v>1</v>
      </c>
      <c r="C4">
        <v>10</v>
      </c>
      <c r="D4">
        <v>0.64500000000000002</v>
      </c>
      <c r="E4">
        <v>0.8</v>
      </c>
      <c r="F4">
        <f>C4*D4*E4</f>
        <v>5.16</v>
      </c>
      <c r="G4" s="37"/>
      <c r="I4" t="s">
        <v>41</v>
      </c>
      <c r="K4" t="s">
        <v>63</v>
      </c>
      <c r="P4" t="s">
        <v>83</v>
      </c>
    </row>
    <row r="5" spans="2:16" x14ac:dyDescent="0.25">
      <c r="B5" t="s">
        <v>2</v>
      </c>
      <c r="C5">
        <v>5</v>
      </c>
      <c r="D5">
        <v>0.113</v>
      </c>
      <c r="E5">
        <v>1</v>
      </c>
      <c r="F5">
        <f>C5*D5*E5</f>
        <v>0.56500000000000006</v>
      </c>
      <c r="G5" s="37"/>
      <c r="I5">
        <v>0.81799999999999995</v>
      </c>
      <c r="K5">
        <f>G3*I5</f>
        <v>0.41425857142857142</v>
      </c>
    </row>
    <row r="6" spans="2:16" x14ac:dyDescent="0.25">
      <c r="B6" t="s">
        <v>4</v>
      </c>
      <c r="C6">
        <v>16</v>
      </c>
    </row>
    <row r="7" spans="2:16" x14ac:dyDescent="0.25">
      <c r="B7" t="s">
        <v>12</v>
      </c>
      <c r="C7">
        <f>SUM(C3:C6)</f>
        <v>51</v>
      </c>
    </row>
    <row r="12" spans="2:16" x14ac:dyDescent="0.25">
      <c r="G12" t="s">
        <v>86</v>
      </c>
      <c r="H12" t="s">
        <v>87</v>
      </c>
      <c r="I12" s="1" t="s">
        <v>88</v>
      </c>
    </row>
    <row r="13" spans="2:16" x14ac:dyDescent="0.25">
      <c r="G13">
        <v>1.07</v>
      </c>
      <c r="H13">
        <v>0.38</v>
      </c>
      <c r="I13" s="1">
        <f>G3*G13*H13</f>
        <v>0.20591385714285715</v>
      </c>
    </row>
    <row r="14" spans="2:16" x14ac:dyDescent="0.25">
      <c r="H14">
        <f>G13*H13</f>
        <v>0.40660000000000002</v>
      </c>
    </row>
    <row r="16" spans="2:16" x14ac:dyDescent="0.25">
      <c r="G16" t="s">
        <v>89</v>
      </c>
    </row>
  </sheetData>
  <mergeCells count="2">
    <mergeCell ref="G3:G5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D5D6-62F4-4EF2-839E-1ECA7417EC9A}">
  <dimension ref="B2:L5"/>
  <sheetViews>
    <sheetView workbookViewId="0">
      <selection activeCell="B4" sqref="B4"/>
    </sheetView>
  </sheetViews>
  <sheetFormatPr defaultRowHeight="15" x14ac:dyDescent="0.25"/>
  <cols>
    <col min="5" max="5" width="11" bestFit="1" customWidth="1"/>
  </cols>
  <sheetData>
    <row r="2" spans="2:12" x14ac:dyDescent="0.25">
      <c r="B2">
        <v>2050</v>
      </c>
      <c r="C2">
        <v>241</v>
      </c>
      <c r="E2" t="s">
        <v>13</v>
      </c>
      <c r="F2" t="s">
        <v>31</v>
      </c>
    </row>
    <row r="3" spans="2:12" x14ac:dyDescent="0.25">
      <c r="B3">
        <v>2015</v>
      </c>
      <c r="C3">
        <v>1050</v>
      </c>
      <c r="E3" s="1">
        <f>C2/C3</f>
        <v>0.22952380952380952</v>
      </c>
      <c r="J3" t="s">
        <v>41</v>
      </c>
      <c r="L3" t="s">
        <v>63</v>
      </c>
    </row>
    <row r="4" spans="2:12" x14ac:dyDescent="0.25">
      <c r="J4">
        <v>0.9</v>
      </c>
      <c r="L4">
        <f>E3*J4</f>
        <v>0.20657142857142857</v>
      </c>
    </row>
    <row r="5" spans="2:12" x14ac:dyDescent="0.25">
      <c r="L5" t="s">
        <v>90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903F-B73D-48FF-AE9D-427C28C11B22}">
  <dimension ref="B1:I4"/>
  <sheetViews>
    <sheetView workbookViewId="0">
      <selection activeCell="D3" sqref="D3"/>
    </sheetView>
  </sheetViews>
  <sheetFormatPr defaultRowHeight="15" x14ac:dyDescent="0.25"/>
  <cols>
    <col min="2" max="2" width="26.5703125" customWidth="1"/>
    <col min="4" max="4" width="10.7109375" customWidth="1"/>
  </cols>
  <sheetData>
    <row r="1" spans="2:9" x14ac:dyDescent="0.25">
      <c r="D1" t="s">
        <v>68</v>
      </c>
      <c r="I1" t="s">
        <v>41</v>
      </c>
    </row>
    <row r="2" spans="2:9" x14ac:dyDescent="0.25">
      <c r="B2" t="s">
        <v>67</v>
      </c>
      <c r="C2">
        <v>0.45</v>
      </c>
      <c r="D2">
        <v>1</v>
      </c>
      <c r="I2">
        <v>0.85</v>
      </c>
    </row>
    <row r="3" spans="2:9" x14ac:dyDescent="0.25">
      <c r="B3" t="s">
        <v>66</v>
      </c>
      <c r="C3">
        <v>0.55000000000000004</v>
      </c>
      <c r="D3">
        <f>Total!D24</f>
        <v>0.46928686616716392</v>
      </c>
      <c r="E3" t="s">
        <v>69</v>
      </c>
    </row>
    <row r="4" spans="2:9" x14ac:dyDescent="0.25">
      <c r="E4">
        <f>C2*D2+C3*D3</f>
        <v>0.70810777639194011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9F35-0212-4136-BFDE-953F6FB0BBF0}">
  <dimension ref="B3:G6"/>
  <sheetViews>
    <sheetView workbookViewId="0">
      <selection activeCell="G5" sqref="G5"/>
    </sheetView>
  </sheetViews>
  <sheetFormatPr defaultRowHeight="15" x14ac:dyDescent="0.25"/>
  <sheetData>
    <row r="3" spans="2:7" x14ac:dyDescent="0.25">
      <c r="B3" t="s">
        <v>73</v>
      </c>
      <c r="G3" t="s">
        <v>41</v>
      </c>
    </row>
    <row r="4" spans="2:7" x14ac:dyDescent="0.25">
      <c r="B4">
        <v>0.1128</v>
      </c>
      <c r="G4">
        <v>0.85</v>
      </c>
    </row>
    <row r="6" spans="2:7" x14ac:dyDescent="0.25">
      <c r="G6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328-F5AF-46EE-A80A-A259C75B9BE0}">
  <dimension ref="B2:N28"/>
  <sheetViews>
    <sheetView tabSelected="1" workbookViewId="0">
      <selection activeCell="E31" sqref="E31"/>
    </sheetView>
  </sheetViews>
  <sheetFormatPr defaultRowHeight="15" x14ac:dyDescent="0.25"/>
  <cols>
    <col min="2" max="2" width="31.5703125" customWidth="1"/>
    <col min="3" max="6" width="11" customWidth="1"/>
    <col min="8" max="8" width="12" bestFit="1" customWidth="1"/>
    <col min="10" max="10" width="12" customWidth="1"/>
    <col min="11" max="11" width="11.85546875" bestFit="1" customWidth="1"/>
  </cols>
  <sheetData>
    <row r="2" spans="2:9" x14ac:dyDescent="0.25">
      <c r="C2" t="s">
        <v>60</v>
      </c>
      <c r="D2" t="s">
        <v>70</v>
      </c>
      <c r="E2" t="s">
        <v>72</v>
      </c>
      <c r="F2" t="s">
        <v>41</v>
      </c>
      <c r="G2" t="s">
        <v>14</v>
      </c>
      <c r="H2" t="s">
        <v>64</v>
      </c>
    </row>
    <row r="3" spans="2:9" x14ac:dyDescent="0.25">
      <c r="B3" s="9" t="s">
        <v>43</v>
      </c>
      <c r="C3" s="5">
        <v>25.787395037343089</v>
      </c>
      <c r="D3" s="7">
        <v>0.34399999999999997</v>
      </c>
      <c r="E3" s="5">
        <f>C3*D3</f>
        <v>8.8708638928460211</v>
      </c>
      <c r="F3" s="7">
        <v>0.59</v>
      </c>
      <c r="G3" s="8">
        <f>D3*F3</f>
        <v>0.20295999999999997</v>
      </c>
      <c r="H3" s="5">
        <f>C3*G3</f>
        <v>5.2338096967791525</v>
      </c>
    </row>
    <row r="4" spans="2:9" x14ac:dyDescent="0.25">
      <c r="B4" s="1" t="s">
        <v>44</v>
      </c>
      <c r="C4" s="5">
        <v>3.334755967481434</v>
      </c>
      <c r="D4" s="7">
        <f>D23</f>
        <v>0.38622734082087212</v>
      </c>
      <c r="E4" s="5">
        <f>C4*D4</f>
        <v>1.2879739296068891</v>
      </c>
      <c r="F4" s="7">
        <v>0.81</v>
      </c>
      <c r="G4" s="8">
        <f>D4*F4</f>
        <v>0.31284414606490646</v>
      </c>
      <c r="H4" s="5">
        <f>C4*G4</f>
        <v>1.0432588829815801</v>
      </c>
    </row>
    <row r="5" spans="2:9" x14ac:dyDescent="0.25">
      <c r="B5" s="1" t="s">
        <v>45</v>
      </c>
      <c r="C5" s="5">
        <v>34.272370819250391</v>
      </c>
      <c r="D5" s="30"/>
      <c r="E5" s="31"/>
      <c r="F5" s="30"/>
      <c r="G5" s="11"/>
      <c r="H5" s="14"/>
    </row>
    <row r="6" spans="2:9" x14ac:dyDescent="0.25">
      <c r="B6" s="3" t="s">
        <v>46</v>
      </c>
      <c r="C6" s="5">
        <v>27.349811656023693</v>
      </c>
      <c r="D6" s="32">
        <f>D23</f>
        <v>0.38622734082087212</v>
      </c>
      <c r="E6" s="33">
        <f>(C6-C7-C8)*D6</f>
        <v>1.1120794032235286</v>
      </c>
      <c r="F6" s="32">
        <v>0.78</v>
      </c>
      <c r="G6" s="34">
        <f>D6*F6</f>
        <v>0.30125732584028025</v>
      </c>
      <c r="H6" s="35">
        <f>E6*F6</f>
        <v>0.86742193451435234</v>
      </c>
      <c r="I6" s="36" t="s">
        <v>93</v>
      </c>
    </row>
    <row r="7" spans="2:9" x14ac:dyDescent="0.25">
      <c r="B7" s="10" t="s">
        <v>61</v>
      </c>
      <c r="C7" s="5">
        <f>0.107*C5</f>
        <v>3.6671436776597917</v>
      </c>
      <c r="D7" s="7">
        <v>0.23</v>
      </c>
      <c r="E7" s="5">
        <f>C7*D7</f>
        <v>0.84344304586175212</v>
      </c>
      <c r="F7" s="7">
        <v>0.9</v>
      </c>
      <c r="G7" s="8">
        <f t="shared" ref="G7:G12" si="0">D7*F7</f>
        <v>0.20700000000000002</v>
      </c>
      <c r="H7" s="5">
        <f>C7*G7</f>
        <v>0.75909874127557697</v>
      </c>
    </row>
    <row r="8" spans="2:9" x14ac:dyDescent="0.25">
      <c r="B8" s="10" t="s">
        <v>62</v>
      </c>
      <c r="C8" s="5">
        <f>0.607*C5</f>
        <v>20.803329087284986</v>
      </c>
      <c r="D8" s="7">
        <v>0.50600000000000001</v>
      </c>
      <c r="E8" s="5">
        <f>C8*D8</f>
        <v>10.526484518166203</v>
      </c>
      <c r="F8" s="7">
        <v>0.81799999999999995</v>
      </c>
      <c r="G8" s="8">
        <f t="shared" si="0"/>
        <v>0.413908</v>
      </c>
      <c r="H8" s="5">
        <f>C8*G8</f>
        <v>8.6106643358599548</v>
      </c>
    </row>
    <row r="9" spans="2:9" x14ac:dyDescent="0.25">
      <c r="B9" s="3" t="s">
        <v>47</v>
      </c>
      <c r="C9" s="5">
        <v>6.4926992668418899</v>
      </c>
      <c r="D9" s="7">
        <f>D23</f>
        <v>0.38622734082087212</v>
      </c>
      <c r="E9" s="5">
        <f t="shared" ref="E9:E10" si="1">C9*D9</f>
        <v>2.5076579725819692</v>
      </c>
      <c r="F9" s="7">
        <v>0.78</v>
      </c>
      <c r="G9" s="8">
        <f>D9*F9</f>
        <v>0.30125732584028025</v>
      </c>
      <c r="H9" s="5">
        <f t="shared" ref="H9:H10" si="2">C9*G9</f>
        <v>1.955973218613936</v>
      </c>
    </row>
    <row r="10" spans="2:9" x14ac:dyDescent="0.25">
      <c r="B10" s="3" t="s">
        <v>48</v>
      </c>
      <c r="C10" s="5">
        <v>0.42985989638480548</v>
      </c>
      <c r="D10" s="7">
        <f>D23</f>
        <v>0.38622734082087212</v>
      </c>
      <c r="E10" s="5">
        <f t="shared" si="1"/>
        <v>0.16602364470623904</v>
      </c>
      <c r="F10" s="7">
        <v>0.78</v>
      </c>
      <c r="G10" s="8">
        <f>D10*F10</f>
        <v>0.30125732584028025</v>
      </c>
      <c r="H10" s="5">
        <f t="shared" si="2"/>
        <v>0.12949844287086645</v>
      </c>
    </row>
    <row r="11" spans="2:9" x14ac:dyDescent="0.25">
      <c r="B11" s="1" t="s">
        <v>49</v>
      </c>
      <c r="C11" s="5">
        <v>15.925358327010612</v>
      </c>
      <c r="D11" s="30"/>
      <c r="E11" s="31"/>
      <c r="F11" s="30"/>
      <c r="G11" s="11"/>
      <c r="H11" s="14"/>
    </row>
    <row r="12" spans="2:9" x14ac:dyDescent="0.25">
      <c r="B12" s="10" t="s">
        <v>50</v>
      </c>
      <c r="C12" s="5">
        <v>4.3768090591901787</v>
      </c>
      <c r="D12" s="7">
        <v>0.39</v>
      </c>
      <c r="E12" s="5">
        <f t="shared" ref="E12:E18" si="3">C12*D12</f>
        <v>1.7069555330841697</v>
      </c>
      <c r="F12" s="7">
        <v>0.6</v>
      </c>
      <c r="G12" s="8">
        <f t="shared" si="0"/>
        <v>0.23399999999999999</v>
      </c>
      <c r="H12" s="5">
        <f t="shared" ref="H12:H21" si="4">C12*G12</f>
        <v>1.0241733198505019</v>
      </c>
    </row>
    <row r="13" spans="2:9" x14ac:dyDescent="0.25">
      <c r="B13" s="3" t="s">
        <v>51</v>
      </c>
      <c r="C13" s="5">
        <v>7.2487340468631096</v>
      </c>
      <c r="D13" s="7">
        <f>D23</f>
        <v>0.38622734082087212</v>
      </c>
      <c r="E13" s="5">
        <f t="shared" si="3"/>
        <v>2.7996592752376577</v>
      </c>
      <c r="F13" s="7">
        <v>0.87</v>
      </c>
      <c r="G13" s="7">
        <f t="shared" ref="G13:G21" si="5">D13*F13</f>
        <v>0.33601778651415876</v>
      </c>
      <c r="H13" s="5">
        <f t="shared" si="4"/>
        <v>2.4357035694567624</v>
      </c>
    </row>
    <row r="14" spans="2:9" x14ac:dyDescent="0.25">
      <c r="B14" s="3" t="s">
        <v>52</v>
      </c>
      <c r="C14" s="5">
        <v>4.2998152209573224</v>
      </c>
      <c r="D14" s="7">
        <v>1</v>
      </c>
      <c r="E14" s="5">
        <f t="shared" si="3"/>
        <v>4.2998152209573224</v>
      </c>
      <c r="F14" s="7">
        <v>0.89</v>
      </c>
      <c r="G14" s="7">
        <f t="shared" si="5"/>
        <v>0.89</v>
      </c>
      <c r="H14" s="5">
        <f t="shared" si="4"/>
        <v>3.826835546652017</v>
      </c>
    </row>
    <row r="15" spans="2:9" x14ac:dyDescent="0.25">
      <c r="B15" s="1" t="s">
        <v>53</v>
      </c>
      <c r="C15" s="5">
        <v>8.3144388562572686</v>
      </c>
      <c r="D15" s="7">
        <f>Paper!E4</f>
        <v>0.70810777639194011</v>
      </c>
      <c r="E15" s="5">
        <f t="shared" si="3"/>
        <v>5.8875188104510805</v>
      </c>
      <c r="F15" s="7">
        <v>0.8</v>
      </c>
      <c r="G15" s="7">
        <f t="shared" si="5"/>
        <v>0.56648622111355207</v>
      </c>
      <c r="H15" s="5">
        <f t="shared" si="4"/>
        <v>4.710015048360864</v>
      </c>
    </row>
    <row r="16" spans="2:9" x14ac:dyDescent="0.25">
      <c r="B16" s="1" t="s">
        <v>54</v>
      </c>
      <c r="C16" s="5">
        <v>16.899626718606047</v>
      </c>
      <c r="D16" s="7">
        <v>0.57499999999999996</v>
      </c>
      <c r="E16" s="5">
        <f t="shared" si="3"/>
        <v>9.7172853631984761</v>
      </c>
      <c r="F16" s="7">
        <v>0.69499999999999995</v>
      </c>
      <c r="G16" s="7">
        <f t="shared" si="5"/>
        <v>0.39962499999999995</v>
      </c>
      <c r="H16" s="5">
        <f t="shared" si="4"/>
        <v>6.7535133274229411</v>
      </c>
    </row>
    <row r="17" spans="2:14" x14ac:dyDescent="0.25">
      <c r="B17" s="9" t="s">
        <v>55</v>
      </c>
      <c r="C17" s="5">
        <v>3.0953050510640385</v>
      </c>
      <c r="D17" s="7">
        <v>0.1128</v>
      </c>
      <c r="E17" s="5">
        <f t="shared" si="3"/>
        <v>0.34915040976002354</v>
      </c>
      <c r="F17" s="7">
        <v>0.85</v>
      </c>
      <c r="G17" s="7">
        <f t="shared" si="5"/>
        <v>9.5879999999999993E-2</v>
      </c>
      <c r="H17" s="5">
        <f t="shared" si="4"/>
        <v>0.29677784829602</v>
      </c>
    </row>
    <row r="18" spans="2:14" x14ac:dyDescent="0.25">
      <c r="B18" s="1" t="s">
        <v>56</v>
      </c>
      <c r="C18" s="5">
        <v>2.1797318904908658</v>
      </c>
      <c r="D18" s="7">
        <f>D23</f>
        <v>0.38622734082087212</v>
      </c>
      <c r="E18" s="5">
        <f t="shared" si="3"/>
        <v>0.84187205176673952</v>
      </c>
      <c r="F18" s="7">
        <v>0.85</v>
      </c>
      <c r="G18" s="7">
        <f t="shared" si="5"/>
        <v>0.32829323969774127</v>
      </c>
      <c r="H18" s="5">
        <f t="shared" si="4"/>
        <v>0.71559124400172858</v>
      </c>
    </row>
    <row r="19" spans="2:14" x14ac:dyDescent="0.25">
      <c r="B19" s="1" t="s">
        <v>57</v>
      </c>
      <c r="C19" s="5">
        <v>2.2675239407659165</v>
      </c>
      <c r="D19" s="7">
        <v>1</v>
      </c>
      <c r="E19" s="5">
        <f t="shared" ref="E19:E21" si="6">C19*D19</f>
        <v>2.2675239407659165</v>
      </c>
      <c r="F19" s="7">
        <v>0.85</v>
      </c>
      <c r="G19" s="7">
        <f t="shared" si="5"/>
        <v>0.85</v>
      </c>
      <c r="H19" s="5">
        <f t="shared" si="4"/>
        <v>1.927395349651029</v>
      </c>
    </row>
    <row r="20" spans="2:14" x14ac:dyDescent="0.25">
      <c r="B20" s="1" t="s">
        <v>58</v>
      </c>
      <c r="C20" s="5">
        <v>2.6330371560845411</v>
      </c>
      <c r="D20" s="7">
        <v>1</v>
      </c>
      <c r="E20" s="5">
        <f t="shared" si="6"/>
        <v>2.6330371560845411</v>
      </c>
      <c r="F20" s="7">
        <v>0.96</v>
      </c>
      <c r="G20" s="7">
        <f t="shared" si="5"/>
        <v>0.96</v>
      </c>
      <c r="H20" s="5">
        <f t="shared" si="4"/>
        <v>2.5277156698411596</v>
      </c>
    </row>
    <row r="21" spans="2:14" x14ac:dyDescent="0.25">
      <c r="B21" s="1" t="s">
        <v>59</v>
      </c>
      <c r="C21" s="5">
        <v>9.5497667603678451</v>
      </c>
      <c r="D21" s="7">
        <f>D25</f>
        <v>0.4865972118498102</v>
      </c>
      <c r="E21" s="5">
        <f t="shared" si="6"/>
        <v>4.6468898794109883</v>
      </c>
      <c r="F21" s="7">
        <v>0.85</v>
      </c>
      <c r="G21" s="7">
        <f t="shared" si="5"/>
        <v>0.41360763007233864</v>
      </c>
      <c r="H21" s="5">
        <f t="shared" si="4"/>
        <v>3.9498563974993393</v>
      </c>
      <c r="K21" t="s">
        <v>107</v>
      </c>
      <c r="N21" s="1" t="s">
        <v>82</v>
      </c>
    </row>
    <row r="22" spans="2:14" x14ac:dyDescent="0.25">
      <c r="B22" s="15" t="s">
        <v>105</v>
      </c>
      <c r="C22" s="16">
        <f>SUM(C16:C21)+C15+C11+C9+C10+C4+C3+C6-C7-C8*0.93</f>
        <v>101.24507079588722</v>
      </c>
      <c r="D22" s="28"/>
      <c r="E22" s="16">
        <f>SUM(E12:E21)+E10+E9+E6+E4+E3+E8*0.62</f>
        <v>55.620726884944595</v>
      </c>
      <c r="F22" s="29"/>
      <c r="G22" s="29"/>
      <c r="H22" s="17">
        <f>SUM(H12:H21)+H9+H10+H3+H4+H6+H8*0.62</f>
        <v>42.73615138502543</v>
      </c>
      <c r="K22" s="12">
        <v>1.0416600449127655</v>
      </c>
      <c r="N22" s="13">
        <f>H22*K22</f>
        <v>44.516541371124333</v>
      </c>
    </row>
    <row r="23" spans="2:14" x14ac:dyDescent="0.25">
      <c r="B23" s="18" t="s">
        <v>65</v>
      </c>
      <c r="C23" s="5">
        <f>C3+C7+C8+C12+C17</f>
        <v>57.72998191254208</v>
      </c>
      <c r="D23" s="19">
        <f>E23/C23</f>
        <v>0.38622734082087212</v>
      </c>
      <c r="E23" s="5">
        <f>E3+E7+E8+E12+E17</f>
        <v>22.296897399718173</v>
      </c>
      <c r="F23" s="20">
        <f t="shared" ref="F23:F26" si="7">H23/E23</f>
        <v>0.71420357983360006</v>
      </c>
      <c r="G23" s="19">
        <f>H23/C23</f>
        <v>0.27584494944387877</v>
      </c>
      <c r="H23" s="21">
        <f>H3+H7+H8+H12+H17</f>
        <v>15.924523942061207</v>
      </c>
    </row>
    <row r="24" spans="2:14" x14ac:dyDescent="0.25">
      <c r="B24" s="22" t="s">
        <v>103</v>
      </c>
      <c r="C24" s="5">
        <f>SUM(C16:C20)+C11+C9+C10+C4+C3+C6</f>
        <v>106.39510490809693</v>
      </c>
      <c r="D24" s="19">
        <f>E24/C24</f>
        <v>0.46928686616716392</v>
      </c>
      <c r="E24" s="5">
        <f>SUM(E3:E4)+SUM(E16:E20)+SUM(E12:E14)+SUM(E6:E10)</f>
        <v>49.929825357847449</v>
      </c>
      <c r="F24" s="20">
        <f t="shared" si="7"/>
        <v>0.76321979608282864</v>
      </c>
      <c r="G24" s="19">
        <f>H24/C24</f>
        <v>0.35816902630045255</v>
      </c>
      <c r="H24" s="21">
        <f>SUM(H16:H20)+SUM(H6:H10)+H4+H3+SUM(H12:H14)</f>
        <v>38.107431128067574</v>
      </c>
    </row>
    <row r="25" spans="2:14" x14ac:dyDescent="0.25">
      <c r="B25" s="22" t="s">
        <v>102</v>
      </c>
      <c r="C25" s="5">
        <f>C24+C15</f>
        <v>114.70954376435419</v>
      </c>
      <c r="D25" s="19">
        <f>E25/C25</f>
        <v>0.4865972118498102</v>
      </c>
      <c r="E25" s="5">
        <f>E24+E15</f>
        <v>55.817344168298533</v>
      </c>
      <c r="F25" s="20">
        <f t="shared" si="7"/>
        <v>0.76709930962187578</v>
      </c>
      <c r="G25" s="19">
        <f>H25/C25</f>
        <v>0.37326838527391903</v>
      </c>
      <c r="H25" s="21">
        <f>H24+H15</f>
        <v>42.81744617642844</v>
      </c>
    </row>
    <row r="26" spans="2:14" x14ac:dyDescent="0.25">
      <c r="B26" s="23" t="s">
        <v>104</v>
      </c>
      <c r="C26" s="24">
        <f>SUM(C15:C21)+C11+SUM(C3:C5)</f>
        <v>124.25931052472205</v>
      </c>
      <c r="D26" s="25">
        <f>E26/C26</f>
        <v>0.48659721184981009</v>
      </c>
      <c r="E26" s="24">
        <f>SUM(E12:E21)+SUM(E6:E10)+SUM(E3:E4)</f>
        <v>60.46423404770951</v>
      </c>
      <c r="F26" s="26">
        <f t="shared" si="7"/>
        <v>0.77347052039104447</v>
      </c>
      <c r="G26" s="25">
        <f>H26/C26</f>
        <v>0.37636859867030392</v>
      </c>
      <c r="H26" s="27">
        <f>SUM(H12:H21)+SUM(H6:H10)+SUM(H3:H4)</f>
        <v>46.767302573927786</v>
      </c>
    </row>
    <row r="27" spans="2:14" x14ac:dyDescent="0.25">
      <c r="K27" s="4"/>
      <c r="L27" s="4"/>
      <c r="M27" s="4"/>
    </row>
    <row r="28" spans="2:14" x14ac:dyDescent="0.25">
      <c r="K28" s="4"/>
      <c r="L28" s="4"/>
      <c r="M28" s="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5613-C9AD-42F0-81A0-8CA6B5D4FEC9}">
  <dimension ref="B1:I10"/>
  <sheetViews>
    <sheetView workbookViewId="0">
      <selection activeCell="G7" sqref="G7"/>
    </sheetView>
  </sheetViews>
  <sheetFormatPr defaultRowHeight="15" x14ac:dyDescent="0.25"/>
  <cols>
    <col min="2" max="2" width="10" customWidth="1"/>
    <col min="4" max="4" width="11.42578125" customWidth="1"/>
    <col min="9" max="9" width="10" bestFit="1" customWidth="1"/>
  </cols>
  <sheetData>
    <row r="1" spans="2:9" x14ac:dyDescent="0.25">
      <c r="C1" t="s">
        <v>78</v>
      </c>
      <c r="D1" t="s">
        <v>70</v>
      </c>
      <c r="E1" t="s">
        <v>80</v>
      </c>
      <c r="F1" t="s">
        <v>81</v>
      </c>
      <c r="I1" t="s">
        <v>106</v>
      </c>
    </row>
    <row r="2" spans="2:9" x14ac:dyDescent="0.25">
      <c r="B2" t="s">
        <v>76</v>
      </c>
      <c r="C2">
        <v>0.77900000000000003</v>
      </c>
      <c r="D2" s="7">
        <v>0.20599999999999999</v>
      </c>
      <c r="E2">
        <f>$B$10*C2*D2</f>
        <v>8.1990980820000008</v>
      </c>
      <c r="F2" s="12">
        <f>E2/$E$5</f>
        <v>0.68742557037722429</v>
      </c>
      <c r="I2">
        <f>$B$10*C2</f>
        <v>39.801447000000003</v>
      </c>
    </row>
    <row r="3" spans="2:9" x14ac:dyDescent="0.25">
      <c r="B3" t="s">
        <v>75</v>
      </c>
      <c r="C3">
        <v>0.192</v>
      </c>
      <c r="D3" s="7">
        <v>0.22900000000000001</v>
      </c>
      <c r="E3">
        <f t="shared" ref="E3:E4" si="0">$B$10*C3*D3</f>
        <v>2.2464570240000006</v>
      </c>
      <c r="F3" s="12">
        <f t="shared" ref="F3:F4" si="1">E3/$E$5</f>
        <v>0.18834657002595936</v>
      </c>
      <c r="I3">
        <f t="shared" ref="I3:I4" si="2">$B$10*C3</f>
        <v>9.8098560000000017</v>
      </c>
    </row>
    <row r="4" spans="2:9" x14ac:dyDescent="0.25">
      <c r="B4" t="s">
        <v>79</v>
      </c>
      <c r="C4">
        <v>2.9000000000000001E-2</v>
      </c>
      <c r="D4" s="6">
        <v>1</v>
      </c>
      <c r="E4">
        <f t="shared" si="0"/>
        <v>1.4816970000000003</v>
      </c>
      <c r="F4" s="12">
        <f t="shared" si="1"/>
        <v>0.12422785959681636</v>
      </c>
      <c r="I4">
        <f t="shared" si="2"/>
        <v>1.4816970000000003</v>
      </c>
    </row>
    <row r="5" spans="2:9" x14ac:dyDescent="0.25">
      <c r="B5" t="s">
        <v>5</v>
      </c>
      <c r="C5">
        <f>SUM(C2:C4)</f>
        <v>1</v>
      </c>
      <c r="E5">
        <f t="shared" ref="E5" si="3">SUM(E2:E4)</f>
        <v>11.927252106000001</v>
      </c>
    </row>
    <row r="9" spans="2:9" x14ac:dyDescent="0.25">
      <c r="B9" t="s">
        <v>77</v>
      </c>
    </row>
    <row r="10" spans="2:9" x14ac:dyDescent="0.25">
      <c r="B10">
        <v>51.093000000000004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Steel</vt:lpstr>
      <vt:lpstr>Cement</vt:lpstr>
      <vt:lpstr>Food</vt:lpstr>
      <vt:lpstr>HVC</vt:lpstr>
      <vt:lpstr>Ammonia</vt:lpstr>
      <vt:lpstr>Paper</vt:lpstr>
      <vt:lpstr>Transport equipment</vt:lpstr>
      <vt:lpstr>Total</vt:lpstr>
      <vt:lpstr>Total 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Verstraeten</dc:creator>
  <cp:lastModifiedBy>Pierre Verstraeten</cp:lastModifiedBy>
  <dcterms:created xsi:type="dcterms:W3CDTF">2015-06-05T18:19:34Z</dcterms:created>
  <dcterms:modified xsi:type="dcterms:W3CDTF">2023-06-27T16:28:56Z</dcterms:modified>
</cp:coreProperties>
</file>