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Y:\Publicaciones\Tarifas Internacionales\2022\4to. Trimestre 2022\"/>
    </mc:Choice>
  </mc:AlternateContent>
  <bookViews>
    <workbookView xWindow="13560" yWindow="135" windowWidth="14835" windowHeight="15165" activeTab="3"/>
  </bookViews>
  <sheets>
    <sheet name="Resumen" sheetId="15" r:id="rId1"/>
    <sheet name="Data" sheetId="6" r:id="rId2"/>
    <sheet name="TipoCambio" sheetId="16" r:id="rId3"/>
    <sheet name="Graficos" sheetId="18" r:id="rId4"/>
    <sheet name="Referencia" sheetId="19" r:id="rId5"/>
  </sheets>
  <definedNames>
    <definedName name="_xlnm._FilterDatabase" localSheetId="0" hidden="1">Resumen!$D$90:$E$90</definedName>
    <definedName name="_xlnm.Print_Area" localSheetId="1">Data!$B$1:$W$248</definedName>
    <definedName name="_xlnm.Print_Area" localSheetId="3">Graficos!$A$1:$I$161</definedName>
    <definedName name="_xlnm.Print_Area" localSheetId="0">Graficos!$A$6:$I$165</definedName>
    <definedName name="BDTarifas">#REF!</definedName>
    <definedName name="CompResidencial" localSheetId="0">Resumen!$BV$24:$CC$99</definedName>
    <definedName name="CompResidencial">#REF!</definedName>
    <definedName name="FR_FOSE">Data!$K$11</definedName>
    <definedName name="Hoja1">#REF!</definedName>
    <definedName name="Hoja2">#REF!</definedName>
    <definedName name="Hoja2a">#REF!</definedName>
    <definedName name="TablaEuropa">#REF!</definedName>
    <definedName name="_xlnm.Print_Titles" localSheetId="1">Data!$1:$3</definedName>
    <definedName name="_xlnm.Print_Titles" localSheetId="0">Resumen!$2:$6</definedName>
  </definedNames>
  <calcPr calcId="162913"/>
</workbook>
</file>

<file path=xl/calcChain.xml><?xml version="1.0" encoding="utf-8"?>
<calcChain xmlns="http://schemas.openxmlformats.org/spreadsheetml/2006/main">
  <c r="G4" i="16" l="1"/>
  <c r="I63" i="6" l="1"/>
  <c r="W63" i="6"/>
  <c r="H63" i="6"/>
  <c r="G64" i="6"/>
  <c r="G63" i="6"/>
  <c r="S63" i="6" l="1"/>
  <c r="M64" i="6"/>
  <c r="N64" i="6"/>
  <c r="N63" i="6"/>
  <c r="M63" i="6"/>
  <c r="M51" i="6"/>
  <c r="M50" i="6"/>
  <c r="M49" i="6"/>
  <c r="M48" i="6"/>
  <c r="F49" i="6"/>
  <c r="G15" i="6" l="1"/>
  <c r="E15" i="6"/>
  <c r="D15" i="6"/>
  <c r="C15" i="6"/>
  <c r="B4" i="16"/>
  <c r="C33" i="16"/>
  <c r="C34" i="16"/>
  <c r="C35" i="16"/>
  <c r="C36" i="16"/>
  <c r="C37" i="16"/>
  <c r="C38" i="16"/>
  <c r="C39" i="16"/>
  <c r="C40" i="16"/>
  <c r="C41" i="16"/>
  <c r="C42" i="16"/>
  <c r="C43" i="16"/>
  <c r="C44" i="16"/>
  <c r="C45" i="16"/>
  <c r="C46" i="16"/>
  <c r="C32" i="16"/>
  <c r="Q5" i="16" l="1"/>
  <c r="Q6" i="16"/>
  <c r="Q7" i="16"/>
  <c r="Q8" i="16"/>
  <c r="Q9" i="16"/>
  <c r="Q10" i="16"/>
  <c r="Q11" i="16"/>
  <c r="Q12" i="16"/>
  <c r="Q13" i="16"/>
  <c r="Q14" i="16"/>
  <c r="Q15" i="16"/>
  <c r="Q16" i="16"/>
  <c r="Q17" i="16"/>
  <c r="Q18" i="16"/>
  <c r="Q4" i="16"/>
  <c r="H92" i="6" l="1"/>
  <c r="I92" i="6"/>
  <c r="H32" i="6" l="1"/>
  <c r="C33" i="6"/>
  <c r="I197" i="6" l="1"/>
  <c r="H197" i="6"/>
  <c r="D197" i="6"/>
  <c r="C197" i="6"/>
  <c r="I143" i="6" l="1"/>
  <c r="H143" i="6"/>
  <c r="E143" i="6"/>
  <c r="D143" i="6"/>
  <c r="C143" i="6"/>
  <c r="E92" i="6"/>
  <c r="D92" i="6"/>
  <c r="I32" i="6"/>
  <c r="H127" i="6"/>
  <c r="I127" i="6"/>
  <c r="I15" i="6"/>
  <c r="H15" i="6"/>
  <c r="E63" i="6" l="1"/>
  <c r="D49" i="6"/>
  <c r="C63" i="6" l="1"/>
  <c r="D63" i="6"/>
  <c r="F127" i="6"/>
  <c r="N214" i="6"/>
  <c r="H182" i="6"/>
  <c r="G143" i="6"/>
  <c r="C92" i="6"/>
  <c r="I77" i="6"/>
  <c r="H77" i="6"/>
  <c r="E77" i="6"/>
  <c r="D77" i="6"/>
  <c r="S50" i="6"/>
  <c r="H49" i="6" s="1"/>
  <c r="W187" i="6"/>
  <c r="X184" i="6" s="1"/>
  <c r="B18" i="16"/>
  <c r="B5" i="16"/>
  <c r="X186" i="6" l="1"/>
  <c r="X185" i="6"/>
  <c r="B13" i="16"/>
  <c r="B11" i="16"/>
  <c r="B7" i="16"/>
  <c r="G110" i="6"/>
  <c r="M79" i="6"/>
  <c r="I49" i="6"/>
  <c r="C49" i="6"/>
  <c r="N48" i="6" l="1"/>
  <c r="G7" i="16"/>
  <c r="G182" i="6" l="1"/>
  <c r="F182" i="6"/>
  <c r="E182" i="6"/>
  <c r="D182" i="6"/>
  <c r="C182" i="6"/>
  <c r="N198" i="6" l="1"/>
  <c r="N199" i="6"/>
  <c r="G127" i="6"/>
  <c r="D33" i="6" l="1"/>
  <c r="N62" i="6" l="1"/>
  <c r="F63" i="6" l="1"/>
  <c r="I182" i="6"/>
  <c r="C29" i="6" l="1"/>
  <c r="I226" i="6" l="1"/>
  <c r="H226" i="6"/>
  <c r="R94" i="6" l="1"/>
  <c r="N79" i="6"/>
  <c r="E110" i="6" l="1"/>
  <c r="N50" i="6" l="1"/>
  <c r="N51" i="6"/>
  <c r="N49" i="6" l="1"/>
  <c r="G49" i="6"/>
  <c r="E49" i="6"/>
  <c r="G18" i="16"/>
  <c r="G5" i="16"/>
  <c r="G6" i="16"/>
  <c r="G8" i="16"/>
  <c r="G9" i="16"/>
  <c r="G10" i="16"/>
  <c r="G11" i="16"/>
  <c r="G12" i="16"/>
  <c r="G13" i="16"/>
  <c r="G14" i="16"/>
  <c r="G15" i="16"/>
  <c r="G16" i="16"/>
  <c r="G17" i="16"/>
  <c r="G241" i="6" l="1"/>
  <c r="O198" i="6"/>
  <c r="O199" i="6"/>
  <c r="C110" i="6"/>
  <c r="H241" i="6" l="1"/>
  <c r="F241" i="6"/>
  <c r="E241" i="6"/>
  <c r="D241" i="6"/>
  <c r="C241" i="6"/>
  <c r="C242" i="6" s="1"/>
  <c r="H110" i="6" l="1"/>
  <c r="F110" i="6"/>
  <c r="N77" i="6" l="1"/>
  <c r="O201" i="6" l="1"/>
  <c r="E29" i="6"/>
  <c r="B8" i="16" l="1"/>
  <c r="O213" i="6" l="1"/>
  <c r="F143" i="6" l="1"/>
  <c r="I29" i="6" l="1"/>
  <c r="I110" i="6" l="1"/>
  <c r="J12" i="15"/>
  <c r="R95" i="6"/>
  <c r="F92" i="6"/>
  <c r="H12" i="15" s="1"/>
  <c r="G12" i="15"/>
  <c r="F12" i="15"/>
  <c r="E12" i="15"/>
  <c r="L94" i="6"/>
  <c r="G92" i="6" l="1"/>
  <c r="I12" i="15" s="1"/>
  <c r="D7" i="15"/>
  <c r="D8" i="15"/>
  <c r="D9" i="15"/>
  <c r="D10" i="15"/>
  <c r="D11" i="15"/>
  <c r="D12" i="15"/>
  <c r="D13" i="15"/>
  <c r="D14" i="15"/>
  <c r="D15" i="15"/>
  <c r="D16" i="15"/>
  <c r="D17" i="15"/>
  <c r="D18" i="15"/>
  <c r="D19" i="15"/>
  <c r="D20" i="15"/>
  <c r="D21" i="15"/>
  <c r="C127" i="6"/>
  <c r="N225" i="6" l="1"/>
  <c r="N226" i="6"/>
  <c r="N213" i="6"/>
  <c r="O197" i="6"/>
  <c r="O200" i="6"/>
  <c r="N197" i="6"/>
  <c r="E197" i="6" s="1"/>
  <c r="F197" i="6" l="1"/>
  <c r="G197" i="6"/>
  <c r="G164" i="6"/>
  <c r="C164" i="6"/>
  <c r="D164" i="6"/>
  <c r="E164" i="6"/>
  <c r="F164" i="6"/>
  <c r="R98" i="6"/>
  <c r="M81" i="6"/>
  <c r="N81" i="6"/>
  <c r="N80" i="6"/>
  <c r="G77" i="6" s="1"/>
  <c r="N78" i="6"/>
  <c r="F77" i="6" s="1"/>
  <c r="K12" i="15" l="1"/>
  <c r="C27" i="15"/>
  <c r="C28" i="15" s="1"/>
  <c r="F226" i="6"/>
  <c r="G226" i="6"/>
  <c r="E226" i="6"/>
  <c r="C226" i="6"/>
  <c r="D226" i="6"/>
  <c r="F214" i="6"/>
  <c r="G214" i="6"/>
  <c r="E214" i="6"/>
  <c r="D214" i="6"/>
  <c r="C214" i="6"/>
  <c r="E127" i="6"/>
  <c r="D127" i="6"/>
  <c r="B17" i="16" l="1"/>
  <c r="C220" i="6" s="1"/>
  <c r="B16" i="16"/>
  <c r="C208" i="6" s="1"/>
  <c r="D215" i="6" s="1"/>
  <c r="B15" i="16"/>
  <c r="C191" i="6" s="1"/>
  <c r="B14" i="16"/>
  <c r="C176" i="6" s="1"/>
  <c r="H183" i="6" s="1"/>
  <c r="C158" i="6"/>
  <c r="B12" i="16"/>
  <c r="C137" i="6" s="1"/>
  <c r="C144" i="6" s="1"/>
  <c r="C121" i="6"/>
  <c r="B10" i="16"/>
  <c r="C104" i="6" s="1"/>
  <c r="B9" i="16"/>
  <c r="C71" i="6"/>
  <c r="C57" i="6"/>
  <c r="H64" i="6" s="1"/>
  <c r="B6" i="16"/>
  <c r="C43" i="6" s="1"/>
  <c r="C50" i="6" s="1"/>
  <c r="C9" i="6"/>
  <c r="H16" i="6" s="1"/>
  <c r="G242" i="6"/>
  <c r="I21" i="15" s="1"/>
  <c r="F242" i="6"/>
  <c r="H21" i="15" s="1"/>
  <c r="E101" i="15" s="1"/>
  <c r="I241" i="6"/>
  <c r="H242" i="6"/>
  <c r="J21" i="15" s="1"/>
  <c r="K40" i="15" s="1"/>
  <c r="E242" i="6"/>
  <c r="G21" i="15" s="1"/>
  <c r="E80" i="15" s="1"/>
  <c r="D242" i="6"/>
  <c r="F21" i="15" s="1"/>
  <c r="E58" i="15" s="1"/>
  <c r="E21" i="15"/>
  <c r="E37" i="15" s="1"/>
  <c r="AA216" i="6"/>
  <c r="Z216" i="6"/>
  <c r="AA215" i="6"/>
  <c r="Z215" i="6"/>
  <c r="AA214" i="6"/>
  <c r="Z214" i="6"/>
  <c r="I214" i="6"/>
  <c r="H214" i="6"/>
  <c r="AA213" i="6"/>
  <c r="Z213" i="6"/>
  <c r="K18" i="15"/>
  <c r="K60" i="15" s="1"/>
  <c r="I164" i="6"/>
  <c r="H164" i="6"/>
  <c r="AB132" i="6"/>
  <c r="D110" i="6"/>
  <c r="K53" i="15"/>
  <c r="E96" i="15"/>
  <c r="E74" i="15"/>
  <c r="C77" i="6"/>
  <c r="AL65" i="6"/>
  <c r="AH65" i="6"/>
  <c r="AL64" i="6"/>
  <c r="AH64" i="6"/>
  <c r="AD64" i="6"/>
  <c r="AL63" i="6"/>
  <c r="AH63" i="6"/>
  <c r="AD63" i="6"/>
  <c r="AL62" i="6"/>
  <c r="AH62" i="6"/>
  <c r="AD62" i="6"/>
  <c r="AA31" i="6"/>
  <c r="AB30" i="6"/>
  <c r="AB29" i="6"/>
  <c r="H29" i="6"/>
  <c r="G29" i="6"/>
  <c r="F29" i="6"/>
  <c r="D29" i="6"/>
  <c r="AB28" i="6"/>
  <c r="C23" i="6"/>
  <c r="H30" i="6" s="1"/>
  <c r="F14" i="6"/>
  <c r="F15" i="6" s="1"/>
  <c r="I18" i="15"/>
  <c r="H18" i="15"/>
  <c r="E104" i="15" s="1"/>
  <c r="G18" i="15"/>
  <c r="E83" i="15" s="1"/>
  <c r="F18" i="15"/>
  <c r="E61" i="15" s="1"/>
  <c r="E18" i="15"/>
  <c r="E38" i="15" s="1"/>
  <c r="K29" i="15"/>
  <c r="E53" i="15"/>
  <c r="E30" i="15"/>
  <c r="F64" i="6" l="1"/>
  <c r="H10" i="15" s="1"/>
  <c r="E98" i="15" s="1"/>
  <c r="I10" i="15"/>
  <c r="D128" i="6"/>
  <c r="F14" i="15" s="1"/>
  <c r="E59" i="15" s="1"/>
  <c r="E65" i="15" s="1"/>
  <c r="G128" i="6"/>
  <c r="F128" i="6"/>
  <c r="H14" i="15" s="1"/>
  <c r="E102" i="15" s="1"/>
  <c r="E108" i="15" s="1"/>
  <c r="C128" i="6"/>
  <c r="E14" i="15" s="1"/>
  <c r="E36" i="15" s="1"/>
  <c r="E43" i="15" s="1"/>
  <c r="C64" i="6"/>
  <c r="E10" i="15" s="1"/>
  <c r="E34" i="15" s="1"/>
  <c r="D64" i="6"/>
  <c r="F10" i="15" s="1"/>
  <c r="E57" i="15" s="1"/>
  <c r="E111" i="6"/>
  <c r="G13" i="15" s="1"/>
  <c r="E71" i="15" s="1"/>
  <c r="G111" i="6"/>
  <c r="I13" i="15" s="1"/>
  <c r="I78" i="6"/>
  <c r="K11" i="15" s="1"/>
  <c r="K57" i="15" s="1"/>
  <c r="I64" i="6"/>
  <c r="K10" i="15" s="1"/>
  <c r="K52" i="15" s="1"/>
  <c r="H227" i="6"/>
  <c r="J20" i="15" s="1"/>
  <c r="K37" i="15" s="1"/>
  <c r="I227" i="6"/>
  <c r="K20" i="15" s="1"/>
  <c r="K58" i="15" s="1"/>
  <c r="C111" i="6"/>
  <c r="E13" i="15" s="1"/>
  <c r="E27" i="15" s="1"/>
  <c r="G183" i="6"/>
  <c r="I17" i="15" s="1"/>
  <c r="D183" i="6"/>
  <c r="F17" i="15" s="1"/>
  <c r="E56" i="15" s="1"/>
  <c r="E183" i="6"/>
  <c r="G17" i="15" s="1"/>
  <c r="E76" i="15" s="1"/>
  <c r="J17" i="15"/>
  <c r="K32" i="15" s="1"/>
  <c r="F183" i="6"/>
  <c r="H17" i="15" s="1"/>
  <c r="E100" i="15" s="1"/>
  <c r="C183" i="6"/>
  <c r="E17" i="15" s="1"/>
  <c r="E35" i="15" s="1"/>
  <c r="C78" i="6"/>
  <c r="E11" i="15" s="1"/>
  <c r="E32" i="15" s="1"/>
  <c r="C30" i="6"/>
  <c r="E8" i="15" s="1"/>
  <c r="E33" i="15" s="1"/>
  <c r="E30" i="6"/>
  <c r="G8" i="15" s="1"/>
  <c r="E77" i="15" s="1"/>
  <c r="I242" i="6"/>
  <c r="K21" i="15" s="1"/>
  <c r="K62" i="15" s="1"/>
  <c r="E128" i="6"/>
  <c r="G14" i="15" s="1"/>
  <c r="E81" i="15" s="1"/>
  <c r="E87" i="15" s="1"/>
  <c r="I215" i="6"/>
  <c r="K19" i="15" s="1"/>
  <c r="K59" i="15" s="1"/>
  <c r="I183" i="6"/>
  <c r="K17" i="15" s="1"/>
  <c r="K50" i="15" s="1"/>
  <c r="C227" i="6"/>
  <c r="E20" i="15" s="1"/>
  <c r="E31" i="15" s="1"/>
  <c r="D227" i="6"/>
  <c r="F20" i="15" s="1"/>
  <c r="E51" i="15" s="1"/>
  <c r="E227" i="6"/>
  <c r="G20" i="15" s="1"/>
  <c r="E73" i="15" s="1"/>
  <c r="F227" i="6"/>
  <c r="H20" i="15" s="1"/>
  <c r="E97" i="15" s="1"/>
  <c r="G227" i="6"/>
  <c r="I20" i="15" s="1"/>
  <c r="E9" i="15"/>
  <c r="E29" i="15" s="1"/>
  <c r="D50" i="6"/>
  <c r="F9" i="15" s="1"/>
  <c r="E52" i="15" s="1"/>
  <c r="E50" i="6"/>
  <c r="G9" i="15" s="1"/>
  <c r="E75" i="15" s="1"/>
  <c r="F50" i="6"/>
  <c r="H9" i="15" s="1"/>
  <c r="E95" i="15" s="1"/>
  <c r="G50" i="6"/>
  <c r="I9" i="15" s="1"/>
  <c r="H50" i="6"/>
  <c r="J9" i="15" s="1"/>
  <c r="K30" i="15" s="1"/>
  <c r="I50" i="6"/>
  <c r="K9" i="15" s="1"/>
  <c r="K56" i="15" s="1"/>
  <c r="J10" i="15"/>
  <c r="K31" i="15" s="1"/>
  <c r="E64" i="6"/>
  <c r="G10" i="15" s="1"/>
  <c r="E78" i="15" s="1"/>
  <c r="C215" i="6"/>
  <c r="E19" i="15" s="1"/>
  <c r="E39" i="15" s="1"/>
  <c r="I30" i="6"/>
  <c r="K8" i="15" s="1"/>
  <c r="K61" i="15" s="1"/>
  <c r="D30" i="6"/>
  <c r="F8" i="15" s="1"/>
  <c r="E55" i="15" s="1"/>
  <c r="J7" i="15"/>
  <c r="K28" i="15" s="1"/>
  <c r="I111" i="6"/>
  <c r="K13" i="15" s="1"/>
  <c r="K49" i="15" s="1"/>
  <c r="D144" i="6"/>
  <c r="F15" i="15" s="1"/>
  <c r="E62" i="15" s="1"/>
  <c r="F144" i="6"/>
  <c r="H15" i="15" s="1"/>
  <c r="E105" i="15" s="1"/>
  <c r="H144" i="6"/>
  <c r="J15" i="15" s="1"/>
  <c r="K36" i="15" s="1"/>
  <c r="E15" i="15"/>
  <c r="E40" i="15" s="1"/>
  <c r="E144" i="6"/>
  <c r="G15" i="15" s="1"/>
  <c r="E84" i="15" s="1"/>
  <c r="G144" i="6"/>
  <c r="I15" i="15" s="1"/>
  <c r="I144" i="6"/>
  <c r="K15" i="15" s="1"/>
  <c r="K55" i="15" s="1"/>
  <c r="H165" i="6"/>
  <c r="J16" i="15" s="1"/>
  <c r="K26" i="15" s="1"/>
  <c r="H78" i="6"/>
  <c r="J11" i="15" s="1"/>
  <c r="K34" i="15" s="1"/>
  <c r="E78" i="6"/>
  <c r="G11" i="15" s="1"/>
  <c r="E79" i="15" s="1"/>
  <c r="E165" i="6"/>
  <c r="G16" i="15" s="1"/>
  <c r="E70" i="15" s="1"/>
  <c r="I165" i="6"/>
  <c r="K16" i="15" s="1"/>
  <c r="K48" i="15" s="1"/>
  <c r="G78" i="6"/>
  <c r="I11" i="15" s="1"/>
  <c r="C165" i="6"/>
  <c r="E16" i="15" s="1"/>
  <c r="E26" i="15" s="1"/>
  <c r="D111" i="6"/>
  <c r="F13" i="15" s="1"/>
  <c r="E49" i="15" s="1"/>
  <c r="F111" i="6"/>
  <c r="H13" i="15" s="1"/>
  <c r="E92" i="15" s="1"/>
  <c r="H111" i="6"/>
  <c r="J13" i="15" s="1"/>
  <c r="K27" i="15" s="1"/>
  <c r="I14" i="15"/>
  <c r="E215" i="6"/>
  <c r="G19" i="15" s="1"/>
  <c r="E82" i="15" s="1"/>
  <c r="G215" i="6"/>
  <c r="I19" i="15" s="1"/>
  <c r="D78" i="6"/>
  <c r="F11" i="15" s="1"/>
  <c r="E54" i="15" s="1"/>
  <c r="F78" i="6"/>
  <c r="H11" i="15" s="1"/>
  <c r="E99" i="15" s="1"/>
  <c r="H128" i="6"/>
  <c r="J14" i="15" s="1"/>
  <c r="K33" i="15" s="1"/>
  <c r="K43" i="15" s="1"/>
  <c r="D165" i="6"/>
  <c r="F16" i="15" s="1"/>
  <c r="E48" i="15" s="1"/>
  <c r="F165" i="6"/>
  <c r="H16" i="15" s="1"/>
  <c r="E91" i="15" s="1"/>
  <c r="F19" i="15"/>
  <c r="E60" i="15" s="1"/>
  <c r="F215" i="6"/>
  <c r="H19" i="15" s="1"/>
  <c r="E103" i="15" s="1"/>
  <c r="H215" i="6"/>
  <c r="J19" i="15" s="1"/>
  <c r="K35" i="15" s="1"/>
  <c r="F30" i="6"/>
  <c r="H8" i="15" s="1"/>
  <c r="E94" i="15" s="1"/>
  <c r="J8" i="15"/>
  <c r="K38" i="15" s="1"/>
  <c r="G30" i="6"/>
  <c r="I8" i="15" s="1"/>
  <c r="C16" i="6"/>
  <c r="E7" i="15" s="1"/>
  <c r="E28" i="15" s="1"/>
  <c r="E16" i="6"/>
  <c r="G7" i="15" s="1"/>
  <c r="E72" i="15" s="1"/>
  <c r="G16" i="6"/>
  <c r="I7" i="15" s="1"/>
  <c r="I16" i="6"/>
  <c r="K7" i="15" s="1"/>
  <c r="K51" i="15" s="1"/>
  <c r="D16" i="6"/>
  <c r="F7" i="15" s="1"/>
  <c r="E50" i="15" s="1"/>
  <c r="F16" i="6"/>
  <c r="H7" i="15" s="1"/>
  <c r="E93" i="15" s="1"/>
  <c r="J18" i="15"/>
  <c r="K39" i="15" s="1"/>
  <c r="I128" i="6"/>
  <c r="K14" i="15" s="1"/>
  <c r="K54" i="15" s="1"/>
  <c r="K65" i="15" s="1"/>
  <c r="L66" i="15" l="1"/>
  <c r="L64" i="15"/>
  <c r="L65" i="15"/>
  <c r="F42" i="15"/>
  <c r="E42" i="15"/>
  <c r="F44" i="15"/>
  <c r="F43" i="15"/>
  <c r="F109" i="15"/>
  <c r="F108" i="15"/>
  <c r="F107" i="15"/>
  <c r="E107" i="15"/>
  <c r="F86" i="15"/>
  <c r="E86" i="15"/>
  <c r="F88" i="15"/>
  <c r="F87" i="15"/>
  <c r="F65" i="15"/>
  <c r="E64" i="15"/>
  <c r="F66" i="15"/>
  <c r="F64" i="15"/>
  <c r="K64" i="15"/>
  <c r="K42" i="15"/>
  <c r="L44" i="15"/>
  <c r="L43" i="15"/>
  <c r="L42" i="15"/>
  <c r="G165" i="6"/>
  <c r="I16" i="15" s="1"/>
  <c r="C72" i="6" l="1"/>
  <c r="C236" i="6"/>
  <c r="C58" i="6"/>
  <c r="C221" i="6"/>
  <c r="C209" i="6"/>
  <c r="C192" i="6"/>
  <c r="C10" i="6"/>
  <c r="B139" i="18" s="1"/>
  <c r="C44" i="6"/>
  <c r="C177" i="6"/>
  <c r="C24" i="6"/>
  <c r="C159" i="6"/>
  <c r="C138" i="6"/>
  <c r="C122" i="6"/>
  <c r="C105" i="6"/>
  <c r="C87" i="6"/>
  <c r="B112" i="18" l="1"/>
  <c r="B85" i="18"/>
  <c r="B31" i="18"/>
  <c r="B58" i="18"/>
  <c r="B4" i="18"/>
  <c r="C29" i="15"/>
  <c r="C30" i="15" s="1"/>
  <c r="C31" i="15" s="1"/>
  <c r="C32" i="15" s="1"/>
  <c r="C33" i="15" s="1"/>
  <c r="C34" i="15" s="1"/>
  <c r="C35" i="15" s="1"/>
  <c r="C36" i="15" s="1"/>
  <c r="C37" i="15" s="1"/>
  <c r="C38" i="15" s="1"/>
  <c r="C39" i="15" s="1"/>
  <c r="C40" i="15" s="1"/>
</calcChain>
</file>

<file path=xl/comments1.xml><?xml version="1.0" encoding="utf-8"?>
<comments xmlns="http://schemas.openxmlformats.org/spreadsheetml/2006/main">
  <authors>
    <author>cbernabel</author>
    <author>Abel Huanca Astoquillca</author>
    <author>DEIVIS RONALD ORE DIAZ</author>
    <author>CESAR</author>
    <author>CARMEN DAIRA</author>
    <author>Juan José Javier Jara</author>
  </authors>
  <commentList>
    <comment ref="E7" authorId="0" shapeId="0">
      <text>
        <r>
          <rPr>
            <b/>
            <sz val="8"/>
            <color indexed="81"/>
            <rFont val="Tahoma"/>
            <family val="2"/>
          </rPr>
          <t>http://www.enre.gov.ar/</t>
        </r>
      </text>
    </comment>
    <comment ref="K45" authorId="0" shapeId="0">
      <text>
        <r>
          <rPr>
            <b/>
            <sz val="8"/>
            <color indexed="81"/>
            <rFont val="Tahoma"/>
            <family val="2"/>
          </rPr>
          <t>https://app.powerbi.com/view?r=eyJrIjoiZDFmMzIzM2QtM2EyNi00YjkyLWIxNDMtYTU4NTI0NWIyNTI5IiwidCI6IjQwZDZmOWI4LWVjYTctNDZhMi05MmQ0LWVhNGU5YzAxNzBlMSIsImMiOjR9</t>
        </r>
      </text>
    </comment>
    <comment ref="N48" authorId="1" shapeId="0">
      <text>
        <r>
          <rPr>
            <sz val="9"/>
            <color indexed="81"/>
            <rFont val="Tahoma"/>
            <family val="2"/>
          </rPr>
          <t>Tarifa social:
http://www.aneel.gov.br/baixa-tensao-itens/-/asset_publisher/e2INtBH4EC4e/content/tarifa-social-introducao/656827?inheritRedirect=false&amp;redirect=http%3A%2F%2Fwww.aneel.gov.br%2Fbaixa-tensao-itens%3Fp_p_id%3D101_INSTANCE_e2INtBH4EC4e%26p_p_lifecycle%3D0%26p_p_state%3Dnormal%26p_p_mode%3Dview%26p_p_col_id%3Dcolumn-2%26p_p_col_pos%3D1%26p_p_col_count%3D3</t>
        </r>
      </text>
    </comment>
    <comment ref="D55" authorId="0" shapeId="0">
      <text>
        <r>
          <rPr>
            <b/>
            <sz val="8"/>
            <color indexed="81"/>
            <rFont val="Tahoma"/>
            <family val="2"/>
          </rPr>
          <t>https://www.eneldistribucion.cl/tarifas  (ver data hist´rica)</t>
        </r>
      </text>
    </comment>
    <comment ref="L60" authorId="2" shapeId="0">
      <text>
        <r>
          <rPr>
            <sz val="9"/>
            <color indexed="81"/>
            <rFont val="Tahoma"/>
            <family val="2"/>
          </rPr>
          <t>(a) $ C/IVA</t>
        </r>
      </text>
    </comment>
    <comment ref="E69" authorId="3" shapeId="0">
      <text>
        <r>
          <rPr>
            <b/>
            <sz val="8"/>
            <color indexed="81"/>
            <rFont val="Tahoma"/>
            <family val="2"/>
          </rPr>
          <t>https://www.enel.com.co/es/personas/tarifas-energia-enel-codensa.html</t>
        </r>
      </text>
    </comment>
    <comment ref="M74" authorId="4" shapeId="0">
      <text>
        <r>
          <rPr>
            <b/>
            <sz val="9"/>
            <color indexed="81"/>
            <rFont val="Tahoma"/>
            <charset val="1"/>
          </rPr>
          <t>Propiedad de ENEL</t>
        </r>
      </text>
    </comment>
    <comment ref="E85" authorId="0" shapeId="0">
      <text>
        <r>
          <rPr>
            <b/>
            <sz val="8"/>
            <color indexed="81"/>
            <rFont val="Tahoma"/>
            <family val="2"/>
          </rPr>
          <t>http://www.eeq.com.ec</t>
        </r>
      </text>
    </comment>
    <comment ref="Q91" authorId="1" shapeId="0">
      <text>
        <r>
          <rPr>
            <sz val="9"/>
            <color indexed="81"/>
            <rFont val="Tahoma"/>
            <family val="2"/>
          </rPr>
          <t xml:space="preserve">
B.5.1.A,B
</t>
        </r>
      </text>
    </comment>
    <comment ref="Q97" authorId="1" shapeId="0">
      <text>
        <r>
          <rPr>
            <sz val="9"/>
            <color indexed="81"/>
            <rFont val="Tahoma"/>
            <family val="2"/>
          </rPr>
          <t xml:space="preserve">
B.5.5</t>
        </r>
      </text>
    </comment>
    <comment ref="E102" authorId="0" shapeId="0">
      <text>
        <r>
          <rPr>
            <b/>
            <sz val="8"/>
            <color indexed="81"/>
            <rFont val="Tahoma"/>
            <family val="2"/>
          </rPr>
          <t>http://www.ande.gov.py/tarifasvigentes.php</t>
        </r>
      </text>
    </comment>
    <comment ref="S108" authorId="1" shapeId="0">
      <text>
        <r>
          <rPr>
            <sz val="9"/>
            <color indexed="81"/>
            <rFont val="Tahoma"/>
            <family val="2"/>
          </rPr>
          <t>Categoria 412</t>
        </r>
      </text>
    </comment>
    <comment ref="E119" authorId="5" shapeId="0">
      <text>
        <r>
          <rPr>
            <b/>
            <sz val="8"/>
            <color indexed="81"/>
            <rFont val="Tahoma"/>
            <family val="2"/>
          </rPr>
          <t>https://www.osinergmin.gob.pe/Tarifas/Electricidad/PliegoTarifario.aspx?Id=150000</t>
        </r>
      </text>
    </comment>
    <comment ref="E135" authorId="0" shapeId="0">
      <text>
        <r>
          <rPr>
            <b/>
            <sz val="8"/>
            <color indexed="81"/>
            <rFont val="Tahoma"/>
            <family val="2"/>
          </rPr>
          <t>http://portal.ute.com.uy/clientes-factura/pliego-tarifario</t>
        </r>
      </text>
    </comment>
    <comment ref="F156" authorId="0" shapeId="0">
      <text>
        <r>
          <rPr>
            <b/>
            <sz val="8"/>
            <color indexed="81"/>
            <rFont val="Tahoma"/>
            <family val="2"/>
          </rPr>
          <t>http://www.corpoelec.gob.ve/sites/default/files/Oficinas/Tarifas.php</t>
        </r>
      </text>
    </comment>
    <comment ref="E174" authorId="5" shapeId="0">
      <text>
        <r>
          <rPr>
            <b/>
            <sz val="8"/>
            <color indexed="81"/>
            <rFont val="Tahoma"/>
            <family val="2"/>
          </rPr>
          <t xml:space="preserve">http://www.grupoice.com/wps/portal/
</t>
        </r>
        <r>
          <rPr>
            <sz val="8"/>
            <color indexed="81"/>
            <rFont val="Tahoma"/>
            <family val="2"/>
          </rPr>
          <t>Buscar
Electricidad - Servicios residenciales - Tarifas actuales
https://aresep.go.cr/electricidad/index.php?option=com_content&amp;view=article&amp;id=1860&amp;catid=58&amp;Itemid=639
https://app.powerbi.com/view?r=eyJrIjoiY2I2YTM1MzEtYzlmYS00NmE1LWFlM2QtYWM2YTYzYTEzMmFlIiwidCI6IjBkNzIzOGY4LWI3ODQtNDk2MC1iZGUyLTZlMzM1MWQyNDcwZCIsImMiOjR9</t>
        </r>
      </text>
    </comment>
    <comment ref="E189" authorId="0" shapeId="0">
      <text>
        <r>
          <rPr>
            <b/>
            <sz val="8"/>
            <color indexed="81"/>
            <rFont val="Tahoma"/>
            <family val="2"/>
          </rPr>
          <t>https://www.aes-elsalvador.com/es/tarifas-vigentes
https://www.siget.gob.sv/electricidad/tarifas-de-electricidad/tarifas-de-electricidad-ano-2021/
https://www.aes-elsalvador.com/es/caess</t>
        </r>
      </text>
    </comment>
    <comment ref="E206" authorId="0" shapeId="0">
      <text>
        <r>
          <rPr>
            <b/>
            <sz val="8"/>
            <color indexed="81"/>
            <rFont val="Tahoma"/>
            <family val="2"/>
          </rPr>
          <t>http://www.cnee.gob.gt/Calculadora/index3.php</t>
        </r>
      </text>
    </comment>
    <comment ref="E218" authorId="0" shapeId="0">
      <text>
        <r>
          <rPr>
            <b/>
            <sz val="8"/>
            <color indexed="81"/>
            <rFont val="Tahoma"/>
            <family val="2"/>
          </rPr>
          <t>http://www.cfe.gob.mx/Paginas/Home.aspx</t>
        </r>
      </text>
    </comment>
    <comment ref="W218" authorId="0" shapeId="0">
      <text>
        <r>
          <rPr>
            <sz val="8"/>
            <color indexed="81"/>
            <rFont val="Tahoma"/>
            <family val="2"/>
          </rPr>
          <t>Ver: Region Central
https://app.cfe.mx/Aplicaciones/CCFE/Tarifas/TarifasCREIndustria/Industria.aspx
https://app.cfe.mx/Aplicaciones/CCFE/Tarifas/TarifasCREIndustria/Tarifas/GranDemandaMTH.aspx</t>
        </r>
      </text>
    </comment>
    <comment ref="S219" authorId="0" shapeId="0">
      <text>
        <r>
          <rPr>
            <b/>
            <sz val="8"/>
            <color indexed="81"/>
            <rFont val="Tahoma"/>
            <family val="2"/>
          </rPr>
          <t>http://app.cfe.gob.mx/Aplicaciones/CCFE/Tarifas/Tarifas/tarifas_industria.asp
https://app.cfe.mx/Aplicaciones/CCFE/Tarifas/TarifasCRENegocio/Tarifas/GranDemandaBT.aspx</t>
        </r>
      </text>
    </comment>
    <comment ref="M221" authorId="0" shapeId="0">
      <text>
        <r>
          <rPr>
            <b/>
            <sz val="8"/>
            <color indexed="81"/>
            <rFont val="Tahoma"/>
            <family val="2"/>
          </rPr>
          <t>https://app.cfe.mx/Aplicaciones/CCFE/Tarifas/TarifasCRECasa/Tarifas/Tarifa1.aspx</t>
        </r>
      </text>
    </comment>
    <comment ref="E233" authorId="0" shapeId="0">
      <text>
        <r>
          <rPr>
            <b/>
            <sz val="8"/>
            <color indexed="81"/>
            <rFont val="Tahoma"/>
            <family val="2"/>
          </rPr>
          <t>http://www.ufpanama.com/publicos.aspx?seccion=1&amp;sw=3
https://www.asep.gob.pa/?page_id=13792</t>
        </r>
      </text>
    </comment>
    <comment ref="K235" authorId="5" shapeId="0">
      <text>
        <r>
          <rPr>
            <b/>
            <sz val="8"/>
            <color indexed="81"/>
            <rFont val="Tahoma"/>
            <family val="2"/>
          </rPr>
          <t>http://www.gasnaturalfenosa.com.pa/pa/hogar/distribucion+de+electricidad/1297100729987/tarifas.html</t>
        </r>
      </text>
    </comment>
  </commentList>
</comments>
</file>

<file path=xl/comments2.xml><?xml version="1.0" encoding="utf-8"?>
<comments xmlns="http://schemas.openxmlformats.org/spreadsheetml/2006/main">
  <authors>
    <author>Juan José Javier Jara</author>
  </authors>
  <commentList>
    <comment ref="K2" authorId="0" shapeId="0">
      <text>
        <r>
          <rPr>
            <b/>
            <sz val="8"/>
            <color indexed="81"/>
            <rFont val="Tahoma"/>
            <family val="2"/>
          </rPr>
          <t>Instrucciones:</t>
        </r>
        <r>
          <rPr>
            <sz val="8"/>
            <color indexed="81"/>
            <rFont val="Tahoma"/>
            <family val="2"/>
          </rPr>
          <t xml:space="preserve">
Para Pegar en power Point OSINERGMIN:
Tamaño: 90%
Esquina superior izquierda
-Posición horizontal : 1.5 cm
-Posición vertical : 3.5 cm
</t>
        </r>
      </text>
    </comment>
  </commentList>
</comments>
</file>

<file path=xl/sharedStrings.xml><?xml version="1.0" encoding="utf-8"?>
<sst xmlns="http://schemas.openxmlformats.org/spreadsheetml/2006/main" count="1197" uniqueCount="562">
  <si>
    <t>Unidad</t>
  </si>
  <si>
    <t>ctv. US$/kW.h</t>
  </si>
  <si>
    <t>Bolivia</t>
  </si>
  <si>
    <t>País</t>
  </si>
  <si>
    <t>Perú</t>
  </si>
  <si>
    <t>Chile</t>
  </si>
  <si>
    <t>Ecuador</t>
  </si>
  <si>
    <t>Venezuela</t>
  </si>
  <si>
    <t>Argentina</t>
  </si>
  <si>
    <t>Paraguay</t>
  </si>
  <si>
    <t>Uruguay</t>
  </si>
  <si>
    <t>Consumo Mensual (kW.h)</t>
  </si>
  <si>
    <t>Ciudad</t>
  </si>
  <si>
    <t>Lima Norte</t>
  </si>
  <si>
    <t>TC (S/./US$)</t>
  </si>
  <si>
    <t>Fecha</t>
  </si>
  <si>
    <t>Energía</t>
  </si>
  <si>
    <t>Opción BT5B</t>
  </si>
  <si>
    <t>S/./mes</t>
  </si>
  <si>
    <t>ctm. S/./kW.h</t>
  </si>
  <si>
    <t>Cargo Tarifario</t>
  </si>
  <si>
    <t>Precio Medio</t>
  </si>
  <si>
    <t>Santiago</t>
  </si>
  <si>
    <t>TC ($/US$)</t>
  </si>
  <si>
    <t>$/mes</t>
  </si>
  <si>
    <t>$/kW.h</t>
  </si>
  <si>
    <t>Cargo fijo</t>
  </si>
  <si>
    <t>Energía base</t>
  </si>
  <si>
    <t>Colombia</t>
  </si>
  <si>
    <t>Bogotá</t>
  </si>
  <si>
    <t>Valor
sin impuestos</t>
  </si>
  <si>
    <t>Buenos Aires Norte</t>
  </si>
  <si>
    <t>Quito</t>
  </si>
  <si>
    <t>Mes</t>
  </si>
  <si>
    <t>US$</t>
  </si>
  <si>
    <t>US$/kW.h</t>
  </si>
  <si>
    <t>La Paz</t>
  </si>
  <si>
    <t>TC (Bs/US$)</t>
  </si>
  <si>
    <t>Bs/kW.h</t>
  </si>
  <si>
    <t>Caracas</t>
  </si>
  <si>
    <t>Bs/mes</t>
  </si>
  <si>
    <t>Brasil</t>
  </si>
  <si>
    <t>Rio de Janeiro</t>
  </si>
  <si>
    <t>R$/kW.h</t>
  </si>
  <si>
    <t>0 - 30 kW.h</t>
  </si>
  <si>
    <t>Asunción</t>
  </si>
  <si>
    <t>TC (Gs/US$)</t>
  </si>
  <si>
    <t>ANDE - Tarifa Social 141</t>
  </si>
  <si>
    <t>Gs/kW.h</t>
  </si>
  <si>
    <t>ANDE - Tarifa Residencial 142</t>
  </si>
  <si>
    <t>1 - 50 kW.h</t>
  </si>
  <si>
    <t>51 - 150 kW.h</t>
  </si>
  <si>
    <t>BO</t>
  </si>
  <si>
    <t>CH</t>
  </si>
  <si>
    <t>EC</t>
  </si>
  <si>
    <t>VE</t>
  </si>
  <si>
    <t>AR</t>
  </si>
  <si>
    <t>BR</t>
  </si>
  <si>
    <t>PA</t>
  </si>
  <si>
    <t>UR</t>
  </si>
  <si>
    <t>PE</t>
  </si>
  <si>
    <t>CO</t>
  </si>
  <si>
    <t>Código</t>
  </si>
  <si>
    <t>Montevideo</t>
  </si>
  <si>
    <t>Tarifa Residencial Simple</t>
  </si>
  <si>
    <t>1 - 100 kW.h</t>
  </si>
  <si>
    <t>101 - 600 kW.h</t>
  </si>
  <si>
    <t>&gt; 601 kW.h</t>
  </si>
  <si>
    <t>Cargo fijo potencia</t>
  </si>
  <si>
    <t>$/kW</t>
  </si>
  <si>
    <t>Tarifas de Electricidad (ctv. US$/kW.h)</t>
  </si>
  <si>
    <t>Costa Rica</t>
  </si>
  <si>
    <t>San José</t>
  </si>
  <si>
    <t>Colón/kW.h</t>
  </si>
  <si>
    <t>Guatemala</t>
  </si>
  <si>
    <t>Q/kW.h</t>
  </si>
  <si>
    <t>TC (Colón/US$)</t>
  </si>
  <si>
    <t>TC (Quetzal/US$)</t>
  </si>
  <si>
    <t>Panamá</t>
  </si>
  <si>
    <t>TC (Balboa/US$)</t>
  </si>
  <si>
    <t>Cargo fijo - Primeros 10kW.h</t>
  </si>
  <si>
    <t>B/mes</t>
  </si>
  <si>
    <t>B/kW.h</t>
  </si>
  <si>
    <t>El Salvador</t>
  </si>
  <si>
    <t>San Salvador</t>
  </si>
  <si>
    <t>Mexico</t>
  </si>
  <si>
    <t>Mexico DF</t>
  </si>
  <si>
    <t>TC (Peso/US$)</t>
  </si>
  <si>
    <t>CR</t>
  </si>
  <si>
    <t>GT</t>
  </si>
  <si>
    <t>ES</t>
  </si>
  <si>
    <t>MX</t>
  </si>
  <si>
    <t>Tarifa 3 - BT&lt;300kW</t>
  </si>
  <si>
    <t>Cargo variable pico</t>
  </si>
  <si>
    <t>Cargo variable resto</t>
  </si>
  <si>
    <t>Cargo variable valle</t>
  </si>
  <si>
    <t>Cargo Fijo</t>
  </si>
  <si>
    <t>Cargo Variable</t>
  </si>
  <si>
    <t>Tarifa 1 - R1</t>
  </si>
  <si>
    <t>$/kW-mes</t>
  </si>
  <si>
    <t>Tarifa BT-1</t>
  </si>
  <si>
    <t>$/cliente</t>
  </si>
  <si>
    <t>Tarifa BT-3</t>
  </si>
  <si>
    <t>Cons.parcialmente pte en pta</t>
  </si>
  <si>
    <t>Cons.pte en pta</t>
  </si>
  <si>
    <t>$/kW/mes</t>
  </si>
  <si>
    <t>Pot.total contrat.o leida</t>
  </si>
  <si>
    <t>Demanda Máx.Pta</t>
  </si>
  <si>
    <t>Tarifa AT-4.2</t>
  </si>
  <si>
    <t>Estrato</t>
  </si>
  <si>
    <t>E1</t>
  </si>
  <si>
    <t>E2</t>
  </si>
  <si>
    <t>E3</t>
  </si>
  <si>
    <t>E4</t>
  </si>
  <si>
    <t>E5</t>
  </si>
  <si>
    <t>E6</t>
  </si>
  <si>
    <t>Estratos</t>
  </si>
  <si>
    <t>1) bajo-bajo</t>
  </si>
  <si>
    <t>2) bajo</t>
  </si>
  <si>
    <t>3) medio-bajo</t>
  </si>
  <si>
    <t>4) medio</t>
  </si>
  <si>
    <t>5) medio-alto</t>
  </si>
  <si>
    <t>6) alto.</t>
  </si>
  <si>
    <t>Industrial y Comercial - Monomia</t>
  </si>
  <si>
    <t>Industrial</t>
  </si>
  <si>
    <t>Punta</t>
  </si>
  <si>
    <t>Fuera de punta</t>
  </si>
  <si>
    <t>0-50</t>
  </si>
  <si>
    <t>51-100</t>
  </si>
  <si>
    <t>151-200</t>
  </si>
  <si>
    <t>201-250</t>
  </si>
  <si>
    <t>Demanda (US$/kW)</t>
  </si>
  <si>
    <t>Energía (US$/kWh)</t>
  </si>
  <si>
    <t>S/./kW-mes</t>
  </si>
  <si>
    <t>Tarifa M.C.1:0,23 - 0,40</t>
  </si>
  <si>
    <t>Valle</t>
  </si>
  <si>
    <t>Llano</t>
  </si>
  <si>
    <t>Potencia Máxima Medida</t>
  </si>
  <si>
    <t>Cargo Fijo: $</t>
  </si>
  <si>
    <t>($ por kW.h)</t>
  </si>
  <si>
    <t>Tarifa G.C.1:0,23 - 0,40</t>
  </si>
  <si>
    <t>Tarifa M.C.2:6,4-15-22</t>
  </si>
  <si>
    <t>Tarifa M.C.3: 31,5</t>
  </si>
  <si>
    <t>Tarifa G.C.3: 31,5</t>
  </si>
  <si>
    <t>Tarifa G.C.2:6,4-15-22</t>
  </si>
  <si>
    <t>Potencia reservada</t>
  </si>
  <si>
    <t>Exceso de potencia reservada</t>
  </si>
  <si>
    <t>Energía en punta</t>
  </si>
  <si>
    <t>Energía fuera de punta</t>
  </si>
  <si>
    <t>Comercial</t>
  </si>
  <si>
    <t>G/kW-mes</t>
  </si>
  <si>
    <t>Adicional</t>
  </si>
  <si>
    <t>Residencial Social T-01</t>
  </si>
  <si>
    <t>Mayor a 501 kW.h</t>
  </si>
  <si>
    <t>Demanda (Bs./kVA)</t>
  </si>
  <si>
    <t>Energía (Bs./kW.h)</t>
  </si>
  <si>
    <t>Hasta 100kVA</t>
  </si>
  <si>
    <t>Bs/kWh</t>
  </si>
  <si>
    <t>Bs./mes</t>
  </si>
  <si>
    <t>Bs./kWh</t>
  </si>
  <si>
    <t>Bs./kW</t>
  </si>
  <si>
    <t>TC (R$/US$)</t>
  </si>
  <si>
    <t>Medida Nivel 2
(11,4 y 13,2 kV)</t>
  </si>
  <si>
    <t>Medida Nivel 1
(&lt; 1 kV)</t>
  </si>
  <si>
    <t>Tarifas Triple Horario - Medianos Consumidores</t>
  </si>
  <si>
    <t>Tarifas Triple Horario - Grandes Consumidores</t>
  </si>
  <si>
    <t>CENTRO AMÉRICA</t>
  </si>
  <si>
    <t>Colón/kW</t>
  </si>
  <si>
    <t>Energía - punta</t>
  </si>
  <si>
    <t>Energía - resto</t>
  </si>
  <si>
    <t>Energía - valle</t>
  </si>
  <si>
    <t xml:space="preserve">US$ </t>
  </si>
  <si>
    <t xml:space="preserve">Potencia: </t>
  </si>
  <si>
    <t>Fuera de Punta: 23:00 a 1800 hs</t>
  </si>
  <si>
    <t>Pico: 18:00 a 23:00 hs</t>
  </si>
  <si>
    <t>Valle: 23:00 a 05:00 hs</t>
  </si>
  <si>
    <t>Resto: 05:00 a 18:00 hs</t>
  </si>
  <si>
    <t xml:space="preserve">Punta : 18:00 a 23:00 hs </t>
  </si>
  <si>
    <t xml:space="preserve">Energía activa: </t>
  </si>
  <si>
    <t>Definición de Argentina, no se encontró la definición en la web.</t>
  </si>
  <si>
    <t xml:space="preserve">US$/kW </t>
  </si>
  <si>
    <t>Cargo por consumidor</t>
  </si>
  <si>
    <t>Q/usuario</t>
  </si>
  <si>
    <t>Máxima Demanda</t>
  </si>
  <si>
    <t>Potencia Contratada</t>
  </si>
  <si>
    <t>Q/kW</t>
  </si>
  <si>
    <t>Energía HP</t>
  </si>
  <si>
    <t>Energía HFP</t>
  </si>
  <si>
    <t>Cons.básico (&lt;75kW.h)</t>
  </si>
  <si>
    <t>Nota:</t>
  </si>
  <si>
    <t>La Tarifa T2 solo es aplicable a usuariso con demandas entre 10 y 49kW.</t>
  </si>
  <si>
    <t>La Tarifa T3 es para usuarios con demanda superior a 50kW.</t>
  </si>
  <si>
    <t>Horas punta: 18 pm - 23 pm</t>
  </si>
  <si>
    <t>Horas resto: 05 am - 18 pm.</t>
  </si>
  <si>
    <t>Horas valle: 23 pm - 05am.</t>
  </si>
  <si>
    <t>a” bloque alto entre las 18 a 23 horas,</t>
  </si>
  <si>
    <t xml:space="preserve">“m” bloque medio entre las 7 a horas 18 y 23 a 24, y </t>
  </si>
  <si>
    <t>“b” bloque bajo que abarca entre las 0 horas a 7 de la mañana.</t>
  </si>
  <si>
    <t>Notas:</t>
  </si>
  <si>
    <t>Demanda Máxima HP</t>
  </si>
  <si>
    <t>Demanda Máxima HFP</t>
  </si>
  <si>
    <t>B/kW</t>
  </si>
  <si>
    <t>México</t>
  </si>
  <si>
    <t>PY</t>
  </si>
  <si>
    <t>Tarifa Residencial</t>
  </si>
  <si>
    <t>Tarifa Comercial, Industrial</t>
  </si>
  <si>
    <t>Tarifa Residencial - Tarifa 1 - R1</t>
  </si>
  <si>
    <t>Tarifa Comercial, Industrial - Convencional</t>
  </si>
  <si>
    <t xml:space="preserve">Tarifa Residencial - Área 1A </t>
  </si>
  <si>
    <t xml:space="preserve">Tarifa Industrial </t>
  </si>
  <si>
    <t>Tarifa Comercial</t>
  </si>
  <si>
    <t>Cargo de energía</t>
  </si>
  <si>
    <t>Tarifa Comercial, Industrial - Sector No residencial</t>
  </si>
  <si>
    <t>Descripción</t>
  </si>
  <si>
    <t>Consumo (kW.h)</t>
  </si>
  <si>
    <t>ENERGIA (US$/kW.h)</t>
  </si>
  <si>
    <t>Tarifa 372</t>
  </si>
  <si>
    <t>Energ. Activa en HP</t>
  </si>
  <si>
    <t>Energ. Activa HFP</t>
  </si>
  <si>
    <t>Pot. Generación HP</t>
  </si>
  <si>
    <t>Pot. Distribución HP</t>
  </si>
  <si>
    <t>Exceso Pot. Distribución HFP</t>
  </si>
  <si>
    <t>Opción MT2</t>
  </si>
  <si>
    <t>Energía Activa</t>
  </si>
  <si>
    <t>Pot. Contratada o Máxima Demanda para Clientes:</t>
  </si>
  <si>
    <t>Tarifa</t>
  </si>
  <si>
    <t>Tarifa BTDfp</t>
  </si>
  <si>
    <t>Tarifa MTDfp</t>
  </si>
  <si>
    <t>Tarifa BTH</t>
  </si>
  <si>
    <t>Tarifa MTH</t>
  </si>
  <si>
    <t>Excedente</t>
  </si>
  <si>
    <t>Residencial</t>
  </si>
  <si>
    <t>Cálculo de Precios Medios</t>
  </si>
  <si>
    <t>Tarifas Sector Residencial</t>
  </si>
  <si>
    <t>Tarifas Sector Comercial e Industrial</t>
  </si>
  <si>
    <t>Tarifa Industrial</t>
  </si>
  <si>
    <t>Residencial General T-02</t>
  </si>
  <si>
    <t>Residencial Baja Renta</t>
  </si>
  <si>
    <t>Tarifa BT con medición horaria</t>
  </si>
  <si>
    <t>Tarifa MT con medición horaria</t>
  </si>
  <si>
    <t>Energía punta</t>
  </si>
  <si>
    <t>Energía intermedio</t>
  </si>
  <si>
    <t>Base: 0 - 6am</t>
  </si>
  <si>
    <t>Intermedio: 6 - 20, 22 - 24</t>
  </si>
  <si>
    <t>Punta: 20 - 22</t>
  </si>
  <si>
    <t>Abril - Octubre</t>
  </si>
  <si>
    <t>Intermedio: 6 - 18, 22 - 24</t>
  </si>
  <si>
    <t>Punta: 18 - 22</t>
  </si>
  <si>
    <t>Octubre - Abril</t>
  </si>
  <si>
    <t>Ciudad de Guatemala</t>
  </si>
  <si>
    <t>SUDAMÉRICA</t>
  </si>
  <si>
    <t>Opción BT2</t>
  </si>
  <si>
    <t>Tarifas siguen igual, se comparo pliego edesur con pliego del regulador</t>
  </si>
  <si>
    <t>Tarifas al 01/03/2006</t>
  </si>
  <si>
    <t>Tarifas al 15/03/2006</t>
  </si>
  <si>
    <t>Tarifas al 01/02/2006</t>
  </si>
  <si>
    <t>101-130</t>
  </si>
  <si>
    <t>131-150</t>
  </si>
  <si>
    <t>Sin modificación desde el 2005</t>
  </si>
  <si>
    <t>Tarifa 1</t>
  </si>
  <si>
    <t>T-MT: Tarifa de Media Tensión</t>
  </si>
  <si>
    <t>Periodo Horario</t>
  </si>
  <si>
    <t>Cargo por Energía</t>
  </si>
  <si>
    <t>Costo por cada kWh</t>
  </si>
  <si>
    <t>Cargo por demanda</t>
  </si>
  <si>
    <t>Costo por cada kW</t>
  </si>
  <si>
    <t>Nocturno</t>
  </si>
  <si>
    <t>Nota: Se facturará la máxima medición de potencia registrada durante cada período del mes, excluyendo los sábados y domingos.</t>
  </si>
  <si>
    <t>Energía 0-3000kW.h</t>
  </si>
  <si>
    <t>Cargos desde 10/12/2005</t>
  </si>
  <si>
    <t>Revisar si se aplican los dos cargos de potencia.</t>
  </si>
  <si>
    <t>Temporada alta (¢)</t>
  </si>
  <si>
    <t>Temporada baja(¢)</t>
  </si>
  <si>
    <t>Temporada baja (¢)</t>
  </si>
  <si>
    <t>Marzo</t>
  </si>
  <si>
    <t>Noviembre</t>
  </si>
  <si>
    <t>La tarifa social establece un porcentaje de descuento sobre la factura de los usuarios residenciales con consumos de hasta 150 kW.h mes.</t>
  </si>
  <si>
    <t>- 75% de descuento para aquellos usuarios residenciales cuyo consumo esté entre 0 y 75 kW.h mes.</t>
  </si>
  <si>
    <t>- 50% de descuento para aquellos usuarios residenciales cuyo consumo esté entre 76 y 150 kW.h mes.</t>
  </si>
  <si>
    <t>Pequeña Demanda</t>
  </si>
  <si>
    <t>E-GD-MT</t>
  </si>
  <si>
    <t>kWh/kW Adicionales_a</t>
  </si>
  <si>
    <t>kWh/kW Adicionales_m</t>
  </si>
  <si>
    <t>kWh/kW Adicionales_b</t>
  </si>
  <si>
    <t>CPP (CL)</t>
  </si>
  <si>
    <t>CEPFP</t>
  </si>
  <si>
    <t>Consumo</t>
  </si>
  <si>
    <t>C2-GD-BT</t>
  </si>
  <si>
    <t>Mayor a 1000kVA</t>
  </si>
  <si>
    <t xml:space="preserve">Publicado en la Gaceta número 41 </t>
  </si>
  <si>
    <t>Valor
sin impuestos *</t>
  </si>
  <si>
    <t xml:space="preserve">0-30 kW.h - Cargo fijo </t>
  </si>
  <si>
    <t>0-30 kW.h - Energía</t>
  </si>
  <si>
    <t>&gt; 100 kW.h - Energía</t>
  </si>
  <si>
    <t>&gt; 100 kW.h - Cargo fijo</t>
  </si>
  <si>
    <t>31-100 kW.h - Cargo fijo</t>
  </si>
  <si>
    <t>31-100 kW.h - Energ.exces.30 kW.h</t>
  </si>
  <si>
    <t>31-100 kW.h - Energ.prim.30 kW.h</t>
  </si>
  <si>
    <t>Tarifa 3R  &gt;200kW.h</t>
  </si>
  <si>
    <t>Tarifa 1R
&lt;100kW.h</t>
  </si>
  <si>
    <t>TC (Bs. F/US$)</t>
  </si>
  <si>
    <t>Promedio</t>
  </si>
  <si>
    <t>Promedo</t>
  </si>
  <si>
    <t>Período punta</t>
  </si>
  <si>
    <t>Período valle</t>
  </si>
  <si>
    <t>Período nocturno</t>
  </si>
  <si>
    <t>Cargo por enegía, por cada kWh</t>
  </si>
  <si>
    <t>Cargo por potencia por cada kW</t>
  </si>
  <si>
    <t xml:space="preserve">Demanda </t>
  </si>
  <si>
    <t>Energía &gt; 3000 kW.h</t>
  </si>
  <si>
    <t>Tarifa 2R  
100 - 200kW.h</t>
  </si>
  <si>
    <t>Energía &lt;= 99 kWh</t>
  </si>
  <si>
    <t>Energía - (100-199 kWh)</t>
  </si>
  <si>
    <t>Tarifa Social
0-50kW.h</t>
  </si>
  <si>
    <t>Tarifa Social
51-100kW.h</t>
  </si>
  <si>
    <t>Tarifa BTS
101-300kW.h</t>
  </si>
  <si>
    <t>Comercial, Industrial:</t>
  </si>
  <si>
    <t>Tarifa Normal (Bs.)</t>
  </si>
  <si>
    <t>Tarifa Dignidad (Bs.)</t>
  </si>
  <si>
    <t xml:space="preserve"> Por los siguientes kWh  </t>
  </si>
  <si>
    <t>Se considera una potencia contratada &lt;= 40 kW</t>
  </si>
  <si>
    <t>tercer cuartil</t>
  </si>
  <si>
    <t>Opción MT4</t>
  </si>
  <si>
    <t xml:space="preserve"> </t>
  </si>
  <si>
    <t>EDENOR</t>
  </si>
  <si>
    <t>Ande</t>
  </si>
  <si>
    <t>CODENSA</t>
  </si>
  <si>
    <t>UTE</t>
  </si>
  <si>
    <t>EEGSA</t>
  </si>
  <si>
    <t>CAESS</t>
  </si>
  <si>
    <t>CEF</t>
  </si>
  <si>
    <t>Fuente: Infoeuro</t>
  </si>
  <si>
    <t>http://ec.europa.eu/budget/inforeuro/index.cfm?Language=en</t>
  </si>
  <si>
    <t>PYG</t>
  </si>
  <si>
    <t>ARS</t>
  </si>
  <si>
    <t>USD</t>
  </si>
  <si>
    <t>MXN</t>
  </si>
  <si>
    <t>COP</t>
  </si>
  <si>
    <t>BRL</t>
  </si>
  <si>
    <t>CRC</t>
  </si>
  <si>
    <t>GTQ</t>
  </si>
  <si>
    <t>BOB</t>
  </si>
  <si>
    <t>PEN</t>
  </si>
  <si>
    <t>CLP</t>
  </si>
  <si>
    <t>UYU</t>
  </si>
  <si>
    <t>Bolívares (Bs., VEF)</t>
  </si>
  <si>
    <t>Guaraní (PYG)</t>
  </si>
  <si>
    <t xml:space="preserve">Peso ($, ARS) </t>
  </si>
  <si>
    <t>Peso Colombiano ($) (COP)</t>
  </si>
  <si>
    <t>Real (R$, BRL)</t>
  </si>
  <si>
    <t>Colón Costarricense (₡, CRC)</t>
  </si>
  <si>
    <t>Quetzal (GTQ)</t>
  </si>
  <si>
    <t>Boliviano (Bs., BOB)</t>
  </si>
  <si>
    <t>Peso chileno ($, CLP)</t>
  </si>
  <si>
    <t>Peso ($, UYU)</t>
  </si>
  <si>
    <t>CEB (Compañía Energética de Brasilia)</t>
  </si>
  <si>
    <t>EDEMET</t>
  </si>
  <si>
    <t>Empresa Eléctrica de Quito</t>
  </si>
  <si>
    <t>&lt; 173* kW.h</t>
  </si>
  <si>
    <t>&gt; 173* kW.h</t>
  </si>
  <si>
    <t>ICE</t>
  </si>
  <si>
    <t>CORPOLEC</t>
  </si>
  <si>
    <t>Tarifa 1
&lt; 140kW.h</t>
  </si>
  <si>
    <t>Tarifa 1
&gt; 140kW.h</t>
  </si>
  <si>
    <t>MEDIA TENSION CON DEMANDA (G7 /MTD)</t>
  </si>
  <si>
    <t>MEDIA TENSION CON DEMANDA HORARIA (G7 / MTDH)</t>
  </si>
  <si>
    <t>Energía - (200 a mas kWh)</t>
  </si>
  <si>
    <t>Comercialización</t>
  </si>
  <si>
    <t>Cargo de Distribución &lt;= 99kWh</t>
  </si>
  <si>
    <t>Cargo de Distribución - (100-199 kWh)</t>
  </si>
  <si>
    <t>Cargo de Distribución - (200 a mas kWh)</t>
  </si>
  <si>
    <t>Cargo de Distribución</t>
  </si>
  <si>
    <t>MN/US$</t>
  </si>
  <si>
    <t>MN/EURO</t>
  </si>
  <si>
    <t>EURO/US$</t>
  </si>
  <si>
    <t>The rates indicated are the market rates for the penultimate day of the previous month</t>
  </si>
  <si>
    <t xml:space="preserve">quoted by the European Central Bank or, depending on availability, provided by the </t>
  </si>
  <si>
    <t>delegations or other appropriate sources close to that date</t>
  </si>
  <si>
    <t>Dólar Ecuatoriano (oficial); tipo de cambio = 1 (USD)</t>
  </si>
  <si>
    <t>Moneda del país (SVC), Unidad de Tarifas (USD)</t>
  </si>
  <si>
    <t>Peso Mexicano (MXN)</t>
  </si>
  <si>
    <t>Balboa (oficial) (PAB); ídem a dólar estadounidense (curso legal) ($, USD)</t>
  </si>
  <si>
    <t>Nomenclatura</t>
  </si>
  <si>
    <t>Características</t>
  </si>
  <si>
    <t>Comentarios</t>
  </si>
  <si>
    <t xml:space="preserve">Parque de generación: 28,18 GW.
34,9% Hidroeléctrico, 52,6% Térmico y 12,5% Otras.
</t>
  </si>
  <si>
    <t>El sistema de generación eléctrica es fuertemente dependiente del Gas Natural. Este combustible es empleado por el 90% de las plantas de generación térmica.
Se tiene prevista el ingreso de nuevas centrales de generación térmica el año 2008 (1600 MW).</t>
  </si>
  <si>
    <t xml:space="preserve">Parque de generación: 1,38 GW.
66,6% Hidroeléctrico, 33.4% Térmico.
Pago de inversiones a partir de valor contable (descontado).
Tasa de descuento igual a 10,10%.
</t>
  </si>
  <si>
    <t>Marginan turbinas de ciclo combinado a GN.
La tasa de descuento origina una diferencia en tarifas de hasta 5% menor con relación a las tarifas del Perú.</t>
  </si>
  <si>
    <t>Parque de generación: 93,16 GW.
76,1% Hidroeléctrico, 21,8% Térmico, 2,1% Nuclear</t>
  </si>
  <si>
    <t>Aproximadamente el 42% de la capacidad instalada de generación es de propiedad de Electrobras, quien también es responsable del 70% de la capacidad instalada de transmisión en niveles de tensión mayores a 230 kV
Los contratos de compra-venta de energía y potencia entre generadores y distribuidores se realiza a través de licitaciones para el mercado regulado y contratos bilaterales en el mercado libre.</t>
  </si>
  <si>
    <t xml:space="preserve">Parque de generación: 13,48 GW.
39.4% Hidroeléctrico, 63,6% Térmico.
Pago de inversiones a partir del VNR (similar al Perú).
Tasa de descuento igual a 10%.
</t>
  </si>
  <si>
    <t>La tasa de descuento origina una diferencia en tarifas de hasta 5% menor con relación a las tarifas del Perú.
Los contratos de compra-venta de energía y potencia entre generadores y distribuidores se realiza a través de contratos bilaterales y licitaciones para el mercado regulado.</t>
  </si>
  <si>
    <t>Parque de generación eléctrica: 13,40 GW.
66,5% Hidroeléctrico, 33,1% Térmico y 0,4% Otros.
El coeficiente de electrificación es 85%.</t>
  </si>
  <si>
    <t>Los cargos de distribución están en proceso de transición.
Existen subsidios a nivel residencial y las tarifas están diferenciadas por estrato socioeconómico.</t>
  </si>
  <si>
    <t>Parque de generación:  4,40 GW.
41% Hidroeléctrico, 49,9% Térmico y 9,1% Otras.
Pago de inversiones a partir del VNR (similar al Perú).
Tasa de descuento igual a 7,5%.</t>
  </si>
  <si>
    <t>A diciembre de 2006, el Mercado Eléctrico Mayorista estaba constituido por 17 agentes generadores (8 de capital privado, 8 con participación del Estado y 1 con administración temporal designado por el Estado)</t>
  </si>
  <si>
    <t>Parque de generación: 8,12 GW.
99,9% Hidroeléctrico y 0,01% Térmico.
Tasa de descuento entre 8% y 10%.</t>
  </si>
  <si>
    <t>Las actividades de G, T y D son realizadas por el Estado a través de ANDE (Administración Nacional de Electricidad).
Existen subsidios a nivel residencial que hacen que las tarifas sean menores (tarifa social).</t>
  </si>
  <si>
    <t>Parque de generación: 6,66 GW.
48,3% Hidroeléctrico, 51,7% Térmico.
Pago de inversiones a partir del VNR.
Tasa de descuento igual a 12%.
Precio GN: 1,8 - 2,5 US$/MMBtu.</t>
  </si>
  <si>
    <t>Marginan turbinas a gas de ciclo simple y en algunos bloques, unidades con combustible líquido. Operarán unidades de ciclo combinado a GN a partir del año 2006.</t>
  </si>
  <si>
    <t>La capacidad de generación eléctrica es: 2,11 GW.
73% hidroeléctrico y 27% térmico.</t>
  </si>
  <si>
    <t>La empresa pública Administración Nacional de Usinas y Transmisiones Eléctricas (UTE) ejerce en la práctica el monopolio de la transmisión y distribución y comparte con la binacional Salto Grande la actividad de generación del país.</t>
  </si>
  <si>
    <t>La capacidad de generación eléctrica es: 22,27 GW.
62,2% Hidroeléctrico, 33% Térmica y 4,8% otros.</t>
  </si>
  <si>
    <t>Las tarifas son fijadas por el Estado y no reflejan los costos del servicio.
Las tarifas se utilizan como mecanismo de subsidio para la economía en general.</t>
  </si>
  <si>
    <t>La capacidad instalada en generación es: 2,10 GW.
67,4% Hidroeléctrico, 21,3% Térmico y 11,4% otras.
El coeficiente de electrificación es de 98.13%.</t>
  </si>
  <si>
    <t>Sector eléctrico dominado por el Instituto Costarricense de Electricidad (ICE), empresa del Estado que provee el 80% de la electricidad del país. Una subsidiaria de ICE, Compañía Nacional de Luz y Fuerza, maneja la distribución de electricidad.</t>
  </si>
  <si>
    <t xml:space="preserve">La capacidad instalada en generación es: 1,12 GW.
41,4% Hidroeléctrico, 45,5% Térmico y 13,5% otros.
</t>
  </si>
  <si>
    <t>La factura eléctrica está compuesta por tres cargos:
Cargo por uso de red, cargo por atención al cliente y cargo por consumo de energía. Estos cargos están regulados por la Superintendencia General de Electricidad y Telecomunicaciones (SIGET).</t>
  </si>
  <si>
    <t xml:space="preserve">La capacidad instalada en generación es: 2,06 GW. 
33,1% Hidroeléctrico, 65,5% Térmico y 1,4% otros.
</t>
  </si>
  <si>
    <t>Las tarifas de transmisión y distribución de electricidad son reguladas y se fijan cada cinco años. El costo de suministro en cada nivel de tensión es igual a la suma de los costos de una empresa eficiente.</t>
  </si>
  <si>
    <t>La capacidad efectiva instalada es: 50,98 GW.
22,2% Hidroeléctrica, 50,6% Térmico y 27,2% otras fuentes.
PEE: Productores Externos de Energía, con participación mayoritaria de empresas europeas (Iberdrola 36.85%, Électricite de Francé 17.49%, Unión Fenosa 13.11%, Transalta 4.2%)</t>
  </si>
  <si>
    <t>Las tarifas horarias reflejan los costos marginales de largo plazo en el suministro de energía eléctrica, asignando al periodo de punta la mayor parte de los costos de inversión, lo que genera mayores cargos tarifarios en dicho periodo.</t>
  </si>
  <si>
    <t xml:space="preserve">La capacidad instalada en generación es: 1,54 GW.
55,3% Hidroeléctrico, 44,7% Térmico.
</t>
  </si>
  <si>
    <t xml:space="preserve">La Ley N° 6 establece el Marco Regulatorio e Institucional para la Prestación del Servicio Público de Electricidad y crea la Comisión de Política Energética (COPE) adscrita al Ministerio de Economía y Finanzas.
Los precios de generación se dan en base licitaciones de potencia y energía entre las empresas generadoras por obtener contratos de suministro con las empresas de distribución eléctrica y/o los grandes consumidores. </t>
  </si>
  <si>
    <t>Cargo fijo (hasta 100 kW.h)</t>
  </si>
  <si>
    <t>Adicional (101-500kWh)</t>
  </si>
  <si>
    <t>Cargo de Comercialización</t>
  </si>
  <si>
    <t>Cons.Interm. (76-140kW.h)</t>
  </si>
  <si>
    <t>-</t>
  </si>
  <si>
    <t>http://www.enre.gov.ar/web/TARIFASD.nsf/5d63fd5a0c692b5003256e9b005ea0aa/</t>
  </si>
  <si>
    <t>Tarifa Residencial (Tarifa 1 - R1) Edenor</t>
  </si>
  <si>
    <t>18h00 hasta 22h00</t>
  </si>
  <si>
    <t>SG100</t>
  </si>
  <si>
    <t>SG300</t>
  </si>
  <si>
    <t>&gt; 220 kW.h</t>
  </si>
  <si>
    <t>101 - 220 kW.h</t>
  </si>
  <si>
    <t>31 - 100 kW.h</t>
  </si>
  <si>
    <t>http://www.aneel.gov.br/aplicacoes/tarifaAplicada/index.cfm</t>
  </si>
  <si>
    <t>251-500</t>
  </si>
  <si>
    <t>501-700</t>
  </si>
  <si>
    <t>701-1000</t>
  </si>
  <si>
    <t>AS; 2,3 a 25kV</t>
  </si>
  <si>
    <t>.</t>
  </si>
  <si>
    <t>Variación</t>
  </si>
  <si>
    <t>http://ec.europa.eu/budget/contracts_grants/info_contracts/inforeuro/index_en.cfm</t>
  </si>
  <si>
    <t>Consumo &lt;= 10 Kw y ahorro =periodo 2015 &gt;= 20%</t>
  </si>
  <si>
    <t>Tarifa Plena</t>
  </si>
  <si>
    <t>Sol (S/.) (PEN)</t>
  </si>
  <si>
    <t>Enel distribucion (Chilectra)</t>
  </si>
  <si>
    <t>Tarifa G.C.5:110-150</t>
  </si>
  <si>
    <t>Colón</t>
  </si>
  <si>
    <t>Tarifa Residencial T-RE</t>
  </si>
  <si>
    <t>0-300KWh/mes</t>
  </si>
  <si>
    <t>&gt; a 750 KWh/mes</t>
  </si>
  <si>
    <t>501-1000 kW.h</t>
  </si>
  <si>
    <t>151-300 kW.h</t>
  </si>
  <si>
    <t>Tarifa 412</t>
  </si>
  <si>
    <t>* Consumo de subsistencia:, para altitudes menores a 1000 msnm</t>
  </si>
  <si>
    <t>Cargo por energía (energía base)</t>
  </si>
  <si>
    <t>Energía Adicional Invierno</t>
  </si>
  <si>
    <t>Tarifa 1 - R1 &lt; 150 kW.h mes</t>
  </si>
  <si>
    <t>$/mes.</t>
  </si>
  <si>
    <t>Tarifa 1 - R2 de 151 a 325  kW.h mes.</t>
  </si>
  <si>
    <t>Tarifa 1 - R5 de 451 a 500  kW.h mes.</t>
  </si>
  <si>
    <t>Tarifa 1 - R8 de 701 a 1400  kW.h mes.</t>
  </si>
  <si>
    <t>Tarifa 1 - R9 de + 1400  kW.h mes.</t>
  </si>
  <si>
    <t>Cargo por Potencia Contratada</t>
  </si>
  <si>
    <t>Cargo por Potencia Adquirida</t>
  </si>
  <si>
    <t>Tarifa GDBT</t>
  </si>
  <si>
    <t>Fijo</t>
  </si>
  <si>
    <t>Variable (Energía)</t>
  </si>
  <si>
    <t>Distribución</t>
  </si>
  <si>
    <t>Capacidad</t>
  </si>
  <si>
    <t>Fora Ponta</t>
  </si>
  <si>
    <t>Intermediária</t>
  </si>
  <si>
    <t>Ponta</t>
  </si>
  <si>
    <t>Tarifa Branca</t>
  </si>
  <si>
    <t xml:space="preserve">Comercial </t>
  </si>
  <si>
    <t>http://www.aneel.gov.br/ranking-das-tarifas</t>
  </si>
  <si>
    <t>https://www.argentina.gob.ar/enre/tarifas</t>
  </si>
  <si>
    <t>https://www.ae.gob.bo/acoe/principals</t>
  </si>
  <si>
    <t>http://www.regulacionelectrica.gob.ec/tarifas-del-sector-electrico/</t>
  </si>
  <si>
    <t>http://www.ande.gov.py/tarifas_vigentes.php</t>
  </si>
  <si>
    <t>https://portal.ute.com.uy/clientes/mi-factura/precios-actuales</t>
  </si>
  <si>
    <t>http://www.cnee.gob.gt/Calculadora/pliegos.php</t>
  </si>
  <si>
    <t>https://www.asep.gob.pa/?page_id=12682</t>
  </si>
  <si>
    <t>Inforeuro</t>
  </si>
  <si>
    <t>TARIFA GDBT REEMPLAZA A TARIFA 3 (CIUDAD DE MÉXICO - BENITO JUAREZ - VALLE DE MÉXICO CENTRO)</t>
  </si>
  <si>
    <t>TARIFA GDMTH REEMPLAZA A TARIFA H-M (CIUDAD DE MÉXICO - BENITO JUAREZ - VALLE DE MÉXICO CENTRO)</t>
  </si>
  <si>
    <t>Tarifa GDMTH</t>
  </si>
  <si>
    <t>Limite de Invierno: https://www.eneldistribucion.cl/limite-invierno</t>
  </si>
  <si>
    <t>Regulación eléctrica.gob.ec</t>
  </si>
  <si>
    <t>https://www.ande.gov.py/docs/tarifas/PLIEGO21.pdf</t>
  </si>
  <si>
    <t>DELAPAZ</t>
  </si>
  <si>
    <t>https://www.aetn.gob.bo/acoe/Categorias/index/?sigla=DELAPAZ&amp;logo_dir=img--empresas--delapaz.png&amp;razon_social=Distribuidora%20de%20Electricidad%20La%20Paz%20S.A.&amp;sistema=SIN</t>
  </si>
  <si>
    <t>https://www.aetn.gob.bo/web/main?mid=1&amp;cid=30</t>
  </si>
  <si>
    <t>https://www.ande.gov.py/tarifas_vigentes.php</t>
  </si>
  <si>
    <t>Tarifa G.C.4: 63</t>
  </si>
  <si>
    <t>Enel Distribución</t>
  </si>
  <si>
    <t>0-140 kW.h Cargo Fijo</t>
  </si>
  <si>
    <t>251 - 370 kW.h Cargo Fijo</t>
  </si>
  <si>
    <t>251 - 370kW.h</t>
  </si>
  <si>
    <t xml:space="preserve">0-140 kW.h </t>
  </si>
  <si>
    <t>Bloque mayor a 371 kWh Cargo Fijo</t>
  </si>
  <si>
    <t>Bloque mayor a 371kWh</t>
  </si>
  <si>
    <t>Tarifa Comercial Mayor - G-GD-BT</t>
  </si>
  <si>
    <t>Tarifa Industrial Menor -  G-GD-MT</t>
  </si>
  <si>
    <t>0-5000 kWh a</t>
  </si>
  <si>
    <t>0-5000 kWh b</t>
  </si>
  <si>
    <t>0-5000 kWh c</t>
  </si>
  <si>
    <t xml:space="preserve">Fuente: </t>
  </si>
  <si>
    <t>https://sawi.aetn.gob.bo/docfly/app/webroot/uploads/IMG-REVISION_ORDINARIA_TARIFAS-cmedrano-2020-01-17-AETN-R-1123-27-2019-ET-DELAPAZ.pdf</t>
  </si>
  <si>
    <t>Tarifa Residencial - D2-PD-BT-Domiciliario</t>
  </si>
  <si>
    <t>21- 50 kW.h</t>
  </si>
  <si>
    <t>51 - 300 kW.h</t>
  </si>
  <si>
    <t xml:space="preserve"> 301 - 500 kW.h</t>
  </si>
  <si>
    <t>500 - 1000 kW.h</t>
  </si>
  <si>
    <t>&gt; 1000 kW.h</t>
  </si>
  <si>
    <t>Referencia para Tarifa Comercial e Industrial  G-GD-BT y G-GD-MT</t>
  </si>
  <si>
    <t>VEF (VES)</t>
  </si>
  <si>
    <t>&gt;50 KW</t>
  </si>
  <si>
    <t>10&lt;KW&lt;=50</t>
  </si>
  <si>
    <t>https://www.argentina.gob.ar/enre/cuadros_tarifarios</t>
  </si>
  <si>
    <t xml:space="preserve">https://www.argentina.gob.ar/enre/cuadros_tarifarios </t>
  </si>
  <si>
    <t xml:space="preserve">https://ec.europa.eu/info/funding-tenders/procedures-guidelines-tenders/information-contractors-and-beneficiaries/exchange-rate-inforeuro_en </t>
  </si>
  <si>
    <t xml:space="preserve">https://www.aetn.gob.bo/acoe/Categorias/index/?sigla=DELAPAZ&amp;logo_dir=img--empresas--delapaz.png&amp;razon_social=Distribuidora%20de%20Electricidad%20La%20Paz%20S.A.&amp;sistema=SIN </t>
  </si>
  <si>
    <t xml:space="preserve">https://sawi.aetn.gob.bo/docfly/app/webroot/uploads/IMG-REVISION_ORDINARIA_TARIFAS-cmedrano-2020-01-17-AETN-R-1123-27-2019-ET-DELAPAZ.pdf </t>
  </si>
  <si>
    <t xml:space="preserve">https://app.powerbi.com/view?r=eyJrIjoiZDFmMzIzM2QtM2EyNi00YjkyLWIxNDMtYTU4NTI0NWIyNTI5IiwidCI6IjQwZDZmOWI4LWVjYTctNDZhMi05MmQ0LWVhNGU5YzAxNzBlMSIsImMiOjR9 </t>
  </si>
  <si>
    <t xml:space="preserve">https://www.enel.cl/es/clientes/informacion-util/tarifas-y-reglamentos/tarifas.html </t>
  </si>
  <si>
    <t>https://www.cge.cl/datos-utiles/limite-invierno/</t>
  </si>
  <si>
    <t xml:space="preserve">https://www.enel.com.co/es/personas/tarifas-energia-enel-codensa.html </t>
  </si>
  <si>
    <t xml:space="preserve">https://aresep.go.cr/electricidad/index.php?option=com_content&amp;view=article&amp;id=1860&amp;catid=58&amp;Itemid=639 </t>
  </si>
  <si>
    <t>Tarifa General T-CO</t>
  </si>
  <si>
    <t xml:space="preserve">https://www.aes-elsalvador.com/es/tarifas-vigentes </t>
  </si>
  <si>
    <t xml:space="preserve">http://www.cnee.gob.gt/Calculadora/index3.php </t>
  </si>
  <si>
    <t xml:space="preserve">https://www.cnee.gob.gt/Calculadora/pliegos.php </t>
  </si>
  <si>
    <t xml:space="preserve">https://www.regulacionelectrica.gob.ec/resoluciones-pliegos-tarifarios/ </t>
  </si>
  <si>
    <t xml:space="preserve">http://www.corpoelec.gob.ve/sites/default/files/Oficinas/Tarifas.php </t>
  </si>
  <si>
    <t>https://www.enel.cl/es/clientes/tarifas-y-regulacion/tarifas.html</t>
  </si>
  <si>
    <t xml:space="preserve">https://www.controlrecursosyenergia.gob.ec/servicio-publico-de-energia-electrica-spee/ </t>
  </si>
  <si>
    <t>08h00 hasta 18h00</t>
  </si>
  <si>
    <t>22h00 hasta 08h00</t>
  </si>
  <si>
    <t xml:space="preserve">BAJA TENSION CON DEMANDA  </t>
  </si>
  <si>
    <t>https://app.cfe.mx/Aplicaciones/CCFE/Tarifas/TarifasCRECasa/Tarifas/Tarifa1.aspx</t>
  </si>
  <si>
    <t xml:space="preserve">https://app.cfe.mx/Aplicaciones/CCFE/Tarifas/TarifasCRENegocio/Tarifas/GranDemandaBT.aspx </t>
  </si>
  <si>
    <t xml:space="preserve">https://app.cfe.mx/Aplicaciones/CCFE/Tarifas/TarifasCREIndustria/Tarifas/GranDemandaMTH.aspx </t>
  </si>
  <si>
    <t xml:space="preserve">https://www.neoenergiabrasilia.com.br/residencial-e-rural/Paginas/tarifas.aspx </t>
  </si>
  <si>
    <t>Tarifa BTS1 - Baja Tensión Simple</t>
  </si>
  <si>
    <t>Tarifa BTS3 - Baja Tensión Simple</t>
  </si>
  <si>
    <t>T1</t>
  </si>
  <si>
    <t>T6</t>
  </si>
  <si>
    <t>Tarifa 3 - MT&gt;300kW</t>
  </si>
  <si>
    <t xml:space="preserve">https://www.osinergmin.gob.pe/seccion/institucional/regulacion-tarifaria/pliegos-tarifarios/electricidad/pliegos-tarifiarios-cliente-final </t>
  </si>
  <si>
    <t xml:space="preserve">https://www.osinergmin.gob.pe/Tarifas/Electricidad/PliegoTarifario?Id=150000 </t>
  </si>
  <si>
    <t>Serv.General 100
(T-04)</t>
  </si>
  <si>
    <t>Serv.General 300
 (T-06)</t>
  </si>
  <si>
    <t>http://www.grupoice.com/wps/portal/</t>
  </si>
  <si>
    <t xml:space="preserve">https://aresep.go.cr/electricidad/tarifas </t>
  </si>
  <si>
    <t>General</t>
  </si>
  <si>
    <t>https://www.grupoice.com/wps/portal/ICE/electricidad/servicioss/residenciales</t>
  </si>
  <si>
    <t>Setiembre de 2022</t>
  </si>
  <si>
    <t>Junio de 2022</t>
  </si>
  <si>
    <t>Variación Set Vs. Junio</t>
  </si>
  <si>
    <t>Diciembre -Setiembre 2022</t>
  </si>
  <si>
    <t>altos ingresos</t>
  </si>
  <si>
    <t>ingresos medios</t>
  </si>
  <si>
    <t>FONDO DE ESTABILIZACIÓN DE TARIFAS (FET)</t>
  </si>
  <si>
    <t>Recargo ($/kW.h)</t>
  </si>
  <si>
    <t>Consumo superior a 5000kWh</t>
  </si>
  <si>
    <t>Consumo mayor a 500 y menor o igual a 1000kWh</t>
  </si>
  <si>
    <t>Tarifa Industrial - T-MTa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</si>
</sst>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164" formatCode="_(* #,##0.00_);_(* \(#,##0.00\);_(* &quot;-&quot;??_);_(@_)"/>
    <numFmt numFmtId="165" formatCode="0.0"/>
    <numFmt numFmtId="166" formatCode="#,##0.000"/>
    <numFmt numFmtId="167" formatCode="mmm\-yyyy"/>
    <numFmt numFmtId="168" formatCode="#,##0.0"/>
    <numFmt numFmtId="169" formatCode="#,##0.0000"/>
    <numFmt numFmtId="170" formatCode="#,##0.00000"/>
    <numFmt numFmtId="171" formatCode="0.0000000"/>
    <numFmt numFmtId="172" formatCode="0.000000"/>
    <numFmt numFmtId="173" formatCode="0.00000"/>
    <numFmt numFmtId="174" formatCode="0.0000"/>
    <numFmt numFmtId="175" formatCode="0.000"/>
    <numFmt numFmtId="176" formatCode="#,##0.000000"/>
    <numFmt numFmtId="177" formatCode="0.000000000"/>
    <numFmt numFmtId="178" formatCode="0.0%"/>
    <numFmt numFmtId="179" formatCode="_(* #,##0.00000_);_(* \(#,##0.00000\);_(* &quot;-&quot;??_);_(@_)"/>
    <numFmt numFmtId="180" formatCode="#.##0.0"/>
    <numFmt numFmtId="181" formatCode="#.##0"/>
    <numFmt numFmtId="182" formatCode="#.000"/>
    <numFmt numFmtId="183" formatCode="&quot;S/&quot;#,##0.00"/>
  </numFmts>
  <fonts count="70">
    <font>
      <sz val="10"/>
      <name val="Arial"/>
    </font>
    <font>
      <sz val="10"/>
      <name val="Arial"/>
      <family val="2"/>
    </font>
    <font>
      <b/>
      <sz val="10"/>
      <name val="Arial"/>
      <family val="2"/>
    </font>
    <font>
      <b/>
      <sz val="14"/>
      <name val="Arial"/>
      <family val="2"/>
    </font>
    <font>
      <b/>
      <sz val="18"/>
      <color indexed="12"/>
      <name val="Arial"/>
      <family val="2"/>
    </font>
    <font>
      <b/>
      <sz val="12"/>
      <color indexed="14"/>
      <name val="Arial"/>
      <family val="2"/>
    </font>
    <font>
      <b/>
      <sz val="10"/>
      <color indexed="12"/>
      <name val="Arial"/>
      <family val="2"/>
    </font>
    <font>
      <b/>
      <sz val="8"/>
      <name val="Arial"/>
      <family val="2"/>
    </font>
    <font>
      <sz val="8"/>
      <name val="Arial"/>
      <family val="2"/>
    </font>
    <font>
      <u/>
      <sz val="10"/>
      <color indexed="12"/>
      <name val="Arial"/>
      <family val="2"/>
    </font>
    <font>
      <b/>
      <sz val="12"/>
      <color indexed="12"/>
      <name val="Arial"/>
      <family val="2"/>
    </font>
    <font>
      <b/>
      <sz val="16"/>
      <name val="Arial"/>
      <family val="2"/>
    </font>
    <font>
      <sz val="7.5"/>
      <name val="Verdana"/>
      <family val="2"/>
    </font>
    <font>
      <sz val="10"/>
      <name val="Arial"/>
      <family val="2"/>
    </font>
    <font>
      <b/>
      <u/>
      <sz val="10"/>
      <color indexed="12"/>
      <name val="Arial"/>
      <family val="2"/>
    </font>
    <font>
      <sz val="8"/>
      <color indexed="16"/>
      <name val="Arial"/>
      <family val="2"/>
    </font>
    <font>
      <sz val="8"/>
      <color indexed="62"/>
      <name val="Verdana"/>
      <family val="2"/>
    </font>
    <font>
      <b/>
      <sz val="11"/>
      <name val="Arial"/>
      <family val="2"/>
    </font>
    <font>
      <sz val="12"/>
      <name val="Arial"/>
      <family val="2"/>
    </font>
    <font>
      <sz val="11"/>
      <name val="Arial"/>
      <family val="2"/>
    </font>
    <font>
      <sz val="8"/>
      <name val="Arial"/>
      <family val="2"/>
    </font>
    <font>
      <b/>
      <i/>
      <sz val="10"/>
      <name val="Arial"/>
      <family val="2"/>
    </font>
    <font>
      <sz val="9"/>
      <color indexed="63"/>
      <name val="Helvetica"/>
      <family val="2"/>
    </font>
    <font>
      <sz val="8"/>
      <color indexed="63"/>
      <name val="Arial"/>
      <family val="2"/>
    </font>
    <font>
      <sz val="9"/>
      <name val="Arial"/>
      <family val="2"/>
    </font>
    <font>
      <b/>
      <sz val="24"/>
      <name val="Arial"/>
      <family val="2"/>
    </font>
    <font>
      <sz val="8"/>
      <color indexed="8"/>
      <name val="Verdana"/>
      <family val="2"/>
    </font>
    <font>
      <sz val="9"/>
      <name val="Arial"/>
      <family val="2"/>
    </font>
    <font>
      <sz val="12"/>
      <color indexed="63"/>
      <name val="Helvetica"/>
      <family val="2"/>
    </font>
    <font>
      <sz val="22"/>
      <name val="Arial"/>
      <family val="2"/>
    </font>
    <font>
      <b/>
      <sz val="22"/>
      <name val="Arial"/>
      <family val="2"/>
    </font>
    <font>
      <b/>
      <sz val="20"/>
      <name val="Arial"/>
      <family val="2"/>
    </font>
    <font>
      <sz val="10"/>
      <color indexed="9"/>
      <name val="Arial"/>
      <family val="2"/>
    </font>
    <font>
      <b/>
      <sz val="12"/>
      <name val="Arial"/>
      <family val="2"/>
    </font>
    <font>
      <b/>
      <sz val="10"/>
      <color indexed="9"/>
      <name val="Verdana"/>
      <family val="2"/>
    </font>
    <font>
      <b/>
      <sz val="10"/>
      <name val="Verdana"/>
      <family val="2"/>
    </font>
    <font>
      <b/>
      <i/>
      <sz val="10"/>
      <name val="Verdana"/>
      <family val="2"/>
    </font>
    <font>
      <b/>
      <sz val="7.5"/>
      <color indexed="56"/>
      <name val="Arial"/>
      <family val="2"/>
    </font>
    <font>
      <b/>
      <sz val="8"/>
      <color indexed="9"/>
      <name val="Arial"/>
      <family val="2"/>
    </font>
    <font>
      <sz val="10"/>
      <name val="Arial"/>
      <family val="2"/>
    </font>
    <font>
      <sz val="10"/>
      <color indexed="9"/>
      <name val="Arial"/>
      <family val="2"/>
    </font>
    <font>
      <b/>
      <sz val="8"/>
      <name val="Arial"/>
      <family val="2"/>
    </font>
    <font>
      <sz val="10"/>
      <name val="Arial"/>
      <family val="2"/>
    </font>
    <font>
      <sz val="18"/>
      <name val="Arial"/>
      <family val="2"/>
    </font>
    <font>
      <sz val="8"/>
      <color indexed="81"/>
      <name val="Tahoma"/>
      <family val="2"/>
    </font>
    <font>
      <b/>
      <sz val="8"/>
      <color indexed="81"/>
      <name val="Tahoma"/>
      <family val="2"/>
    </font>
    <font>
      <sz val="9"/>
      <color indexed="9"/>
      <name val="Arial"/>
      <family val="2"/>
    </font>
    <font>
      <b/>
      <sz val="8"/>
      <color indexed="9"/>
      <name val="Arial"/>
      <family val="2"/>
    </font>
    <font>
      <sz val="10"/>
      <color indexed="10"/>
      <name val="Arial"/>
      <family val="2"/>
    </font>
    <font>
      <b/>
      <sz val="10"/>
      <color indexed="10"/>
      <name val="Arial"/>
      <family val="2"/>
    </font>
    <font>
      <sz val="10"/>
      <name val="Tahoma"/>
      <family val="2"/>
    </font>
    <font>
      <b/>
      <sz val="8"/>
      <color indexed="8"/>
      <name val="Arial"/>
      <family val="2"/>
    </font>
    <font>
      <sz val="10"/>
      <color indexed="63"/>
      <name val="Inherit"/>
    </font>
    <font>
      <sz val="10"/>
      <color indexed="10"/>
      <name val="Arial"/>
      <family val="2"/>
    </font>
    <font>
      <sz val="10"/>
      <color indexed="8"/>
      <name val="Arial"/>
      <family val="2"/>
    </font>
    <font>
      <sz val="8"/>
      <name val="Arial"/>
      <family val="2"/>
    </font>
    <font>
      <sz val="10"/>
      <color rgb="FF000000"/>
      <name val="Arial"/>
      <family val="2"/>
    </font>
    <font>
      <b/>
      <sz val="12"/>
      <color rgb="FF0000FF"/>
      <name val="Arial"/>
      <family val="2"/>
    </font>
    <font>
      <sz val="10"/>
      <name val="Arial"/>
      <family val="2"/>
    </font>
    <font>
      <sz val="9"/>
      <color indexed="81"/>
      <name val="Tahoma"/>
      <family val="2"/>
    </font>
    <font>
      <sz val="10"/>
      <color rgb="FFFF0000"/>
      <name val="Arial"/>
      <family val="2"/>
    </font>
    <font>
      <b/>
      <sz val="8"/>
      <color theme="1"/>
      <name val="Arial"/>
      <family val="2"/>
    </font>
    <font>
      <b/>
      <sz val="9"/>
      <color theme="1"/>
      <name val="Arial"/>
      <family val="2"/>
    </font>
    <font>
      <b/>
      <sz val="9"/>
      <name val="Arial"/>
      <family val="2"/>
    </font>
    <font>
      <sz val="10"/>
      <color theme="1"/>
      <name val="Arial"/>
      <family val="2"/>
    </font>
    <font>
      <b/>
      <sz val="11"/>
      <name val="Open Sans"/>
      <family val="2"/>
    </font>
    <font>
      <b/>
      <sz val="10"/>
      <color rgb="FF4476A7"/>
      <name val="Verdana"/>
      <family val="2"/>
    </font>
    <font>
      <b/>
      <sz val="8"/>
      <color theme="0"/>
      <name val="Arial"/>
      <family val="2"/>
    </font>
    <font>
      <b/>
      <sz val="9"/>
      <color indexed="81"/>
      <name val="Tahoma"/>
      <charset val="1"/>
    </font>
    <font>
      <sz val="10"/>
      <color theme="0"/>
      <name val="Arial"/>
      <family val="2"/>
    </font>
  </fonts>
  <fills count="9">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indexed="9"/>
        <bgColor indexed="64"/>
      </patternFill>
    </fill>
    <fill>
      <patternFill patternType="solid">
        <fgColor indexed="24"/>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top style="thin">
        <color indexed="64"/>
      </top>
      <bottom style="medium">
        <color indexed="64"/>
      </bottom>
      <diagonal/>
    </border>
    <border>
      <left style="thin">
        <color indexed="64"/>
      </left>
      <right/>
      <top style="thin">
        <color indexed="64"/>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64"/>
      </right>
      <top/>
      <bottom style="thin">
        <color indexed="64"/>
      </bottom>
      <diagonal/>
    </border>
    <border>
      <left style="thin">
        <color indexed="22"/>
      </left>
      <right/>
      <top style="thin">
        <color indexed="64"/>
      </top>
      <bottom style="thin">
        <color indexed="22"/>
      </bottom>
      <diagonal/>
    </border>
    <border>
      <left/>
      <right/>
      <top style="thin">
        <color indexed="64"/>
      </top>
      <bottom style="thin">
        <color indexed="22"/>
      </bottom>
      <diagonal/>
    </border>
    <border>
      <left/>
      <right style="thin">
        <color indexed="22"/>
      </right>
      <top style="thin">
        <color indexed="64"/>
      </top>
      <bottom style="thin">
        <color indexed="22"/>
      </bottom>
      <diagonal/>
    </border>
    <border>
      <left/>
      <right style="thin">
        <color indexed="64"/>
      </right>
      <top style="thin">
        <color indexed="64"/>
      </top>
      <bottom/>
      <diagonal/>
    </border>
  </borders>
  <cellStyleXfs count="4">
    <xf numFmtId="0" fontId="0" fillId="0" borderId="0"/>
    <xf numFmtId="0" fontId="9" fillId="0" borderId="0" applyNumberFormat="0" applyFill="0" applyBorder="0" applyAlignment="0" applyProtection="0">
      <alignment vertical="top"/>
      <protection locked="0"/>
    </xf>
    <xf numFmtId="164" fontId="1" fillId="0" borderId="0" applyFont="0" applyFill="0" applyBorder="0" applyAlignment="0" applyProtection="0"/>
    <xf numFmtId="9" fontId="58" fillId="0" borderId="0" applyFont="0" applyFill="0" applyBorder="0" applyAlignment="0" applyProtection="0"/>
  </cellStyleXfs>
  <cellXfs count="525">
    <xf numFmtId="0" fontId="0" fillId="0" borderId="0" xfId="0"/>
    <xf numFmtId="0" fontId="0" fillId="0" borderId="1" xfId="0" applyFill="1" applyBorder="1" applyAlignment="1">
      <alignment horizontal="center" vertical="center" wrapText="1"/>
    </xf>
    <xf numFmtId="167" fontId="0" fillId="0" borderId="1" xfId="0" applyNumberFormat="1" applyFill="1" applyBorder="1" applyAlignment="1">
      <alignment horizontal="center" vertical="center" wrapText="1"/>
    </xf>
    <xf numFmtId="4" fontId="0" fillId="0" borderId="1" xfId="0" applyNumberFormat="1" applyFill="1" applyBorder="1" applyAlignment="1">
      <alignment horizontal="center" vertical="center" wrapText="1"/>
    </xf>
    <xf numFmtId="0" fontId="0" fillId="0" borderId="0" xfId="0" applyFill="1" applyBorder="1" applyAlignment="1">
      <alignment horizontal="center" vertical="center" wrapText="1"/>
    </xf>
    <xf numFmtId="4" fontId="0" fillId="0" borderId="0" xfId="0" applyNumberFormat="1" applyFill="1" applyBorder="1" applyAlignment="1">
      <alignment horizontal="center" vertical="center" wrapText="1"/>
    </xf>
    <xf numFmtId="0" fontId="0" fillId="0" borderId="0" xfId="0" applyAlignment="1">
      <alignment vertical="center"/>
    </xf>
    <xf numFmtId="0" fontId="0" fillId="2" borderId="0" xfId="0" applyFill="1" applyAlignment="1">
      <alignment vertical="center"/>
    </xf>
    <xf numFmtId="0" fontId="0" fillId="0" borderId="1" xfId="0" applyBorder="1" applyAlignment="1">
      <alignment horizontal="center" vertical="center"/>
    </xf>
    <xf numFmtId="0" fontId="15" fillId="0" borderId="0" xfId="0" applyFont="1" applyAlignment="1">
      <alignment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11" fillId="0" borderId="0" xfId="0" applyFont="1" applyAlignment="1">
      <alignment vertical="center"/>
    </xf>
    <xf numFmtId="0" fontId="2" fillId="0" borderId="0" xfId="0" applyFont="1" applyAlignment="1">
      <alignment vertical="center"/>
    </xf>
    <xf numFmtId="0" fontId="6" fillId="0" borderId="0" xfId="0" applyFont="1" applyAlignment="1">
      <alignment vertical="center"/>
    </xf>
    <xf numFmtId="177" fontId="0" fillId="0" borderId="0" xfId="0" applyNumberFormat="1" applyAlignment="1">
      <alignment vertical="center"/>
    </xf>
    <xf numFmtId="167" fontId="6" fillId="0" borderId="0" xfId="0" applyNumberFormat="1" applyFont="1" applyAlignment="1">
      <alignment vertical="center"/>
    </xf>
    <xf numFmtId="0" fontId="9" fillId="0" borderId="0" xfId="1" applyAlignment="1" applyProtection="1">
      <alignment vertical="center"/>
    </xf>
    <xf numFmtId="0" fontId="5" fillId="0" borderId="0" xfId="0" applyFont="1" applyAlignment="1">
      <alignment vertical="center"/>
    </xf>
    <xf numFmtId="0" fontId="0" fillId="0" borderId="1" xfId="0" applyBorder="1" applyAlignment="1">
      <alignment vertical="center"/>
    </xf>
    <xf numFmtId="4" fontId="0" fillId="0" borderId="1" xfId="0" applyNumberFormat="1" applyBorder="1" applyAlignment="1">
      <alignment vertical="center"/>
    </xf>
    <xf numFmtId="0" fontId="7" fillId="0" borderId="4" xfId="0" applyFont="1" applyBorder="1" applyAlignment="1">
      <alignment horizontal="center" vertical="center"/>
    </xf>
    <xf numFmtId="169" fontId="0" fillId="0" borderId="1" xfId="0" applyNumberFormat="1" applyBorder="1" applyAlignment="1">
      <alignment vertical="center"/>
    </xf>
    <xf numFmtId="15" fontId="0" fillId="0" borderId="0" xfId="0" applyNumberFormat="1" applyAlignment="1">
      <alignment vertical="center"/>
    </xf>
    <xf numFmtId="0" fontId="13" fillId="0" borderId="0" xfId="0" applyFont="1" applyAlignment="1">
      <alignment vertical="center"/>
    </xf>
    <xf numFmtId="0" fontId="12" fillId="0" borderId="0" xfId="0" applyFont="1" applyAlignment="1">
      <alignment vertical="center"/>
    </xf>
    <xf numFmtId="2" fontId="0" fillId="0" borderId="1" xfId="0" applyNumberFormat="1"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173" fontId="0" fillId="0" borderId="1" xfId="0" applyNumberFormat="1" applyBorder="1" applyAlignment="1">
      <alignment vertical="center"/>
    </xf>
    <xf numFmtId="175" fontId="0" fillId="0" borderId="1" xfId="0" applyNumberFormat="1" applyBorder="1" applyAlignment="1">
      <alignment vertical="center"/>
    </xf>
    <xf numFmtId="4" fontId="0" fillId="0" borderId="0" xfId="0" applyNumberFormat="1" applyBorder="1" applyAlignment="1">
      <alignment vertical="center"/>
    </xf>
    <xf numFmtId="0" fontId="0" fillId="0" borderId="0" xfId="0" applyFill="1" applyAlignment="1">
      <alignment vertical="center"/>
    </xf>
    <xf numFmtId="0" fontId="3" fillId="0" borderId="0" xfId="0" applyFont="1" applyFill="1" applyAlignment="1">
      <alignment vertical="center"/>
    </xf>
    <xf numFmtId="0" fontId="2" fillId="0" borderId="1" xfId="0" applyFont="1" applyFill="1" applyBorder="1" applyAlignment="1">
      <alignment horizontal="center" vertical="center"/>
    </xf>
    <xf numFmtId="4" fontId="0" fillId="0" borderId="0" xfId="0" applyNumberFormat="1" applyFill="1" applyAlignment="1">
      <alignment vertical="center"/>
    </xf>
    <xf numFmtId="0" fontId="8" fillId="0" borderId="0" xfId="0" applyFont="1" applyBorder="1" applyAlignment="1">
      <alignment horizontal="centerContinuous" vertical="center" wrapText="1"/>
    </xf>
    <xf numFmtId="0" fontId="7" fillId="0" borderId="0" xfId="0" applyFont="1" applyBorder="1" applyAlignment="1">
      <alignment horizontal="center" vertical="center"/>
    </xf>
    <xf numFmtId="2" fontId="0" fillId="0" borderId="0" xfId="0" applyNumberFormat="1" applyBorder="1" applyAlignment="1">
      <alignment vertical="center"/>
    </xf>
    <xf numFmtId="3" fontId="7" fillId="0" borderId="1" xfId="0" applyNumberFormat="1" applyFont="1" applyBorder="1" applyAlignment="1">
      <alignment horizontal="center" vertical="center"/>
    </xf>
    <xf numFmtId="0" fontId="7" fillId="0" borderId="0" xfId="0" applyFont="1" applyFill="1" applyBorder="1" applyAlignment="1">
      <alignment horizontal="center" vertical="center" wrapText="1"/>
    </xf>
    <xf numFmtId="3" fontId="7" fillId="0" borderId="0" xfId="0" applyNumberFormat="1" applyFont="1" applyBorder="1" applyAlignment="1">
      <alignment horizontal="center" vertical="center"/>
    </xf>
    <xf numFmtId="4" fontId="13" fillId="0" borderId="1" xfId="0" applyNumberFormat="1" applyFont="1" applyBorder="1" applyAlignment="1">
      <alignment vertical="center"/>
    </xf>
    <xf numFmtId="0" fontId="13" fillId="0" borderId="1" xfId="0" applyFont="1" applyBorder="1" applyAlignment="1">
      <alignment vertical="center"/>
    </xf>
    <xf numFmtId="166" fontId="13" fillId="0" borderId="1" xfId="0" applyNumberFormat="1" applyFont="1" applyBorder="1" applyAlignment="1">
      <alignment horizontal="center" vertical="center"/>
    </xf>
    <xf numFmtId="10" fontId="0" fillId="0" borderId="0" xfId="0" applyNumberFormat="1" applyAlignment="1">
      <alignment vertical="center"/>
    </xf>
    <xf numFmtId="2" fontId="2" fillId="0" borderId="0" xfId="0" applyNumberFormat="1" applyFont="1" applyBorder="1" applyAlignment="1">
      <alignment vertical="center"/>
    </xf>
    <xf numFmtId="3" fontId="13" fillId="0" borderId="1" xfId="0" applyNumberFormat="1" applyFont="1" applyBorder="1" applyAlignment="1">
      <alignment horizontal="center" vertical="center"/>
    </xf>
    <xf numFmtId="4" fontId="13" fillId="0" borderId="1" xfId="0" applyNumberFormat="1" applyFont="1" applyBorder="1" applyAlignment="1">
      <alignment horizontal="center" vertical="center"/>
    </xf>
    <xf numFmtId="3" fontId="13" fillId="0" borderId="1" xfId="0" applyNumberFormat="1" applyFont="1" applyBorder="1" applyAlignment="1">
      <alignment horizontal="left" vertical="center"/>
    </xf>
    <xf numFmtId="0" fontId="0" fillId="0" borderId="7" xfId="0" applyBorder="1" applyAlignment="1">
      <alignment horizontal="center" vertical="center"/>
    </xf>
    <xf numFmtId="0" fontId="0" fillId="0" borderId="0" xfId="0" applyBorder="1" applyAlignment="1">
      <alignment vertical="center"/>
    </xf>
    <xf numFmtId="4" fontId="0" fillId="0" borderId="1" xfId="0" applyNumberFormat="1" applyBorder="1" applyAlignment="1">
      <alignment horizontal="center" vertical="center"/>
    </xf>
    <xf numFmtId="166" fontId="0" fillId="0" borderId="1"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3" fontId="7" fillId="0" borderId="0" xfId="0" applyNumberFormat="1" applyFont="1" applyBorder="1" applyAlignment="1">
      <alignment horizontal="left" vertical="center"/>
    </xf>
    <xf numFmtId="0" fontId="0" fillId="0" borderId="1" xfId="0" applyBorder="1" applyAlignment="1">
      <alignment horizontal="left" vertical="center"/>
    </xf>
    <xf numFmtId="4" fontId="0" fillId="0" borderId="8" xfId="0" applyNumberFormat="1" applyBorder="1" applyAlignment="1">
      <alignment vertical="center"/>
    </xf>
    <xf numFmtId="0" fontId="0" fillId="2" borderId="0" xfId="0" applyFill="1" applyBorder="1" applyAlignment="1">
      <alignment vertical="center"/>
    </xf>
    <xf numFmtId="0" fontId="0" fillId="0" borderId="0" xfId="0" applyFill="1" applyBorder="1" applyAlignment="1">
      <alignment vertical="center"/>
    </xf>
    <xf numFmtId="171" fontId="0" fillId="0" borderId="0" xfId="0" applyNumberFormat="1" applyAlignment="1">
      <alignment vertical="center"/>
    </xf>
    <xf numFmtId="2" fontId="13" fillId="0" borderId="1" xfId="2" applyNumberFormat="1" applyFont="1" applyBorder="1" applyAlignment="1">
      <alignment horizontal="right" vertical="center"/>
    </xf>
    <xf numFmtId="2" fontId="13" fillId="0" borderId="1" xfId="0" applyNumberFormat="1" applyFont="1" applyBorder="1" applyAlignment="1">
      <alignment horizontal="right" vertical="center"/>
    </xf>
    <xf numFmtId="2" fontId="13" fillId="0" borderId="0" xfId="2" applyNumberFormat="1" applyFont="1" applyBorder="1" applyAlignment="1">
      <alignment horizontal="right" vertical="center"/>
    </xf>
    <xf numFmtId="2" fontId="13" fillId="0" borderId="0" xfId="0" applyNumberFormat="1" applyFont="1" applyBorder="1" applyAlignment="1">
      <alignment horizontal="right" vertical="center"/>
    </xf>
    <xf numFmtId="0" fontId="0" fillId="0" borderId="0" xfId="0" applyAlignment="1">
      <alignment horizontal="left" vertical="center"/>
    </xf>
    <xf numFmtId="3" fontId="7" fillId="0" borderId="4" xfId="0" applyNumberFormat="1" applyFont="1" applyBorder="1" applyAlignment="1">
      <alignment horizontal="center" vertical="center"/>
    </xf>
    <xf numFmtId="0" fontId="7" fillId="0" borderId="1" xfId="0" applyFont="1" applyBorder="1" applyAlignment="1">
      <alignment horizontal="center" vertical="center"/>
    </xf>
    <xf numFmtId="0" fontId="20" fillId="0" borderId="1" xfId="0" applyFont="1" applyFill="1" applyBorder="1" applyAlignment="1">
      <alignment horizontal="left" vertical="center"/>
    </xf>
    <xf numFmtId="0" fontId="20" fillId="0" borderId="7" xfId="0" applyFont="1" applyFill="1" applyBorder="1" applyAlignment="1">
      <alignment horizontal="left" vertical="center"/>
    </xf>
    <xf numFmtId="2" fontId="0" fillId="0" borderId="1" xfId="0" applyNumberFormat="1" applyBorder="1" applyAlignment="1">
      <alignment horizontal="center" vertical="center"/>
    </xf>
    <xf numFmtId="0" fontId="13" fillId="0" borderId="1" xfId="0" applyFont="1" applyBorder="1" applyAlignment="1">
      <alignment horizontal="right" vertical="center"/>
    </xf>
    <xf numFmtId="4" fontId="13" fillId="0" borderId="1" xfId="0" applyNumberFormat="1" applyFont="1" applyBorder="1" applyAlignment="1">
      <alignment horizontal="right" vertical="center"/>
    </xf>
    <xf numFmtId="0" fontId="21" fillId="0" borderId="0" xfId="0" applyFont="1" applyAlignment="1">
      <alignment vertical="center"/>
    </xf>
    <xf numFmtId="4" fontId="13" fillId="0" borderId="0" xfId="0" applyNumberFormat="1" applyFont="1" applyBorder="1" applyAlignment="1">
      <alignment horizontal="right" vertical="center"/>
    </xf>
    <xf numFmtId="166" fontId="13" fillId="0" borderId="0" xfId="0" applyNumberFormat="1" applyFont="1" applyBorder="1" applyAlignment="1">
      <alignment horizontal="center" vertical="center"/>
    </xf>
    <xf numFmtId="3" fontId="2" fillId="0" borderId="1" xfId="0" applyNumberFormat="1" applyFont="1" applyFill="1" applyBorder="1" applyAlignment="1">
      <alignment horizontal="center" vertical="center"/>
    </xf>
    <xf numFmtId="3" fontId="13" fillId="0" borderId="1" xfId="0" applyNumberFormat="1" applyFont="1" applyBorder="1" applyAlignment="1">
      <alignment horizontal="right" vertical="center"/>
    </xf>
    <xf numFmtId="4" fontId="13" fillId="0" borderId="0" xfId="0" applyNumberFormat="1" applyFont="1" applyBorder="1" applyAlignment="1">
      <alignment vertical="center"/>
    </xf>
    <xf numFmtId="14" fontId="0" fillId="0" borderId="0" xfId="0" applyNumberFormat="1" applyBorder="1" applyAlignment="1">
      <alignment vertical="center"/>
    </xf>
    <xf numFmtId="3" fontId="8" fillId="0" borderId="0" xfId="0" applyNumberFormat="1" applyFont="1" applyBorder="1" applyAlignment="1">
      <alignment horizontal="left" vertical="center"/>
    </xf>
    <xf numFmtId="4" fontId="13" fillId="0" borderId="0" xfId="0" applyNumberFormat="1" applyFont="1" applyBorder="1" applyAlignment="1">
      <alignment horizontal="left" vertical="center"/>
    </xf>
    <xf numFmtId="10" fontId="0" fillId="0" borderId="0" xfId="0" applyNumberFormat="1" applyBorder="1" applyAlignment="1">
      <alignment vertical="center"/>
    </xf>
    <xf numFmtId="0" fontId="0" fillId="0" borderId="0" xfId="0" applyBorder="1"/>
    <xf numFmtId="0" fontId="9" fillId="0" borderId="0" xfId="1" applyBorder="1" applyAlignment="1" applyProtection="1">
      <alignment vertical="center"/>
    </xf>
    <xf numFmtId="0" fontId="14" fillId="0" borderId="0" xfId="1" applyFont="1" applyFill="1" applyBorder="1" applyAlignment="1" applyProtection="1">
      <alignment vertical="center"/>
    </xf>
    <xf numFmtId="0" fontId="6" fillId="0" borderId="0" xfId="0" applyFont="1" applyBorder="1" applyAlignment="1">
      <alignment vertical="center"/>
    </xf>
    <xf numFmtId="0" fontId="9" fillId="2" borderId="0" xfId="1" applyFill="1" applyAlignment="1" applyProtection="1">
      <alignment vertical="center"/>
    </xf>
    <xf numFmtId="0" fontId="9" fillId="0" borderId="0" xfId="1" applyFill="1" applyAlignment="1" applyProtection="1">
      <alignment vertical="center"/>
    </xf>
    <xf numFmtId="0" fontId="6" fillId="0" borderId="0" xfId="0" applyFont="1" applyFill="1" applyAlignment="1">
      <alignment vertical="center"/>
    </xf>
    <xf numFmtId="0" fontId="6" fillId="2" borderId="0" xfId="0" applyFont="1" applyFill="1" applyAlignment="1">
      <alignment vertical="center"/>
    </xf>
    <xf numFmtId="4" fontId="0" fillId="0" borderId="0" xfId="0" applyNumberFormat="1" applyFill="1" applyBorder="1" applyAlignment="1">
      <alignment vertical="center"/>
    </xf>
    <xf numFmtId="2" fontId="13" fillId="0" borderId="1" xfId="0" applyNumberFormat="1" applyFont="1" applyBorder="1" applyAlignment="1">
      <alignment horizontal="center" vertical="center"/>
    </xf>
    <xf numFmtId="0" fontId="25" fillId="0" borderId="0" xfId="0" applyFont="1" applyFill="1" applyAlignment="1">
      <alignment vertical="center"/>
    </xf>
    <xf numFmtId="0" fontId="2" fillId="0" borderId="0" xfId="0" applyFont="1" applyBorder="1" applyAlignment="1">
      <alignment vertical="center"/>
    </xf>
    <xf numFmtId="176" fontId="0" fillId="0" borderId="1" xfId="0" applyNumberFormat="1" applyBorder="1" applyAlignment="1">
      <alignment vertical="center"/>
    </xf>
    <xf numFmtId="172" fontId="0" fillId="0" borderId="0" xfId="0" applyNumberFormat="1" applyBorder="1" applyAlignment="1">
      <alignment vertical="center"/>
    </xf>
    <xf numFmtId="0" fontId="27" fillId="0" borderId="0" xfId="0" applyFont="1" applyAlignment="1">
      <alignment vertical="center"/>
    </xf>
    <xf numFmtId="2" fontId="27" fillId="0" borderId="0" xfId="0" applyNumberFormat="1" applyFont="1" applyBorder="1" applyAlignment="1">
      <alignment vertical="center"/>
    </xf>
    <xf numFmtId="4" fontId="27" fillId="0" borderId="0" xfId="0" applyNumberFormat="1" applyFont="1" applyBorder="1" applyAlignment="1">
      <alignment vertical="center"/>
    </xf>
    <xf numFmtId="0" fontId="27" fillId="0" borderId="0" xfId="0" applyFont="1" applyBorder="1" applyAlignment="1">
      <alignment horizontal="centerContinuous" vertical="center"/>
    </xf>
    <xf numFmtId="170" fontId="0" fillId="0" borderId="1" xfId="0" applyNumberFormat="1" applyBorder="1" applyAlignment="1">
      <alignment vertical="center"/>
    </xf>
    <xf numFmtId="0" fontId="7" fillId="3" borderId="1" xfId="0" applyFont="1" applyFill="1" applyBorder="1" applyAlignment="1">
      <alignment horizontal="center" vertical="center" wrapText="1"/>
    </xf>
    <xf numFmtId="0" fontId="3" fillId="0" borderId="0" xfId="0" applyFont="1" applyAlignment="1">
      <alignment vertical="center"/>
    </xf>
    <xf numFmtId="3" fontId="13" fillId="0" borderId="0" xfId="0" applyNumberFormat="1" applyFont="1" applyBorder="1" applyAlignment="1">
      <alignment vertical="center"/>
    </xf>
    <xf numFmtId="0" fontId="7" fillId="0" borderId="0" xfId="0" applyFont="1" applyBorder="1" applyAlignment="1">
      <alignment vertical="center"/>
    </xf>
    <xf numFmtId="3" fontId="7" fillId="3" borderId="1" xfId="0" applyNumberFormat="1" applyFont="1" applyFill="1" applyBorder="1" applyAlignment="1">
      <alignment horizontal="center" vertical="center"/>
    </xf>
    <xf numFmtId="0" fontId="2" fillId="3" borderId="1" xfId="0" applyFont="1" applyFill="1" applyBorder="1" applyAlignment="1">
      <alignment horizontal="center" vertical="center" wrapText="1"/>
    </xf>
    <xf numFmtId="0" fontId="20" fillId="0" borderId="1" xfId="0" applyFont="1" applyFill="1" applyBorder="1" applyAlignment="1">
      <alignment vertical="center"/>
    </xf>
    <xf numFmtId="0" fontId="7" fillId="3" borderId="10" xfId="0" applyFont="1" applyFill="1" applyBorder="1" applyAlignment="1">
      <alignment horizontal="center" vertical="center" wrapText="1"/>
    </xf>
    <xf numFmtId="0" fontId="10" fillId="0" borderId="0" xfId="0" applyFont="1" applyAlignment="1">
      <alignment vertical="center"/>
    </xf>
    <xf numFmtId="2" fontId="23" fillId="3" borderId="1" xfId="0" applyNumberFormat="1" applyFont="1" applyFill="1" applyBorder="1" applyAlignment="1">
      <alignment horizontal="center" vertical="center"/>
    </xf>
    <xf numFmtId="2" fontId="8" fillId="3" borderId="1" xfId="0" applyNumberFormat="1" applyFont="1" applyFill="1" applyBorder="1" applyAlignment="1">
      <alignment horizontal="center" vertical="center"/>
    </xf>
    <xf numFmtId="0" fontId="28" fillId="3" borderId="1" xfId="0" applyFont="1" applyFill="1" applyBorder="1" applyAlignment="1">
      <alignment horizontal="center" vertical="center"/>
    </xf>
    <xf numFmtId="0" fontId="7" fillId="3" borderId="5" xfId="0" applyFont="1" applyFill="1" applyBorder="1" applyAlignment="1">
      <alignment horizontal="center" vertical="center" wrapText="1"/>
    </xf>
    <xf numFmtId="167" fontId="0" fillId="0" borderId="0" xfId="0" applyNumberFormat="1" applyFill="1" applyBorder="1" applyAlignment="1">
      <alignment horizontal="center" vertical="center" wrapText="1"/>
    </xf>
    <xf numFmtId="0" fontId="0" fillId="0" borderId="0" xfId="0" applyFill="1" applyBorder="1" applyAlignment="1">
      <alignment vertical="center" wrapText="1"/>
    </xf>
    <xf numFmtId="0" fontId="2" fillId="0" borderId="1" xfId="0" applyFont="1" applyFill="1" applyBorder="1" applyAlignment="1">
      <alignment horizontal="center" vertical="center" wrapText="1"/>
    </xf>
    <xf numFmtId="0" fontId="2" fillId="0" borderId="5" xfId="0" applyFont="1" applyFill="1" applyBorder="1" applyAlignment="1">
      <alignment horizontal="centerContinuous" vertical="center"/>
    </xf>
    <xf numFmtId="2" fontId="0" fillId="0" borderId="0" xfId="0" applyNumberFormat="1" applyFill="1" applyAlignment="1">
      <alignment vertical="center"/>
    </xf>
    <xf numFmtId="2" fontId="0" fillId="0" borderId="0" xfId="0" applyNumberFormat="1" applyFill="1" applyAlignment="1">
      <alignment horizontal="left" vertical="center" indent="2"/>
    </xf>
    <xf numFmtId="0" fontId="13" fillId="0" borderId="1" xfId="0" applyFont="1" applyFill="1" applyBorder="1" applyAlignment="1">
      <alignment horizontal="center" vertical="center" wrapText="1"/>
    </xf>
    <xf numFmtId="0" fontId="0" fillId="3" borderId="1" xfId="0" applyFill="1" applyBorder="1" applyAlignment="1">
      <alignment horizontal="center" vertical="center"/>
    </xf>
    <xf numFmtId="0" fontId="2" fillId="3" borderId="1" xfId="0" applyFont="1" applyFill="1" applyBorder="1" applyAlignment="1">
      <alignment vertical="center"/>
    </xf>
    <xf numFmtId="0" fontId="13" fillId="0" borderId="1" xfId="0" applyFont="1" applyBorder="1" applyAlignment="1">
      <alignment horizontal="center" vertical="center"/>
    </xf>
    <xf numFmtId="0" fontId="2" fillId="0" borderId="1" xfId="0" applyFont="1" applyBorder="1" applyAlignment="1">
      <alignment horizontal="center" vertical="center" wrapText="1"/>
    </xf>
    <xf numFmtId="0" fontId="25" fillId="0" borderId="0" xfId="0" applyFont="1" applyAlignment="1">
      <alignment vertical="center"/>
    </xf>
    <xf numFmtId="0" fontId="29" fillId="0" borderId="0" xfId="0" applyFont="1" applyAlignment="1">
      <alignment vertical="center"/>
    </xf>
    <xf numFmtId="0" fontId="30" fillId="0" borderId="12" xfId="0" applyFont="1" applyBorder="1" applyAlignment="1">
      <alignment vertical="center"/>
    </xf>
    <xf numFmtId="0" fontId="29" fillId="0" borderId="12" xfId="0" applyFont="1" applyBorder="1" applyAlignment="1">
      <alignment vertical="center"/>
    </xf>
    <xf numFmtId="0" fontId="31" fillId="0" borderId="0" xfId="0" applyFont="1" applyFill="1" applyAlignment="1">
      <alignment vertical="center"/>
    </xf>
    <xf numFmtId="0" fontId="20" fillId="0" borderId="0" xfId="0" applyFont="1" applyFill="1" applyAlignment="1">
      <alignment vertical="center"/>
    </xf>
    <xf numFmtId="4" fontId="2" fillId="3" borderId="0" xfId="0" applyNumberFormat="1" applyFont="1" applyFill="1" applyAlignment="1">
      <alignment horizontal="center" vertical="center"/>
    </xf>
    <xf numFmtId="0" fontId="20" fillId="0" borderId="0" xfId="0" applyFont="1" applyFill="1" applyBorder="1" applyAlignment="1">
      <alignment horizontal="left" vertical="center"/>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vertical="center" wrapText="1"/>
    </xf>
    <xf numFmtId="0" fontId="20" fillId="0" borderId="1" xfId="0" applyFont="1" applyFill="1" applyBorder="1" applyAlignment="1">
      <alignment vertical="center" wrapText="1"/>
    </xf>
    <xf numFmtId="0" fontId="13" fillId="0" borderId="0" xfId="0" applyFont="1" applyBorder="1" applyAlignment="1">
      <alignment horizontal="left" vertical="center"/>
    </xf>
    <xf numFmtId="2" fontId="0" fillId="0" borderId="0" xfId="0" applyNumberFormat="1" applyBorder="1" applyAlignment="1">
      <alignment horizontal="center" vertical="center"/>
    </xf>
    <xf numFmtId="4" fontId="13" fillId="0" borderId="1" xfId="0" applyNumberFormat="1" applyFont="1" applyBorder="1" applyAlignment="1">
      <alignment horizontal="left" vertical="center" wrapText="1"/>
    </xf>
    <xf numFmtId="4" fontId="13" fillId="0" borderId="1" xfId="0" applyNumberFormat="1" applyFont="1" applyBorder="1" applyAlignment="1">
      <alignment vertical="center" wrapText="1"/>
    </xf>
    <xf numFmtId="4" fontId="0" fillId="0" borderId="1" xfId="0" applyNumberFormat="1" applyBorder="1" applyAlignment="1">
      <alignment vertical="center" wrapText="1"/>
    </xf>
    <xf numFmtId="0" fontId="13" fillId="0" borderId="1" xfId="0" applyFont="1" applyBorder="1" applyAlignment="1">
      <alignment horizontal="left" vertical="center" wrapText="1"/>
    </xf>
    <xf numFmtId="0" fontId="13" fillId="0" borderId="1" xfId="0" applyFont="1" applyFill="1" applyBorder="1" applyAlignment="1">
      <alignment horizontal="left" vertical="center" wrapText="1"/>
    </xf>
    <xf numFmtId="4" fontId="13" fillId="0" borderId="1" xfId="0" applyNumberFormat="1" applyFont="1" applyFill="1" applyBorder="1" applyAlignment="1">
      <alignment horizontal="left" vertical="center" wrapText="1"/>
    </xf>
    <xf numFmtId="4" fontId="0" fillId="0" borderId="1" xfId="0" applyNumberFormat="1" applyFill="1" applyBorder="1" applyAlignment="1">
      <alignment vertical="center"/>
    </xf>
    <xf numFmtId="0" fontId="0" fillId="3" borderId="0" xfId="0" applyFill="1" applyAlignment="1">
      <alignment vertical="center"/>
    </xf>
    <xf numFmtId="0" fontId="2" fillId="0" borderId="10" xfId="0" applyFont="1" applyBorder="1" applyAlignment="1">
      <alignment vertical="center"/>
    </xf>
    <xf numFmtId="14" fontId="0" fillId="0" borderId="0" xfId="0" applyNumberFormat="1" applyFill="1" applyAlignment="1">
      <alignment vertical="center"/>
    </xf>
    <xf numFmtId="15" fontId="0" fillId="0" borderId="0" xfId="0" applyNumberFormat="1" applyBorder="1" applyAlignment="1">
      <alignment vertical="center"/>
    </xf>
    <xf numFmtId="0" fontId="2" fillId="0" borderId="0" xfId="0" applyFont="1" applyFill="1" applyBorder="1" applyAlignment="1">
      <alignment vertical="center"/>
    </xf>
    <xf numFmtId="166" fontId="13" fillId="0" borderId="0" xfId="0" applyNumberFormat="1" applyFont="1" applyFill="1" applyBorder="1" applyAlignment="1">
      <alignment horizontal="left" vertical="center"/>
    </xf>
    <xf numFmtId="166" fontId="19" fillId="0" borderId="0" xfId="0" applyNumberFormat="1" applyFont="1" applyFill="1" applyBorder="1" applyAlignment="1">
      <alignment horizontal="left" vertical="center"/>
    </xf>
    <xf numFmtId="166" fontId="17" fillId="0" borderId="0" xfId="0" applyNumberFormat="1" applyFont="1" applyFill="1" applyBorder="1" applyAlignment="1">
      <alignment horizontal="left" vertical="center"/>
    </xf>
    <xf numFmtId="166" fontId="13" fillId="0" borderId="0" xfId="0" applyNumberFormat="1" applyFont="1" applyFill="1" applyBorder="1" applyAlignment="1">
      <alignment vertical="center"/>
    </xf>
    <xf numFmtId="166" fontId="18" fillId="0" borderId="0" xfId="0" applyNumberFormat="1" applyFont="1" applyFill="1" applyBorder="1" applyAlignment="1">
      <alignment vertical="center"/>
    </xf>
    <xf numFmtId="0" fontId="16" fillId="0" borderId="0" xfId="0" applyFont="1" applyFill="1" applyBorder="1" applyAlignment="1">
      <alignment vertical="center" wrapText="1"/>
    </xf>
    <xf numFmtId="0" fontId="16" fillId="0" borderId="0" xfId="0" applyFont="1" applyFill="1" applyBorder="1" applyAlignment="1">
      <alignment horizontal="right" vertical="center" wrapText="1"/>
    </xf>
    <xf numFmtId="0" fontId="16" fillId="4" borderId="0" xfId="0" applyFont="1" applyFill="1" applyBorder="1" applyAlignment="1">
      <alignment vertical="center" wrapText="1"/>
    </xf>
    <xf numFmtId="0" fontId="16" fillId="4" borderId="0" xfId="0" applyFont="1" applyFill="1" applyBorder="1" applyAlignment="1">
      <alignment horizontal="right" vertical="center" wrapText="1"/>
    </xf>
    <xf numFmtId="0" fontId="13" fillId="0" borderId="1" xfId="0" quotePrefix="1" applyFont="1" applyBorder="1" applyAlignment="1">
      <alignment horizontal="center" vertical="center"/>
    </xf>
    <xf numFmtId="0" fontId="13" fillId="0" borderId="0" xfId="0" quotePrefix="1" applyFont="1" applyBorder="1" applyAlignment="1">
      <alignment horizontal="center" vertical="center"/>
    </xf>
    <xf numFmtId="0" fontId="22" fillId="0" borderId="0" xfId="0" applyFont="1" applyAlignment="1">
      <alignment horizontal="justify" vertical="center"/>
    </xf>
    <xf numFmtId="0" fontId="26" fillId="0" borderId="0" xfId="0" applyFont="1" applyAlignment="1">
      <alignment vertical="center"/>
    </xf>
    <xf numFmtId="0" fontId="34" fillId="5" borderId="1" xfId="0" applyFont="1" applyFill="1" applyBorder="1" applyAlignment="1">
      <alignment horizontal="center" vertical="center" wrapText="1"/>
    </xf>
    <xf numFmtId="0" fontId="36" fillId="4" borderId="1" xfId="0" applyFont="1" applyFill="1" applyBorder="1" applyAlignment="1">
      <alignment horizontal="center" vertical="center" wrapText="1"/>
    </xf>
    <xf numFmtId="2" fontId="35" fillId="4" borderId="1" xfId="0" applyNumberFormat="1" applyFont="1" applyFill="1" applyBorder="1" applyAlignment="1">
      <alignment horizontal="center" vertical="center" wrapText="1"/>
    </xf>
    <xf numFmtId="3" fontId="35" fillId="4" borderId="1" xfId="0" applyNumberFormat="1" applyFont="1" applyFill="1" applyBorder="1" applyAlignment="1">
      <alignment horizontal="center" vertical="center" wrapText="1"/>
    </xf>
    <xf numFmtId="166" fontId="0" fillId="0" borderId="0" xfId="0" applyNumberFormat="1" applyFill="1" applyBorder="1" applyAlignment="1">
      <alignment horizontal="center" vertical="center" wrapText="1"/>
    </xf>
    <xf numFmtId="0" fontId="37" fillId="0" borderId="0" xfId="0" applyFont="1"/>
    <xf numFmtId="173" fontId="37" fillId="0" borderId="0" xfId="0" applyNumberFormat="1" applyFont="1"/>
    <xf numFmtId="168" fontId="0" fillId="0" borderId="0" xfId="0" applyNumberFormat="1" applyAlignment="1">
      <alignment vertical="center"/>
    </xf>
    <xf numFmtId="168" fontId="13" fillId="0" borderId="0" xfId="0" applyNumberFormat="1" applyFont="1" applyAlignment="1">
      <alignment vertical="center"/>
    </xf>
    <xf numFmtId="0" fontId="32" fillId="4" borderId="0" xfId="0" applyFont="1" applyFill="1" applyBorder="1" applyAlignment="1">
      <alignment vertical="center"/>
    </xf>
    <xf numFmtId="0" fontId="38" fillId="4" borderId="0" xfId="0" applyFont="1" applyFill="1" applyBorder="1" applyAlignment="1">
      <alignment horizontal="center" vertical="center" wrapText="1"/>
    </xf>
    <xf numFmtId="166" fontId="32" fillId="4" borderId="0" xfId="0" applyNumberFormat="1" applyFont="1" applyFill="1" applyBorder="1" applyAlignment="1">
      <alignment horizontal="center" vertical="center" wrapText="1"/>
    </xf>
    <xf numFmtId="4" fontId="13" fillId="0" borderId="1" xfId="0" applyNumberFormat="1" applyFont="1" applyFill="1" applyBorder="1" applyAlignment="1">
      <alignment vertical="center"/>
    </xf>
    <xf numFmtId="4" fontId="40" fillId="0" borderId="0" xfId="0" applyNumberFormat="1" applyFont="1" applyFill="1" applyBorder="1" applyAlignment="1">
      <alignment vertical="center"/>
    </xf>
    <xf numFmtId="0" fontId="9" fillId="0" borderId="0" xfId="1" applyFont="1" applyFill="1" applyBorder="1" applyAlignment="1" applyProtection="1">
      <alignment vertical="center"/>
    </xf>
    <xf numFmtId="10" fontId="0" fillId="0" borderId="0" xfId="0" applyNumberFormat="1" applyFill="1" applyBorder="1" applyAlignment="1">
      <alignment vertical="center"/>
    </xf>
    <xf numFmtId="2" fontId="40" fillId="0" borderId="11" xfId="0" applyNumberFormat="1" applyFont="1" applyBorder="1" applyAlignment="1">
      <alignment vertical="center"/>
    </xf>
    <xf numFmtId="173" fontId="40" fillId="0" borderId="11" xfId="0" applyNumberFormat="1" applyFont="1" applyBorder="1" applyAlignment="1">
      <alignment vertical="center"/>
    </xf>
    <xf numFmtId="2" fontId="32" fillId="0" borderId="0" xfId="0" applyNumberFormat="1" applyFont="1" applyBorder="1" applyAlignment="1">
      <alignment horizontal="right" vertical="center"/>
    </xf>
    <xf numFmtId="2" fontId="32" fillId="0" borderId="0" xfId="0" applyNumberFormat="1" applyFont="1" applyFill="1" applyAlignment="1">
      <alignment horizontal="right" vertical="center"/>
    </xf>
    <xf numFmtId="2" fontId="32" fillId="0" borderId="0" xfId="0" applyNumberFormat="1" applyFont="1" applyFill="1" applyBorder="1" applyAlignment="1">
      <alignment horizontal="right" vertical="center"/>
    </xf>
    <xf numFmtId="0" fontId="13" fillId="0" borderId="0" xfId="0" applyFont="1" applyBorder="1" applyAlignment="1">
      <alignment horizontal="right" vertical="center"/>
    </xf>
    <xf numFmtId="0" fontId="13" fillId="0" borderId="0" xfId="0" applyFont="1" applyAlignment="1">
      <alignment horizontal="right" vertical="center"/>
    </xf>
    <xf numFmtId="10" fontId="0" fillId="0" borderId="0" xfId="0" applyNumberFormat="1" applyFill="1" applyAlignment="1">
      <alignment vertical="center"/>
    </xf>
    <xf numFmtId="0" fontId="11" fillId="0" borderId="0" xfId="0" applyFont="1" applyFill="1" applyAlignment="1">
      <alignment vertical="center"/>
    </xf>
    <xf numFmtId="0" fontId="40" fillId="0" borderId="0" xfId="0" applyFont="1" applyAlignment="1">
      <alignment vertical="center"/>
    </xf>
    <xf numFmtId="10" fontId="40" fillId="0" borderId="0" xfId="0" applyNumberFormat="1" applyFont="1" applyBorder="1" applyAlignment="1">
      <alignment vertical="center"/>
    </xf>
    <xf numFmtId="0" fontId="0" fillId="0" borderId="0" xfId="0" quotePrefix="1" applyAlignment="1">
      <alignment vertical="center"/>
    </xf>
    <xf numFmtId="0" fontId="2" fillId="0" borderId="0" xfId="0" applyFont="1" applyBorder="1" applyAlignment="1">
      <alignment horizontal="center" vertical="center"/>
    </xf>
    <xf numFmtId="2" fontId="0" fillId="2" borderId="0" xfId="0" applyNumberFormat="1" applyFill="1" applyAlignment="1">
      <alignment vertical="center"/>
    </xf>
    <xf numFmtId="0" fontId="2" fillId="0" borderId="0" xfId="0" applyFont="1" applyFill="1" applyBorder="1" applyAlignment="1">
      <alignment horizontal="center" vertical="center"/>
    </xf>
    <xf numFmtId="0" fontId="2" fillId="0" borderId="0" xfId="0" applyFont="1" applyFill="1" applyAlignment="1">
      <alignment vertical="center"/>
    </xf>
    <xf numFmtId="166" fontId="13" fillId="0" borderId="1" xfId="0" applyNumberFormat="1" applyFont="1" applyFill="1" applyBorder="1" applyAlignment="1">
      <alignment horizontal="center" vertical="center" wrapText="1"/>
    </xf>
    <xf numFmtId="169" fontId="13" fillId="0" borderId="0" xfId="0" applyNumberFormat="1" applyFont="1" applyFill="1" applyBorder="1" applyAlignment="1">
      <alignment horizontal="center" vertical="center"/>
    </xf>
    <xf numFmtId="0" fontId="1" fillId="0" borderId="0" xfId="0" applyFont="1" applyAlignment="1">
      <alignment vertical="center"/>
    </xf>
    <xf numFmtId="0" fontId="33" fillId="4" borderId="0" xfId="0" applyFont="1" applyFill="1" applyBorder="1" applyAlignment="1">
      <alignment vertical="center"/>
    </xf>
    <xf numFmtId="0" fontId="39" fillId="4" borderId="0" xfId="0" applyFont="1" applyFill="1" applyBorder="1" applyAlignment="1">
      <alignment vertical="center"/>
    </xf>
    <xf numFmtId="0" fontId="39" fillId="0" borderId="0" xfId="0" applyFont="1" applyAlignment="1">
      <alignment vertical="center"/>
    </xf>
    <xf numFmtId="0" fontId="41" fillId="0" borderId="0" xfId="0" applyFont="1" applyFill="1" applyBorder="1" applyAlignment="1">
      <alignment horizontal="center" vertical="center" wrapText="1"/>
    </xf>
    <xf numFmtId="0" fontId="41" fillId="4" borderId="0" xfId="0" applyFont="1" applyFill="1" applyBorder="1" applyAlignment="1">
      <alignment horizontal="center" vertical="center" wrapText="1"/>
    </xf>
    <xf numFmtId="4" fontId="42" fillId="0" borderId="0" xfId="0" applyNumberFormat="1" applyFont="1" applyBorder="1" applyAlignment="1">
      <alignment horizontal="center" vertical="center"/>
    </xf>
    <xf numFmtId="4" fontId="42" fillId="0" borderId="0" xfId="0" applyNumberFormat="1" applyFont="1" applyBorder="1" applyAlignment="1">
      <alignment vertical="center"/>
    </xf>
    <xf numFmtId="0" fontId="39" fillId="4" borderId="0" xfId="0" applyFont="1" applyFill="1" applyBorder="1" applyAlignment="1">
      <alignment horizontal="center" vertical="center" wrapText="1"/>
    </xf>
    <xf numFmtId="166" fontId="39" fillId="4" borderId="0" xfId="0" applyNumberFormat="1" applyFont="1" applyFill="1" applyBorder="1" applyAlignment="1">
      <alignment horizontal="center" vertical="center" wrapText="1"/>
    </xf>
    <xf numFmtId="4" fontId="39" fillId="4" borderId="0" xfId="0" applyNumberFormat="1" applyFont="1" applyFill="1" applyBorder="1" applyAlignment="1">
      <alignment vertical="center"/>
    </xf>
    <xf numFmtId="4" fontId="39" fillId="0" borderId="0" xfId="0" applyNumberFormat="1" applyFont="1" applyBorder="1" applyAlignment="1">
      <alignment vertical="center"/>
    </xf>
    <xf numFmtId="4" fontId="39" fillId="0" borderId="0" xfId="0" applyNumberFormat="1" applyFont="1" applyAlignment="1">
      <alignment vertical="center"/>
    </xf>
    <xf numFmtId="0" fontId="39" fillId="0" borderId="0" xfId="0" applyFont="1" applyBorder="1" applyAlignment="1">
      <alignment horizontal="center" vertical="center" wrapText="1"/>
    </xf>
    <xf numFmtId="166" fontId="39" fillId="0" borderId="0" xfId="0" applyNumberFormat="1" applyFont="1" applyFill="1" applyBorder="1" applyAlignment="1">
      <alignment horizontal="center" vertical="center" wrapText="1"/>
    </xf>
    <xf numFmtId="0" fontId="39" fillId="2" borderId="0" xfId="0" applyFont="1" applyFill="1" applyAlignment="1">
      <alignment vertical="center"/>
    </xf>
    <xf numFmtId="0" fontId="41" fillId="3" borderId="1" xfId="0" applyFont="1" applyFill="1" applyBorder="1" applyAlignment="1">
      <alignment horizontal="center" vertical="center" wrapText="1"/>
    </xf>
    <xf numFmtId="0" fontId="24" fillId="0" borderId="1" xfId="0" applyNumberFormat="1" applyFont="1" applyBorder="1" applyAlignment="1">
      <alignment horizontal="center" vertical="center" wrapText="1"/>
    </xf>
    <xf numFmtId="0" fontId="0" fillId="0" borderId="1" xfId="0" applyBorder="1" applyAlignment="1">
      <alignment horizontal="center" vertical="center" wrapText="1"/>
    </xf>
    <xf numFmtId="166" fontId="13" fillId="0" borderId="0" xfId="0" applyNumberFormat="1" applyFont="1" applyFill="1" applyBorder="1" applyAlignment="1">
      <alignment horizontal="center" vertical="center" wrapText="1"/>
    </xf>
    <xf numFmtId="3" fontId="7" fillId="0" borderId="1" xfId="0" applyNumberFormat="1" applyFont="1" applyFill="1" applyBorder="1" applyAlignment="1">
      <alignment horizontal="center" vertical="center"/>
    </xf>
    <xf numFmtId="4" fontId="1" fillId="0" borderId="1" xfId="0" applyNumberFormat="1" applyFont="1" applyFill="1" applyBorder="1" applyAlignment="1">
      <alignment horizontal="center" vertical="center" wrapText="1"/>
    </xf>
    <xf numFmtId="10" fontId="40" fillId="0" borderId="0" xfId="0" applyNumberFormat="1" applyFont="1" applyAlignment="1">
      <alignment vertical="center"/>
    </xf>
    <xf numFmtId="0" fontId="0" fillId="0" borderId="1" xfId="0" applyNumberFormat="1" applyBorder="1" applyAlignment="1">
      <alignment vertical="center"/>
    </xf>
    <xf numFmtId="0" fontId="0" fillId="0" borderId="0" xfId="0" applyNumberFormat="1" applyBorder="1" applyAlignment="1">
      <alignment vertical="center"/>
    </xf>
    <xf numFmtId="0" fontId="4" fillId="0" borderId="0" xfId="0" applyFont="1" applyFill="1" applyAlignment="1">
      <alignment vertical="center"/>
    </xf>
    <xf numFmtId="3" fontId="2" fillId="0" borderId="0" xfId="0" applyNumberFormat="1" applyFont="1" applyFill="1" applyBorder="1" applyAlignment="1">
      <alignment vertical="center"/>
    </xf>
    <xf numFmtId="2" fontId="0" fillId="0" borderId="0" xfId="0" applyNumberFormat="1" applyFill="1" applyBorder="1" applyAlignment="1">
      <alignment vertical="center"/>
    </xf>
    <xf numFmtId="165" fontId="0" fillId="0" borderId="0" xfId="0" applyNumberFormat="1" applyFill="1" applyAlignment="1">
      <alignment vertical="center"/>
    </xf>
    <xf numFmtId="4" fontId="2" fillId="0" borderId="0" xfId="0" applyNumberFormat="1" applyFont="1" applyFill="1" applyBorder="1" applyAlignment="1">
      <alignment horizontal="center" vertical="center"/>
    </xf>
    <xf numFmtId="0" fontId="20" fillId="0" borderId="0" xfId="0" applyFont="1" applyFill="1" applyBorder="1" applyAlignment="1">
      <alignment vertical="center"/>
    </xf>
    <xf numFmtId="10" fontId="1" fillId="0" borderId="0" xfId="0" applyNumberFormat="1" applyFont="1" applyFill="1" applyBorder="1" applyAlignment="1">
      <alignment vertical="center"/>
    </xf>
    <xf numFmtId="0" fontId="0" fillId="0" borderId="0" xfId="0" applyFill="1" applyBorder="1" applyAlignment="1"/>
    <xf numFmtId="0" fontId="21" fillId="0" borderId="0" xfId="0" applyFont="1" applyFill="1" applyBorder="1" applyAlignment="1">
      <alignment vertical="center"/>
    </xf>
    <xf numFmtId="0" fontId="43" fillId="0" borderId="0" xfId="0" applyFont="1" applyFill="1" applyBorder="1" applyAlignment="1">
      <alignment vertical="center"/>
    </xf>
    <xf numFmtId="17" fontId="2" fillId="0" borderId="0" xfId="0" applyNumberFormat="1" applyFont="1" applyFill="1" applyBorder="1" applyAlignment="1">
      <alignment vertical="center"/>
    </xf>
    <xf numFmtId="0" fontId="40" fillId="0" borderId="0" xfId="0" applyFont="1" applyFill="1" applyAlignment="1">
      <alignment vertical="center"/>
    </xf>
    <xf numFmtId="10" fontId="46" fillId="0" borderId="0" xfId="0" applyNumberFormat="1" applyFont="1" applyFill="1" applyBorder="1" applyAlignment="1">
      <alignment horizontal="right" vertical="center"/>
    </xf>
    <xf numFmtId="10" fontId="40" fillId="0" borderId="0" xfId="0" applyNumberFormat="1" applyFont="1" applyAlignment="1">
      <alignment horizontal="right" vertical="center"/>
    </xf>
    <xf numFmtId="0" fontId="47" fillId="0" borderId="0" xfId="0" applyFont="1" applyFill="1" applyBorder="1" applyAlignment="1">
      <alignment horizontal="center" vertical="center" wrapText="1"/>
    </xf>
    <xf numFmtId="4" fontId="0" fillId="0" borderId="0" xfId="0" applyNumberFormat="1" applyAlignment="1">
      <alignment vertical="center"/>
    </xf>
    <xf numFmtId="0" fontId="29" fillId="2" borderId="0" xfId="0" applyFont="1" applyFill="1" applyAlignment="1">
      <alignment vertical="center"/>
    </xf>
    <xf numFmtId="0" fontId="29" fillId="0" borderId="0" xfId="0" applyFont="1" applyFill="1" applyAlignment="1">
      <alignment vertical="center"/>
    </xf>
    <xf numFmtId="0" fontId="0" fillId="0" borderId="0" xfId="0" applyFill="1" applyBorder="1" applyAlignment="1">
      <alignment horizontal="center" vertical="center"/>
    </xf>
    <xf numFmtId="0" fontId="0" fillId="0" borderId="0" xfId="0" applyFill="1" applyBorder="1" applyAlignment="1">
      <alignment horizontal="left" vertical="center" wrapText="1"/>
    </xf>
    <xf numFmtId="0" fontId="0" fillId="0" borderId="0" xfId="0" applyFill="1" applyAlignment="1">
      <alignment horizontal="left" vertical="center"/>
    </xf>
    <xf numFmtId="2" fontId="1" fillId="0" borderId="0" xfId="0" applyNumberFormat="1" applyFont="1" applyAlignment="1">
      <alignment vertical="center"/>
    </xf>
    <xf numFmtId="10" fontId="0" fillId="0" borderId="0" xfId="0" applyNumberFormat="1" applyBorder="1" applyAlignment="1">
      <alignment horizontal="center" vertical="center"/>
    </xf>
    <xf numFmtId="2" fontId="40" fillId="0" borderId="0" xfId="0" applyNumberFormat="1" applyFont="1" applyAlignment="1">
      <alignment vertical="center"/>
    </xf>
    <xf numFmtId="178" fontId="40" fillId="0" borderId="0" xfId="0" applyNumberFormat="1" applyFont="1" applyBorder="1" applyAlignment="1">
      <alignment vertical="center"/>
    </xf>
    <xf numFmtId="4" fontId="40" fillId="0" borderId="0" xfId="0" applyNumberFormat="1" applyFont="1" applyBorder="1" applyAlignment="1">
      <alignment vertical="center"/>
    </xf>
    <xf numFmtId="0" fontId="2" fillId="0" borderId="4" xfId="0" applyFont="1" applyBorder="1" applyAlignment="1">
      <alignment horizontal="center" vertical="center"/>
    </xf>
    <xf numFmtId="0" fontId="7" fillId="3" borderId="4" xfId="0" applyFont="1" applyFill="1" applyBorder="1" applyAlignment="1">
      <alignment horizontal="center" vertical="center" wrapText="1"/>
    </xf>
    <xf numFmtId="0" fontId="48" fillId="0" borderId="0" xfId="0" applyFont="1" applyAlignment="1">
      <alignment vertical="center"/>
    </xf>
    <xf numFmtId="0" fontId="48" fillId="0" borderId="0" xfId="0" applyFont="1" applyBorder="1" applyAlignment="1">
      <alignment horizontal="center" vertical="center"/>
    </xf>
    <xf numFmtId="4" fontId="48" fillId="0" borderId="0" xfId="0" applyNumberFormat="1" applyFont="1" applyBorder="1" applyAlignment="1">
      <alignment vertical="center"/>
    </xf>
    <xf numFmtId="10" fontId="48" fillId="0" borderId="0" xfId="0" applyNumberFormat="1" applyFont="1" applyBorder="1" applyAlignment="1">
      <alignment vertical="center"/>
    </xf>
    <xf numFmtId="0" fontId="48" fillId="0" borderId="0" xfId="0" applyFont="1" applyBorder="1" applyAlignment="1">
      <alignment vertical="center"/>
    </xf>
    <xf numFmtId="0" fontId="48" fillId="2" borderId="0" xfId="0" applyFont="1" applyFill="1" applyAlignment="1">
      <alignment vertical="center"/>
    </xf>
    <xf numFmtId="0" fontId="48" fillId="0" borderId="0" xfId="0" applyFont="1" applyFill="1" applyAlignment="1">
      <alignment vertical="center"/>
    </xf>
    <xf numFmtId="4" fontId="0" fillId="0" borderId="13" xfId="0" applyNumberFormat="1" applyBorder="1" applyAlignment="1">
      <alignment vertical="center" wrapText="1"/>
    </xf>
    <xf numFmtId="166" fontId="42" fillId="0" borderId="0" xfId="0" applyNumberFormat="1" applyFont="1" applyFill="1" applyBorder="1" applyAlignment="1">
      <alignment horizontal="center" vertical="center" wrapText="1"/>
    </xf>
    <xf numFmtId="167" fontId="6" fillId="0" borderId="0" xfId="0" applyNumberFormat="1" applyFont="1" applyFill="1" applyAlignment="1">
      <alignment vertical="center"/>
    </xf>
    <xf numFmtId="172" fontId="0" fillId="0" borderId="0" xfId="0" applyNumberFormat="1" applyFill="1" applyBorder="1" applyAlignment="1">
      <alignment vertical="center"/>
    </xf>
    <xf numFmtId="168" fontId="40" fillId="0" borderId="0" xfId="0" applyNumberFormat="1" applyFont="1" applyBorder="1" applyAlignment="1">
      <alignment vertical="center"/>
    </xf>
    <xf numFmtId="10" fontId="40" fillId="0" borderId="0" xfId="0" applyNumberFormat="1" applyFont="1" applyFill="1" applyAlignment="1">
      <alignment vertical="center"/>
    </xf>
    <xf numFmtId="4" fontId="1" fillId="0" borderId="1" xfId="0" applyNumberFormat="1" applyFont="1" applyBorder="1" applyAlignment="1">
      <alignment vertical="center" wrapText="1"/>
    </xf>
    <xf numFmtId="4" fontId="1" fillId="0" borderId="1" xfId="0" applyNumberFormat="1" applyFont="1" applyBorder="1" applyAlignment="1">
      <alignment horizontal="center" vertical="center"/>
    </xf>
    <xf numFmtId="166" fontId="1" fillId="0" borderId="1" xfId="0" applyNumberFormat="1" applyFont="1" applyBorder="1" applyAlignment="1">
      <alignment horizontal="center" vertical="center"/>
    </xf>
    <xf numFmtId="0" fontId="1" fillId="0" borderId="1" xfId="0" applyFont="1" applyBorder="1" applyAlignment="1">
      <alignment vertical="center" wrapText="1"/>
    </xf>
    <xf numFmtId="178" fontId="40" fillId="0" borderId="0" xfId="0" applyNumberFormat="1" applyFont="1" applyFill="1" applyAlignment="1">
      <alignment vertical="center"/>
    </xf>
    <xf numFmtId="10" fontId="1" fillId="2" borderId="0" xfId="0" applyNumberFormat="1" applyFont="1" applyFill="1" applyAlignment="1">
      <alignment vertical="center"/>
    </xf>
    <xf numFmtId="2" fontId="40" fillId="0" borderId="0" xfId="0" applyNumberFormat="1" applyFont="1" applyFill="1" applyAlignment="1">
      <alignment vertical="center"/>
    </xf>
    <xf numFmtId="0" fontId="27" fillId="0" borderId="1" xfId="0" applyFont="1" applyBorder="1" applyAlignment="1">
      <alignment vertical="center"/>
    </xf>
    <xf numFmtId="166" fontId="49" fillId="0" borderId="0" xfId="0" applyNumberFormat="1" applyFont="1" applyAlignment="1">
      <alignment vertical="center"/>
    </xf>
    <xf numFmtId="4" fontId="49" fillId="0" borderId="0" xfId="0" applyNumberFormat="1" applyFont="1" applyAlignment="1">
      <alignment vertical="center"/>
    </xf>
    <xf numFmtId="169" fontId="49" fillId="0" borderId="0" xfId="0" applyNumberFormat="1" applyFont="1" applyFill="1" applyAlignment="1">
      <alignment vertical="center"/>
    </xf>
    <xf numFmtId="166" fontId="49" fillId="0" borderId="0" xfId="0" applyNumberFormat="1" applyFont="1" applyFill="1" applyAlignment="1">
      <alignment vertical="center"/>
    </xf>
    <xf numFmtId="4" fontId="49" fillId="4" borderId="0" xfId="0" applyNumberFormat="1" applyFont="1" applyFill="1" applyAlignment="1">
      <alignment vertical="center"/>
    </xf>
    <xf numFmtId="3" fontId="49" fillId="4" borderId="0" xfId="0" applyNumberFormat="1" applyFont="1" applyFill="1" applyAlignment="1">
      <alignment vertical="center"/>
    </xf>
    <xf numFmtId="4" fontId="49" fillId="0" borderId="0" xfId="0" applyNumberFormat="1" applyFont="1" applyFill="1" applyAlignment="1">
      <alignment vertical="center"/>
    </xf>
    <xf numFmtId="170" fontId="49" fillId="0" borderId="0" xfId="0" applyNumberFormat="1" applyFont="1" applyFill="1" applyAlignment="1">
      <alignment vertical="center"/>
    </xf>
    <xf numFmtId="169" fontId="49" fillId="0" borderId="0" xfId="0" applyNumberFormat="1" applyFont="1" applyAlignment="1">
      <alignment vertical="center"/>
    </xf>
    <xf numFmtId="0" fontId="16" fillId="0" borderId="0" xfId="0" applyFont="1"/>
    <xf numFmtId="0" fontId="50" fillId="4" borderId="0" xfId="0" applyFont="1" applyFill="1" applyAlignment="1">
      <alignment horizontal="center" vertical="top" wrapText="1"/>
    </xf>
    <xf numFmtId="169" fontId="0" fillId="0" borderId="0" xfId="0" applyNumberFormat="1" applyAlignment="1">
      <alignment vertical="center"/>
    </xf>
    <xf numFmtId="0" fontId="51" fillId="4" borderId="0" xfId="0" applyFont="1" applyFill="1" applyAlignment="1">
      <alignment horizontal="right" wrapText="1"/>
    </xf>
    <xf numFmtId="0" fontId="0" fillId="4" borderId="0" xfId="0" applyFill="1" applyAlignment="1">
      <alignment horizontal="center" wrapText="1"/>
    </xf>
    <xf numFmtId="174" fontId="13" fillId="0" borderId="0" xfId="0" applyNumberFormat="1" applyFont="1" applyBorder="1" applyAlignment="1">
      <alignment horizontal="right" vertical="center"/>
    </xf>
    <xf numFmtId="0" fontId="0" fillId="0" borderId="0" xfId="0" applyBorder="1" applyAlignment="1">
      <alignment horizontal="right" vertical="center"/>
    </xf>
    <xf numFmtId="0" fontId="52" fillId="0" borderId="0" xfId="0" applyFont="1"/>
    <xf numFmtId="0" fontId="0" fillId="0" borderId="0" xfId="0" applyNumberFormat="1" applyFill="1"/>
    <xf numFmtId="172" fontId="7" fillId="0" borderId="0" xfId="0" applyNumberFormat="1" applyFont="1" applyBorder="1" applyAlignment="1">
      <alignment horizontal="center" vertical="center"/>
    </xf>
    <xf numFmtId="0" fontId="0" fillId="0" borderId="0" xfId="0" applyFill="1"/>
    <xf numFmtId="176" fontId="0" fillId="0" borderId="0" xfId="0" applyNumberFormat="1" applyAlignment="1">
      <alignment vertical="center"/>
    </xf>
    <xf numFmtId="3" fontId="0" fillId="0" borderId="0" xfId="0" applyNumberFormat="1" applyAlignment="1">
      <alignment vertical="center"/>
    </xf>
    <xf numFmtId="0" fontId="9" fillId="0" borderId="0" xfId="1" applyAlignment="1" applyProtection="1"/>
    <xf numFmtId="166" fontId="54" fillId="0" borderId="0" xfId="0" applyNumberFormat="1" applyFont="1"/>
    <xf numFmtId="166" fontId="0" fillId="0" borderId="0" xfId="0" applyNumberFormat="1"/>
    <xf numFmtId="0" fontId="56" fillId="0" borderId="0" xfId="0" applyFont="1"/>
    <xf numFmtId="0" fontId="8" fillId="0" borderId="0" xfId="0" applyFont="1" applyBorder="1" applyAlignment="1">
      <alignment horizontal="center" vertical="center" wrapText="1"/>
    </xf>
    <xf numFmtId="172" fontId="53" fillId="0" borderId="0" xfId="0" applyNumberFormat="1" applyFont="1" applyBorder="1" applyAlignment="1">
      <alignment vertical="center"/>
    </xf>
    <xf numFmtId="0" fontId="1" fillId="0" borderId="1" xfId="0" applyFont="1" applyBorder="1" applyAlignment="1">
      <alignment vertical="center"/>
    </xf>
    <xf numFmtId="0" fontId="1" fillId="0" borderId="0" xfId="0" applyFont="1"/>
    <xf numFmtId="0" fontId="0" fillId="6" borderId="0" xfId="0" applyFill="1"/>
    <xf numFmtId="0" fontId="0" fillId="0" borderId="1" xfId="0" applyFill="1" applyBorder="1" applyAlignment="1">
      <alignment vertical="center" wrapText="1"/>
    </xf>
    <xf numFmtId="0" fontId="1" fillId="0" borderId="0" xfId="0" applyFont="1" applyFill="1" applyAlignment="1">
      <alignment vertical="center"/>
    </xf>
    <xf numFmtId="0" fontId="1" fillId="0" borderId="0" xfId="0" applyFont="1" applyFill="1" applyBorder="1" applyAlignment="1">
      <alignment horizontal="center"/>
    </xf>
    <xf numFmtId="0" fontId="0" fillId="0" borderId="0" xfId="0" applyFill="1" applyBorder="1"/>
    <xf numFmtId="0" fontId="0" fillId="0" borderId="0" xfId="0" applyFill="1" applyBorder="1" applyAlignment="1">
      <alignment horizontal="center"/>
    </xf>
    <xf numFmtId="0" fontId="57" fillId="0" borderId="0" xfId="0" applyFont="1" applyFill="1" applyBorder="1" applyAlignment="1">
      <alignment horizontal="centerContinuous" vertical="center"/>
    </xf>
    <xf numFmtId="0" fontId="0" fillId="0" borderId="0" xfId="0" applyFill="1" applyBorder="1" applyAlignment="1">
      <alignment horizontal="centerContinuous" vertical="center"/>
    </xf>
    <xf numFmtId="0" fontId="1" fillId="0" borderId="0" xfId="0" applyFont="1" applyFill="1" applyBorder="1" applyAlignment="1">
      <alignment vertical="center"/>
    </xf>
    <xf numFmtId="0" fontId="1" fillId="0" borderId="0" xfId="0" applyFont="1" applyFill="1" applyBorder="1"/>
    <xf numFmtId="9" fontId="0" fillId="0" borderId="0" xfId="0" applyNumberFormat="1" applyFill="1" applyBorder="1"/>
    <xf numFmtId="0" fontId="2" fillId="0" borderId="0" xfId="0" applyFont="1" applyFill="1" applyBorder="1"/>
    <xf numFmtId="174" fontId="2" fillId="0" borderId="1" xfId="0" applyNumberFormat="1" applyFont="1" applyBorder="1"/>
    <xf numFmtId="174" fontId="2" fillId="4" borderId="15" xfId="0" applyNumberFormat="1" applyFont="1" applyFill="1" applyBorder="1" applyAlignment="1">
      <alignment horizontal="right" wrapText="1"/>
    </xf>
    <xf numFmtId="174" fontId="2" fillId="4" borderId="14" xfId="0" applyNumberFormat="1" applyFont="1" applyFill="1" applyBorder="1" applyAlignment="1">
      <alignment horizontal="right" wrapText="1"/>
    </xf>
    <xf numFmtId="169" fontId="2" fillId="7" borderId="1" xfId="0" applyNumberFormat="1" applyFont="1" applyFill="1" applyBorder="1" applyAlignment="1">
      <alignment horizontal="right" vertical="center"/>
    </xf>
    <xf numFmtId="0" fontId="2" fillId="0" borderId="0" xfId="0" applyFont="1"/>
    <xf numFmtId="0" fontId="2" fillId="7" borderId="1" xfId="0" applyFont="1" applyFill="1" applyBorder="1"/>
    <xf numFmtId="0" fontId="2" fillId="0" borderId="1" xfId="0" applyFont="1" applyBorder="1"/>
    <xf numFmtId="166" fontId="2" fillId="0" borderId="1" xfId="0" applyNumberFormat="1" applyFont="1" applyFill="1" applyBorder="1" applyAlignment="1">
      <alignment vertical="center"/>
    </xf>
    <xf numFmtId="2" fontId="1" fillId="0" borderId="1" xfId="0" applyNumberFormat="1" applyFont="1" applyBorder="1" applyAlignment="1">
      <alignment vertical="center"/>
    </xf>
    <xf numFmtId="0" fontId="13" fillId="0" borderId="1" xfId="0" applyNumberFormat="1" applyFont="1" applyBorder="1" applyAlignment="1">
      <alignment horizontal="right" vertical="center"/>
    </xf>
    <xf numFmtId="172" fontId="2" fillId="0" borderId="1" xfId="0" applyNumberFormat="1" applyFont="1" applyBorder="1" applyAlignment="1">
      <alignment vertical="center"/>
    </xf>
    <xf numFmtId="176" fontId="2" fillId="0" borderId="1" xfId="0" applyNumberFormat="1" applyFont="1" applyBorder="1" applyAlignment="1">
      <alignment vertical="center"/>
    </xf>
    <xf numFmtId="175" fontId="2" fillId="0" borderId="1" xfId="0" applyNumberFormat="1" applyFont="1" applyBorder="1" applyAlignment="1">
      <alignment vertical="center"/>
    </xf>
    <xf numFmtId="167" fontId="2" fillId="6" borderId="1" xfId="0" applyNumberFormat="1" applyFont="1" applyFill="1" applyBorder="1" applyAlignment="1">
      <alignment horizontal="center" vertical="center" wrapText="1"/>
    </xf>
    <xf numFmtId="0" fontId="17" fillId="0" borderId="0" xfId="0" applyFont="1" applyAlignment="1">
      <alignment horizontal="center" vertical="center"/>
    </xf>
    <xf numFmtId="0" fontId="0" fillId="0" borderId="0" xfId="0" applyAlignment="1">
      <alignment horizontal="center"/>
    </xf>
    <xf numFmtId="0" fontId="54" fillId="0" borderId="0" xfId="0" applyNumberFormat="1" applyFont="1" applyAlignment="1">
      <alignment horizontal="center"/>
    </xf>
    <xf numFmtId="0" fontId="0" fillId="0" borderId="0" xfId="0" applyNumberFormat="1" applyAlignment="1">
      <alignment horizontal="center"/>
    </xf>
    <xf numFmtId="4" fontId="2" fillId="0" borderId="4" xfId="0" applyNumberFormat="1" applyFont="1" applyBorder="1" applyAlignment="1">
      <alignment vertical="center"/>
    </xf>
    <xf numFmtId="4" fontId="2" fillId="0" borderId="5" xfId="0" applyNumberFormat="1" applyFont="1" applyBorder="1" applyAlignment="1">
      <alignment vertical="center"/>
    </xf>
    <xf numFmtId="4" fontId="2" fillId="0" borderId="6" xfId="0" applyNumberFormat="1" applyFont="1" applyBorder="1" applyAlignment="1">
      <alignment vertical="center"/>
    </xf>
    <xf numFmtId="2" fontId="2" fillId="0" borderId="1" xfId="2" applyNumberFormat="1" applyFont="1" applyBorder="1" applyAlignment="1">
      <alignment horizontal="right" vertical="center"/>
    </xf>
    <xf numFmtId="2" fontId="2" fillId="0" borderId="1" xfId="0" applyNumberFormat="1" applyFont="1" applyBorder="1" applyAlignment="1">
      <alignment horizontal="right" vertical="center"/>
    </xf>
    <xf numFmtId="2" fontId="2" fillId="0" borderId="9" xfId="2" applyNumberFormat="1" applyFont="1" applyBorder="1" applyAlignment="1">
      <alignment horizontal="right" vertical="center"/>
    </xf>
    <xf numFmtId="2" fontId="2" fillId="0" borderId="9" xfId="0" applyNumberFormat="1" applyFont="1" applyBorder="1" applyAlignment="1">
      <alignment horizontal="right" vertical="center"/>
    </xf>
    <xf numFmtId="4"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14" fontId="1" fillId="0" borderId="0" xfId="0" applyNumberFormat="1" applyFont="1" applyBorder="1" applyAlignment="1">
      <alignment vertical="center"/>
    </xf>
    <xf numFmtId="0" fontId="2" fillId="0" borderId="1" xfId="0" applyFont="1" applyBorder="1" applyAlignment="1">
      <alignment vertical="center"/>
    </xf>
    <xf numFmtId="0" fontId="2" fillId="7" borderId="1" xfId="0" applyFont="1" applyFill="1" applyBorder="1" applyAlignment="1">
      <alignment vertical="center"/>
    </xf>
    <xf numFmtId="173" fontId="2" fillId="0" borderId="15" xfId="0" applyNumberFormat="1" applyFont="1" applyBorder="1" applyAlignment="1">
      <alignment horizontal="center" wrapText="1"/>
    </xf>
    <xf numFmtId="2" fontId="60" fillId="0" borderId="0" xfId="0" applyNumberFormat="1" applyFont="1" applyFill="1" applyAlignment="1">
      <alignment vertical="center"/>
    </xf>
    <xf numFmtId="2" fontId="0" fillId="0" borderId="0" xfId="0" applyNumberFormat="1" applyAlignment="1">
      <alignment vertical="center"/>
    </xf>
    <xf numFmtId="169" fontId="2" fillId="0" borderId="1" xfId="0" applyNumberFormat="1" applyFont="1" applyFill="1" applyBorder="1" applyAlignment="1">
      <alignment horizontal="center" vertical="center"/>
    </xf>
    <xf numFmtId="169" fontId="2" fillId="0" borderId="1" xfId="0" applyNumberFormat="1" applyFont="1" applyFill="1" applyBorder="1" applyAlignment="1">
      <alignment horizontal="center" vertical="center" wrapText="1"/>
    </xf>
    <xf numFmtId="4" fontId="1" fillId="0" borderId="0" xfId="0" applyNumberFormat="1" applyFont="1" applyBorder="1" applyAlignment="1">
      <alignment vertical="center"/>
    </xf>
    <xf numFmtId="0" fontId="1" fillId="0" borderId="1" xfId="0" applyFont="1" applyBorder="1" applyAlignment="1">
      <alignment horizontal="center" vertical="center"/>
    </xf>
    <xf numFmtId="175" fontId="60" fillId="0" borderId="1" xfId="0" applyNumberFormat="1" applyFont="1" applyBorder="1" applyAlignment="1">
      <alignment horizontal="center" vertical="center"/>
    </xf>
    <xf numFmtId="166" fontId="2" fillId="0" borderId="0" xfId="0" applyNumberFormat="1" applyFont="1" applyFill="1" applyBorder="1" applyAlignment="1">
      <alignment horizontal="left" vertical="center"/>
    </xf>
    <xf numFmtId="4" fontId="2" fillId="0" borderId="1" xfId="0" applyNumberFormat="1" applyFont="1" applyBorder="1" applyAlignment="1">
      <alignment vertical="center"/>
    </xf>
    <xf numFmtId="166" fontId="2" fillId="0" borderId="1" xfId="0" applyNumberFormat="1" applyFont="1" applyBorder="1" applyAlignment="1">
      <alignment vertical="center"/>
    </xf>
    <xf numFmtId="175" fontId="2" fillId="0"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175" fontId="2" fillId="0" borderId="1" xfId="0" applyNumberFormat="1" applyFont="1" applyBorder="1" applyAlignment="1">
      <alignment horizontal="center" vertical="center"/>
    </xf>
    <xf numFmtId="2" fontId="2" fillId="0" borderId="1" xfId="0" applyNumberFormat="1" applyFont="1" applyBorder="1" applyAlignment="1">
      <alignment horizontal="center" vertical="center"/>
    </xf>
    <xf numFmtId="0" fontId="13" fillId="7" borderId="1" xfId="0" applyFont="1" applyFill="1" applyBorder="1" applyAlignment="1">
      <alignment horizontal="left" vertical="center" wrapText="1"/>
    </xf>
    <xf numFmtId="175" fontId="2" fillId="7" borderId="1" xfId="0" applyNumberFormat="1" applyFont="1" applyFill="1" applyBorder="1" applyAlignment="1">
      <alignment horizontal="center" vertical="center"/>
    </xf>
    <xf numFmtId="2" fontId="2" fillId="7" borderId="1" xfId="0" applyNumberFormat="1" applyFont="1" applyFill="1" applyBorder="1" applyAlignment="1">
      <alignment horizontal="center" vertical="center"/>
    </xf>
    <xf numFmtId="4" fontId="2" fillId="0" borderId="1" xfId="0" applyNumberFormat="1" applyFont="1" applyFill="1" applyBorder="1" applyAlignment="1">
      <alignment horizontal="center" vertical="center"/>
    </xf>
    <xf numFmtId="174" fontId="2" fillId="0" borderId="1" xfId="0" applyNumberFormat="1" applyFont="1" applyFill="1" applyBorder="1" applyAlignment="1">
      <alignment vertical="center"/>
    </xf>
    <xf numFmtId="174" fontId="13" fillId="0" borderId="1" xfId="0" applyNumberFormat="1" applyFont="1" applyBorder="1" applyAlignment="1">
      <alignment horizontal="center" vertical="center"/>
    </xf>
    <xf numFmtId="174" fontId="0" fillId="0" borderId="1" xfId="0" applyNumberFormat="1" applyBorder="1" applyAlignment="1">
      <alignment horizontal="center" vertical="center"/>
    </xf>
    <xf numFmtId="4" fontId="0" fillId="7" borderId="1" xfId="0" applyNumberFormat="1" applyFill="1" applyBorder="1" applyAlignment="1">
      <alignment vertical="center"/>
    </xf>
    <xf numFmtId="4" fontId="1" fillId="0" borderId="1" xfId="0" applyNumberFormat="1" applyFont="1" applyBorder="1" applyAlignment="1">
      <alignment horizontal="left" vertical="center"/>
    </xf>
    <xf numFmtId="0" fontId="61" fillId="0" borderId="0" xfId="0" applyFont="1" applyAlignment="1">
      <alignment horizontal="left" vertical="center"/>
    </xf>
    <xf numFmtId="0" fontId="62" fillId="0" borderId="0" xfId="0" applyFont="1" applyAlignment="1">
      <alignment horizontal="center" vertical="center"/>
    </xf>
    <xf numFmtId="174" fontId="1" fillId="8" borderId="15" xfId="0" applyNumberFormat="1" applyFont="1" applyFill="1" applyBorder="1" applyAlignment="1">
      <alignment horizontal="right" wrapText="1"/>
    </xf>
    <xf numFmtId="174" fontId="1" fillId="8" borderId="14" xfId="0" applyNumberFormat="1" applyFont="1" applyFill="1" applyBorder="1" applyAlignment="1">
      <alignment horizontal="right" wrapText="1"/>
    </xf>
    <xf numFmtId="174" fontId="1" fillId="8" borderId="1" xfId="0" applyNumberFormat="1" applyFont="1" applyFill="1" applyBorder="1"/>
    <xf numFmtId="0" fontId="63" fillId="0" borderId="0" xfId="0" applyFont="1"/>
    <xf numFmtId="0" fontId="63" fillId="0" borderId="1" xfId="0" applyFont="1" applyBorder="1"/>
    <xf numFmtId="0" fontId="63" fillId="0" borderId="7" xfId="0" applyFont="1" applyBorder="1"/>
    <xf numFmtId="4" fontId="1" fillId="0" borderId="0" xfId="0" applyNumberFormat="1" applyFont="1" applyFill="1" applyBorder="1" applyAlignment="1">
      <alignment vertical="center"/>
    </xf>
    <xf numFmtId="0" fontId="0" fillId="0" borderId="0" xfId="0" applyFill="1" applyAlignment="1">
      <alignment vertical="center" wrapText="1"/>
    </xf>
    <xf numFmtId="166" fontId="0" fillId="0" borderId="1" xfId="0" applyNumberFormat="1" applyFill="1" applyBorder="1" applyAlignment="1">
      <alignment horizontal="center" vertical="center" wrapText="1"/>
    </xf>
    <xf numFmtId="0" fontId="2" fillId="8" borderId="1" xfId="0" applyFont="1" applyFill="1" applyBorder="1" applyAlignment="1">
      <alignment vertical="center"/>
    </xf>
    <xf numFmtId="2" fontId="2" fillId="8" borderId="1" xfId="0" applyNumberFormat="1" applyFont="1" applyFill="1" applyBorder="1" applyAlignment="1">
      <alignment vertical="center"/>
    </xf>
    <xf numFmtId="4" fontId="1" fillId="0" borderId="1" xfId="0" applyNumberFormat="1" applyFont="1" applyFill="1" applyBorder="1" applyAlignment="1">
      <alignment horizontal="left" vertical="center" wrapText="1"/>
    </xf>
    <xf numFmtId="2" fontId="60" fillId="0" borderId="0" xfId="0" applyNumberFormat="1" applyFont="1" applyAlignment="1">
      <alignment vertical="center"/>
    </xf>
    <xf numFmtId="178" fontId="60" fillId="0" borderId="0" xfId="0" applyNumberFormat="1" applyFont="1" applyBorder="1" applyAlignment="1">
      <alignment vertical="center"/>
    </xf>
    <xf numFmtId="9" fontId="60" fillId="0" borderId="0" xfId="3" applyFont="1" applyBorder="1" applyAlignment="1">
      <alignment vertical="center"/>
    </xf>
    <xf numFmtId="176" fontId="1" fillId="0" borderId="1" xfId="0" applyNumberFormat="1" applyFont="1" applyBorder="1" applyAlignment="1">
      <alignment vertical="center"/>
    </xf>
    <xf numFmtId="0" fontId="7" fillId="3" borderId="1" xfId="0" applyFont="1" applyFill="1" applyBorder="1" applyAlignment="1">
      <alignment horizontal="center" vertical="center" wrapText="1"/>
    </xf>
    <xf numFmtId="9" fontId="0" fillId="0" borderId="0" xfId="3" applyNumberFormat="1" applyFont="1" applyAlignment="1">
      <alignment vertical="center"/>
    </xf>
    <xf numFmtId="171" fontId="0" fillId="0" borderId="0" xfId="0" applyNumberFormat="1" applyBorder="1" applyAlignment="1">
      <alignment vertical="center"/>
    </xf>
    <xf numFmtId="176" fontId="63" fillId="8" borderId="0" xfId="0" applyNumberFormat="1" applyFont="1" applyFill="1"/>
    <xf numFmtId="0" fontId="24" fillId="8" borderId="1" xfId="0" applyFont="1" applyFill="1" applyBorder="1"/>
    <xf numFmtId="0" fontId="7" fillId="3" borderId="1" xfId="0" applyFont="1" applyFill="1" applyBorder="1" applyAlignment="1">
      <alignment horizontal="center" vertical="center" wrapText="1"/>
    </xf>
    <xf numFmtId="10" fontId="0" fillId="0" borderId="0" xfId="3" applyNumberFormat="1" applyFont="1"/>
    <xf numFmtId="173" fontId="2" fillId="8" borderId="15" xfId="0" applyNumberFormat="1" applyFont="1" applyFill="1" applyBorder="1" applyAlignment="1">
      <alignment horizontal="center" wrapText="1"/>
    </xf>
    <xf numFmtId="169" fontId="2" fillId="0" borderId="0" xfId="0" applyNumberFormat="1" applyFont="1" applyFill="1" applyBorder="1" applyAlignment="1">
      <alignment horizontal="center" vertical="center"/>
    </xf>
    <xf numFmtId="4" fontId="0" fillId="0" borderId="0" xfId="0" applyNumberFormat="1" applyBorder="1" applyAlignment="1">
      <alignment horizontal="center" vertical="center"/>
    </xf>
    <xf numFmtId="166" fontId="2" fillId="7" borderId="1" xfId="0" applyNumberFormat="1" applyFont="1" applyFill="1" applyBorder="1" applyAlignment="1">
      <alignment horizontal="center" vertical="center"/>
    </xf>
    <xf numFmtId="175" fontId="2" fillId="7" borderId="1" xfId="0" applyNumberFormat="1" applyFont="1" applyFill="1" applyBorder="1" applyAlignment="1">
      <alignment vertical="center"/>
    </xf>
    <xf numFmtId="178" fontId="1" fillId="0" borderId="0" xfId="0" applyNumberFormat="1" applyFont="1" applyBorder="1" applyAlignment="1">
      <alignment vertical="center"/>
    </xf>
    <xf numFmtId="10" fontId="0" fillId="0" borderId="0" xfId="3" applyNumberFormat="1" applyFont="1" applyFill="1" applyBorder="1" applyAlignment="1">
      <alignment vertical="center"/>
    </xf>
    <xf numFmtId="3" fontId="1" fillId="0" borderId="1" xfId="0" applyNumberFormat="1" applyFont="1" applyBorder="1" applyAlignment="1">
      <alignment horizontal="left" vertical="center"/>
    </xf>
    <xf numFmtId="3" fontId="1" fillId="0" borderId="1" xfId="0" applyNumberFormat="1" applyFont="1" applyBorder="1" applyAlignment="1">
      <alignment horizontal="center" vertical="center"/>
    </xf>
    <xf numFmtId="4" fontId="1" fillId="0" borderId="0" xfId="0" applyNumberFormat="1" applyFont="1" applyBorder="1" applyAlignment="1">
      <alignment horizontal="left" vertical="center"/>
    </xf>
    <xf numFmtId="4" fontId="13" fillId="0" borderId="0" xfId="0" applyNumberFormat="1" applyFont="1" applyBorder="1" applyAlignment="1">
      <alignment horizontal="center" vertical="center"/>
    </xf>
    <xf numFmtId="4" fontId="2" fillId="0" borderId="0" xfId="0" applyNumberFormat="1" applyFont="1" applyBorder="1" applyAlignment="1">
      <alignment horizontal="center" vertical="center"/>
    </xf>
    <xf numFmtId="166" fontId="2" fillId="0" borderId="0" xfId="0" applyNumberFormat="1" applyFont="1" applyBorder="1" applyAlignment="1">
      <alignment horizontal="center" vertical="center"/>
    </xf>
    <xf numFmtId="166" fontId="1" fillId="0" borderId="0" xfId="0" applyNumberFormat="1" applyFont="1" applyBorder="1" applyAlignment="1">
      <alignment horizontal="center" vertical="center"/>
    </xf>
    <xf numFmtId="3" fontId="1" fillId="0" borderId="1" xfId="0" applyNumberFormat="1" applyFont="1" applyBorder="1" applyAlignment="1">
      <alignment horizontal="left" vertical="center" wrapText="1"/>
    </xf>
    <xf numFmtId="4" fontId="1" fillId="0" borderId="1" xfId="0" applyNumberFormat="1" applyFont="1" applyBorder="1" applyAlignment="1">
      <alignment horizontal="left" vertical="center" wrapText="1"/>
    </xf>
    <xf numFmtId="164" fontId="64" fillId="0" borderId="0" xfId="2" applyFont="1" applyFill="1" applyAlignment="1">
      <alignment vertical="center"/>
    </xf>
    <xf numFmtId="0" fontId="7"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65" fillId="0" borderId="0" xfId="0" applyFont="1"/>
    <xf numFmtId="0" fontId="1" fillId="0" borderId="0" xfId="0" applyNumberFormat="1" applyFont="1" applyFill="1" applyAlignment="1">
      <alignment vertical="center"/>
    </xf>
    <xf numFmtId="10" fontId="1" fillId="0" borderId="0" xfId="0" applyNumberFormat="1" applyFont="1" applyFill="1"/>
    <xf numFmtId="170" fontId="7" fillId="0" borderId="0" xfId="0" applyNumberFormat="1" applyFont="1" applyBorder="1" applyAlignment="1">
      <alignment horizontal="center" vertical="center"/>
    </xf>
    <xf numFmtId="0" fontId="7" fillId="0" borderId="0" xfId="0" applyFont="1" applyBorder="1" applyAlignment="1">
      <alignment horizontal="centerContinuous" vertical="top" wrapText="1"/>
    </xf>
    <xf numFmtId="0" fontId="7" fillId="0" borderId="0" xfId="0" applyFont="1" applyBorder="1" applyAlignment="1">
      <alignment horizontal="centerContinuous" vertical="center" wrapText="1"/>
    </xf>
    <xf numFmtId="0" fontId="7" fillId="0" borderId="0" xfId="0" applyFont="1" applyFill="1" applyBorder="1" applyAlignment="1">
      <alignment horizontal="center" vertical="center"/>
    </xf>
    <xf numFmtId="4" fontId="0" fillId="0" borderId="1" xfId="0" applyNumberFormat="1" applyFill="1" applyBorder="1" applyAlignment="1">
      <alignment horizontal="center" vertical="center"/>
    </xf>
    <xf numFmtId="10" fontId="0" fillId="0" borderId="0" xfId="0" applyNumberFormat="1"/>
    <xf numFmtId="166" fontId="1" fillId="0" borderId="0" xfId="0" applyNumberFormat="1" applyFont="1" applyFill="1" applyBorder="1" applyAlignment="1">
      <alignment horizontal="center" vertical="center" wrapText="1"/>
    </xf>
    <xf numFmtId="0" fontId="4" fillId="0" borderId="0" xfId="0" applyFont="1" applyFill="1" applyBorder="1" applyAlignment="1">
      <alignment vertical="center"/>
    </xf>
    <xf numFmtId="4" fontId="13" fillId="0" borderId="0" xfId="0" applyNumberFormat="1" applyFont="1" applyFill="1" applyBorder="1" applyAlignment="1">
      <alignment horizontal="center" vertical="center"/>
    </xf>
    <xf numFmtId="166" fontId="13" fillId="0" borderId="0" xfId="0" applyNumberFormat="1" applyFont="1" applyFill="1" applyBorder="1" applyAlignment="1">
      <alignment horizontal="center" vertical="center"/>
    </xf>
    <xf numFmtId="166" fontId="1" fillId="0" borderId="0" xfId="0" applyNumberFormat="1" applyFont="1" applyFill="1" applyBorder="1" applyAlignment="1">
      <alignment horizontal="center" vertical="center"/>
    </xf>
    <xf numFmtId="4" fontId="0" fillId="7" borderId="3" xfId="0" applyNumberFormat="1" applyFill="1" applyBorder="1" applyAlignment="1">
      <alignment vertical="center"/>
    </xf>
    <xf numFmtId="169" fontId="54" fillId="0" borderId="0" xfId="0" applyNumberFormat="1" applyFont="1"/>
    <xf numFmtId="4" fontId="2" fillId="0" borderId="1" xfId="0" applyNumberFormat="1" applyFont="1" applyFill="1" applyBorder="1" applyAlignment="1">
      <alignment horizontal="center" vertical="center" wrapText="1"/>
    </xf>
    <xf numFmtId="169" fontId="1" fillId="0" borderId="0" xfId="0" applyNumberFormat="1" applyFont="1" applyFill="1" applyBorder="1" applyAlignment="1">
      <alignment horizontal="center" vertical="center"/>
    </xf>
    <xf numFmtId="4" fontId="1" fillId="4" borderId="1" xfId="0" applyNumberFormat="1" applyFont="1" applyFill="1" applyBorder="1" applyAlignment="1">
      <alignment vertical="center"/>
    </xf>
    <xf numFmtId="0" fontId="1" fillId="0" borderId="1" xfId="0" applyFont="1" applyFill="1" applyBorder="1" applyAlignment="1">
      <alignment horizontal="center" vertical="center" wrapText="1"/>
    </xf>
    <xf numFmtId="0" fontId="1" fillId="4" borderId="0" xfId="0" applyFont="1" applyFill="1" applyBorder="1" applyAlignment="1">
      <alignment horizontal="center" vertical="center" wrapText="1"/>
    </xf>
    <xf numFmtId="166" fontId="60" fillId="0" borderId="0" xfId="0" applyNumberFormat="1" applyFont="1" applyBorder="1" applyAlignment="1">
      <alignment horizontal="right" vertical="center"/>
    </xf>
    <xf numFmtId="166" fontId="60" fillId="0" borderId="0" xfId="0" applyNumberFormat="1" applyFont="1" applyAlignment="1">
      <alignment horizontal="right" vertical="center"/>
    </xf>
    <xf numFmtId="14" fontId="2" fillId="0" borderId="0" xfId="0" applyNumberFormat="1" applyFont="1" applyAlignment="1">
      <alignment horizontal="center"/>
    </xf>
    <xf numFmtId="0" fontId="0" fillId="0" borderId="0" xfId="0" applyFill="1" applyAlignment="1">
      <alignment horizontal="center"/>
    </xf>
    <xf numFmtId="2" fontId="2" fillId="0" borderId="1" xfId="0" applyNumberFormat="1" applyFont="1" applyBorder="1" applyAlignment="1">
      <alignment vertical="center"/>
    </xf>
    <xf numFmtId="0" fontId="67" fillId="0" borderId="0" xfId="0" applyFont="1" applyFill="1" applyBorder="1" applyAlignment="1">
      <alignment horizontal="center" vertical="center" wrapText="1"/>
    </xf>
    <xf numFmtId="10" fontId="67" fillId="0" borderId="0" xfId="3" applyNumberFormat="1" applyFont="1" applyBorder="1" applyAlignment="1">
      <alignment horizontal="center" vertical="center"/>
    </xf>
    <xf numFmtId="168" fontId="1" fillId="0" borderId="0" xfId="0" applyNumberFormat="1" applyFont="1" applyBorder="1" applyAlignment="1">
      <alignment vertical="center"/>
    </xf>
    <xf numFmtId="182" fontId="1" fillId="0" borderId="1" xfId="0" applyNumberFormat="1" applyFont="1" applyBorder="1" applyAlignment="1">
      <alignment horizontal="center" vertical="center"/>
    </xf>
    <xf numFmtId="181" fontId="2" fillId="0" borderId="1" xfId="0" applyNumberFormat="1" applyFont="1" applyFill="1" applyBorder="1" applyAlignment="1">
      <alignment horizontal="left" vertical="center" indent="1"/>
    </xf>
    <xf numFmtId="181" fontId="2" fillId="0" borderId="0" xfId="0" applyNumberFormat="1" applyFont="1"/>
    <xf numFmtId="180" fontId="24" fillId="8" borderId="1" xfId="0" applyNumberFormat="1" applyFont="1" applyFill="1" applyBorder="1"/>
    <xf numFmtId="4" fontId="8" fillId="0" borderId="0" xfId="0" applyNumberFormat="1" applyFont="1" applyFill="1" applyBorder="1" applyAlignment="1">
      <alignment vertical="center"/>
    </xf>
    <xf numFmtId="0" fontId="2" fillId="0" borderId="0" xfId="0" applyFont="1" applyAlignment="1">
      <alignment horizontal="center"/>
    </xf>
    <xf numFmtId="176" fontId="2" fillId="0" borderId="1" xfId="0" applyNumberFormat="1" applyFont="1" applyFill="1" applyBorder="1" applyAlignment="1">
      <alignment horizontal="center" vertical="center"/>
    </xf>
    <xf numFmtId="176" fontId="0" fillId="0" borderId="1" xfId="0" applyNumberFormat="1" applyFill="1" applyBorder="1" applyAlignment="1">
      <alignment horizontal="center" vertical="center"/>
    </xf>
    <xf numFmtId="172" fontId="0" fillId="0" borderId="2" xfId="0" applyNumberFormat="1" applyFill="1" applyBorder="1" applyAlignment="1">
      <alignment horizontal="center" vertical="center"/>
    </xf>
    <xf numFmtId="172" fontId="2" fillId="0" borderId="1" xfId="0" applyNumberFormat="1" applyFont="1" applyFill="1" applyBorder="1" applyAlignment="1">
      <alignment horizontal="center" vertical="center"/>
    </xf>
    <xf numFmtId="172" fontId="0" fillId="0" borderId="1" xfId="0" applyNumberFormat="1" applyFill="1" applyBorder="1" applyAlignment="1">
      <alignment horizontal="center" vertical="center"/>
    </xf>
    <xf numFmtId="172" fontId="0" fillId="0" borderId="0" xfId="0" applyNumberFormat="1" applyFill="1" applyBorder="1" applyAlignment="1">
      <alignment horizontal="center" vertical="center"/>
    </xf>
    <xf numFmtId="179" fontId="54" fillId="0" borderId="0" xfId="2" applyNumberFormat="1" applyFont="1" applyAlignment="1">
      <alignment horizontal="center"/>
    </xf>
    <xf numFmtId="183" fontId="1" fillId="0" borderId="0" xfId="3" applyNumberFormat="1" applyFont="1" applyAlignment="1">
      <alignment vertical="center"/>
    </xf>
    <xf numFmtId="169" fontId="2" fillId="0" borderId="1" xfId="0" applyNumberFormat="1" applyFont="1" applyFill="1" applyBorder="1" applyAlignment="1">
      <alignment vertical="center"/>
    </xf>
    <xf numFmtId="0" fontId="0" fillId="0" borderId="1" xfId="0" applyBorder="1"/>
    <xf numFmtId="9" fontId="0" fillId="0" borderId="1" xfId="3" applyFont="1" applyBorder="1"/>
    <xf numFmtId="9" fontId="0" fillId="0" borderId="1" xfId="3" applyNumberFormat="1" applyFont="1" applyBorder="1"/>
    <xf numFmtId="0" fontId="2" fillId="0" borderId="1" xfId="0" applyFont="1" applyBorder="1" applyAlignment="1">
      <alignment horizontal="center" vertical="center"/>
    </xf>
    <xf numFmtId="0" fontId="0" fillId="6" borderId="1" xfId="0" applyFill="1" applyBorder="1"/>
    <xf numFmtId="9" fontId="0" fillId="6" borderId="1" xfId="3" applyFont="1" applyFill="1" applyBorder="1"/>
    <xf numFmtId="174" fontId="0" fillId="0" borderId="5" xfId="0" applyNumberFormat="1" applyBorder="1"/>
    <xf numFmtId="174" fontId="0" fillId="0" borderId="1" xfId="0" applyNumberFormat="1" applyBorder="1"/>
    <xf numFmtId="174" fontId="0" fillId="6" borderId="1" xfId="0" applyNumberFormat="1" applyFill="1" applyBorder="1"/>
    <xf numFmtId="175" fontId="0" fillId="0" borderId="0" xfId="0" applyNumberFormat="1" applyAlignment="1">
      <alignment horizontal="right"/>
    </xf>
    <xf numFmtId="0" fontId="66" fillId="0" borderId="0" xfId="0" applyFont="1"/>
    <xf numFmtId="9" fontId="0" fillId="0" borderId="0" xfId="3" applyFont="1"/>
    <xf numFmtId="178" fontId="0" fillId="0" borderId="0" xfId="3" applyNumberFormat="1" applyFont="1"/>
    <xf numFmtId="4" fontId="60" fillId="0" borderId="0" xfId="0" applyNumberFormat="1" applyFont="1" applyBorder="1" applyAlignment="1">
      <alignment vertical="center"/>
    </xf>
    <xf numFmtId="0" fontId="0" fillId="8" borderId="0" xfId="0" applyFill="1" applyAlignment="1">
      <alignment vertical="center"/>
    </xf>
    <xf numFmtId="0" fontId="24" fillId="0" borderId="0" xfId="0" applyFont="1" applyBorder="1" applyAlignment="1">
      <alignment vertical="center" wrapText="1"/>
    </xf>
    <xf numFmtId="0" fontId="1" fillId="0" borderId="0" xfId="0" applyFont="1" applyBorder="1" applyAlignment="1">
      <alignment horizontal="center" vertical="center"/>
    </xf>
    <xf numFmtId="166" fontId="0" fillId="0" borderId="0" xfId="0" applyNumberFormat="1" applyBorder="1" applyAlignment="1">
      <alignment vertical="center"/>
    </xf>
    <xf numFmtId="174" fontId="1" fillId="7" borderId="1" xfId="0" applyNumberFormat="1" applyFont="1" applyFill="1" applyBorder="1"/>
    <xf numFmtId="0" fontId="0" fillId="8" borderId="1" xfId="0" applyFill="1" applyBorder="1"/>
    <xf numFmtId="174" fontId="0" fillId="8" borderId="1" xfId="0" applyNumberFormat="1" applyFill="1" applyBorder="1"/>
    <xf numFmtId="9" fontId="0" fillId="8" borderId="1" xfId="3" applyFont="1" applyFill="1" applyBorder="1"/>
    <xf numFmtId="172" fontId="69" fillId="0" borderId="0" xfId="0" applyNumberFormat="1" applyFont="1" applyBorder="1" applyAlignment="1">
      <alignment horizontal="center" vertical="center"/>
    </xf>
    <xf numFmtId="0" fontId="2" fillId="0" borderId="0" xfId="0" applyFont="1" applyFill="1" applyBorder="1" applyAlignment="1">
      <alignment horizontal="center" vertical="center"/>
    </xf>
    <xf numFmtId="0" fontId="31" fillId="0" borderId="0" xfId="0" applyFont="1" applyFill="1" applyBorder="1" applyAlignment="1">
      <alignment horizontal="center"/>
    </xf>
    <xf numFmtId="0" fontId="11" fillId="0" borderId="0"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9"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7"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3" borderId="1" xfId="0" applyFont="1" applyFill="1" applyBorder="1" applyAlignment="1">
      <alignment horizontal="center" vertical="center"/>
    </xf>
    <xf numFmtId="0" fontId="35" fillId="4" borderId="1" xfId="0" applyFont="1" applyFill="1" applyBorder="1" applyAlignment="1">
      <alignment horizontal="center" vertical="center" wrapText="1"/>
    </xf>
    <xf numFmtId="0" fontId="34" fillId="5"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9" fillId="4" borderId="0" xfId="1" applyFill="1" applyBorder="1" applyAlignment="1" applyProtection="1">
      <alignment horizontal="center" vertical="center" wrapText="1"/>
    </xf>
    <xf numFmtId="0" fontId="39" fillId="4" borderId="0" xfId="0" applyFont="1" applyFill="1" applyBorder="1" applyAlignment="1">
      <alignment horizontal="center" vertical="center" wrapText="1"/>
    </xf>
    <xf numFmtId="0" fontId="35" fillId="4" borderId="17" xfId="0" applyFont="1" applyFill="1" applyBorder="1" applyAlignment="1">
      <alignment horizontal="left" vertical="center" wrapText="1"/>
    </xf>
    <xf numFmtId="0" fontId="35" fillId="4" borderId="18" xfId="0" applyFont="1" applyFill="1" applyBorder="1" applyAlignment="1">
      <alignment horizontal="left" vertical="center" wrapText="1"/>
    </xf>
    <xf numFmtId="0" fontId="35" fillId="4" borderId="19" xfId="0" applyFont="1" applyFill="1" applyBorder="1" applyAlignment="1">
      <alignment horizontal="left" vertical="center" wrapText="1"/>
    </xf>
    <xf numFmtId="0" fontId="7" fillId="0" borderId="7"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left" vertical="center" wrapText="1"/>
    </xf>
    <xf numFmtId="0" fontId="0" fillId="0" borderId="10" xfId="0" applyBorder="1" applyAlignment="1">
      <alignment horizontal="left" vertical="center" wrapText="1"/>
    </xf>
    <xf numFmtId="0" fontId="0" fillId="0" borderId="9" xfId="0" applyBorder="1" applyAlignment="1">
      <alignment horizontal="left" vertical="center" wrapText="1"/>
    </xf>
    <xf numFmtId="0" fontId="2" fillId="3" borderId="7" xfId="0" applyFont="1" applyFill="1" applyBorder="1" applyAlignment="1">
      <alignment horizontal="center" vertical="center"/>
    </xf>
    <xf numFmtId="0" fontId="2" fillId="3" borderId="9" xfId="0" applyFont="1" applyFill="1" applyBorder="1" applyAlignment="1">
      <alignment horizontal="center" vertical="center"/>
    </xf>
    <xf numFmtId="0" fontId="35" fillId="4" borderId="4" xfId="0" applyFont="1" applyFill="1" applyBorder="1" applyAlignment="1">
      <alignment horizontal="center" vertical="center" wrapText="1"/>
    </xf>
    <xf numFmtId="0" fontId="35" fillId="4" borderId="5" xfId="0" applyFont="1" applyFill="1" applyBorder="1" applyAlignment="1">
      <alignment horizontal="center" vertical="center" wrapText="1"/>
    </xf>
    <xf numFmtId="0" fontId="34" fillId="5" borderId="8" xfId="0" applyFont="1" applyFill="1" applyBorder="1" applyAlignment="1">
      <alignment horizontal="center" vertical="center" wrapText="1"/>
    </xf>
    <xf numFmtId="0" fontId="34" fillId="5" borderId="3" xfId="0" applyFont="1" applyFill="1" applyBorder="1" applyAlignment="1">
      <alignment horizontal="center" vertical="center" wrapText="1"/>
    </xf>
    <xf numFmtId="0" fontId="34" fillId="5" borderId="16" xfId="0" applyFont="1" applyFill="1" applyBorder="1" applyAlignment="1">
      <alignment horizontal="center" vertical="center" wrapText="1"/>
    </xf>
    <xf numFmtId="0" fontId="34" fillId="5" borderId="13" xfId="0" applyFont="1" applyFill="1" applyBorder="1" applyAlignment="1">
      <alignment horizontal="center" vertical="center" wrapText="1"/>
    </xf>
    <xf numFmtId="0" fontId="34" fillId="5" borderId="2" xfId="0" applyFont="1" applyFill="1" applyBorder="1" applyAlignment="1">
      <alignment horizontal="center" vertical="center" wrapText="1"/>
    </xf>
    <xf numFmtId="0" fontId="34" fillId="5" borderId="20" xfId="0" applyFont="1" applyFill="1" applyBorder="1" applyAlignment="1">
      <alignment horizontal="center" vertical="center" wrapText="1"/>
    </xf>
    <xf numFmtId="0" fontId="2" fillId="0" borderId="0" xfId="0" applyFont="1" applyBorder="1" applyAlignment="1">
      <alignment horizontal="center" vertical="center" wrapText="1"/>
    </xf>
    <xf numFmtId="0" fontId="2" fillId="0" borderId="3" xfId="0" applyFont="1" applyBorder="1" applyAlignment="1">
      <alignment horizontal="center" vertical="center" wrapText="1"/>
    </xf>
  </cellXfs>
  <cellStyles count="4">
    <cellStyle name="Hipervínculo" xfId="1" builtinId="8"/>
    <cellStyle name="Millares" xfId="2" builtinId="3"/>
    <cellStyle name="Normal" xfId="0" builtinId="0"/>
    <cellStyle name="Porcentaje" xfId="3" builtinId="5"/>
  </cellStyles>
  <dxfs count="1">
    <dxf>
      <font>
        <b/>
        <i val="0"/>
        <condense val="0"/>
        <extend val="0"/>
        <color indexed="8"/>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color rgb="FF1B46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FF"/>
                </a:solidFill>
                <a:latin typeface="Arial"/>
                <a:ea typeface="Arial"/>
                <a:cs typeface="Arial"/>
              </a:defRPr>
            </a:pPr>
            <a:r>
              <a:rPr lang="es-PE"/>
              <a:t>Tarifas de Electricidad
Sector Comercial - Consumo Mensual de 50 000 kW.h </a:t>
            </a:r>
          </a:p>
        </c:rich>
      </c:tx>
      <c:layout/>
      <c:overlay val="0"/>
      <c:spPr>
        <a:noFill/>
        <a:ln w="25400">
          <a:noFill/>
        </a:ln>
      </c:spPr>
    </c:title>
    <c:autoTitleDeleted val="0"/>
    <c:plotArea>
      <c:layout>
        <c:manualLayout>
          <c:layoutTarget val="inner"/>
          <c:xMode val="edge"/>
          <c:yMode val="edge"/>
          <c:x val="0.10849073262261179"/>
          <c:y val="0.15873376876314646"/>
          <c:w val="0.81132200048214009"/>
          <c:h val="0.61269498216982798"/>
        </c:manualLayout>
      </c:layout>
      <c:barChart>
        <c:barDir val="col"/>
        <c:grouping val="clustered"/>
        <c:varyColors val="0"/>
        <c:ser>
          <c:idx val="1"/>
          <c:order val="0"/>
          <c:tx>
            <c:strRef>
              <c:f>Resumen!$K$25</c:f>
              <c:strCache>
                <c:ptCount val="1"/>
                <c:pt idx="0">
                  <c:v>Comercial</c:v>
                </c:pt>
              </c:strCache>
            </c:strRef>
          </c:tx>
          <c:spPr>
            <a:gradFill>
              <a:gsLst>
                <a:gs pos="0">
                  <a:srgbClr val="0000FF"/>
                </a:gs>
                <a:gs pos="50000">
                  <a:srgbClr val="FFFFFF"/>
                </a:gs>
                <a:gs pos="100000">
                  <a:srgbClr val="0000FF"/>
                </a:gs>
              </a:gsLst>
              <a:lin ang="0" scaled="1"/>
            </a:gradFill>
            <a:ln w="12700">
              <a:solidFill>
                <a:srgbClr val="000000"/>
              </a:solidFill>
              <a:prstDash val="solid"/>
            </a:ln>
          </c:spPr>
          <c:invertIfNegative val="0"/>
          <c:dPt>
            <c:idx val="2"/>
            <c:invertIfNegative val="0"/>
            <c:bubble3D val="0"/>
            <c:spPr>
              <a:gradFill>
                <a:gsLst>
                  <a:gs pos="50500">
                    <a:schemeClr val="bg1"/>
                  </a:gs>
                  <a:gs pos="0">
                    <a:srgbClr val="0000FF"/>
                  </a:gs>
                  <a:gs pos="100000">
                    <a:srgbClr val="0000FF"/>
                  </a:gs>
                </a:gsLst>
                <a:lin ang="0" scaled="1"/>
              </a:gradFill>
              <a:ln w="12700">
                <a:solidFill>
                  <a:srgbClr val="000000"/>
                </a:solidFill>
                <a:prstDash val="solid"/>
              </a:ln>
            </c:spPr>
            <c:extLst>
              <c:ext xmlns:c16="http://schemas.microsoft.com/office/drawing/2014/chart" uri="{C3380CC4-5D6E-409C-BE32-E72D297353CC}">
                <c16:uniqueId val="{00000003-0DDA-4D3C-87AE-113E25CEE194}"/>
              </c:ext>
            </c:extLst>
          </c:dPt>
          <c:dPt>
            <c:idx val="3"/>
            <c:invertIfNegative val="0"/>
            <c:bubble3D val="0"/>
            <c:extLst>
              <c:ext xmlns:c16="http://schemas.microsoft.com/office/drawing/2014/chart" uri="{C3380CC4-5D6E-409C-BE32-E72D297353CC}">
                <c16:uniqueId val="{00000005-0DDA-4D3C-87AE-113E25CEE194}"/>
              </c:ext>
            </c:extLst>
          </c:dPt>
          <c:dPt>
            <c:idx val="4"/>
            <c:invertIfNegative val="0"/>
            <c:bubble3D val="0"/>
            <c:spPr>
              <a:gradFill>
                <a:gsLst>
                  <a:gs pos="50500">
                    <a:schemeClr val="bg1"/>
                  </a:gs>
                  <a:gs pos="0">
                    <a:srgbClr val="0000FF"/>
                  </a:gs>
                  <a:gs pos="100000">
                    <a:srgbClr val="0000FF"/>
                  </a:gs>
                </a:gsLst>
                <a:lin ang="0" scaled="1"/>
              </a:gradFill>
              <a:ln w="12700">
                <a:solidFill>
                  <a:srgbClr val="000000"/>
                </a:solidFill>
                <a:prstDash val="solid"/>
              </a:ln>
            </c:spPr>
            <c:extLst>
              <c:ext xmlns:c16="http://schemas.microsoft.com/office/drawing/2014/chart" uri="{C3380CC4-5D6E-409C-BE32-E72D297353CC}">
                <c16:uniqueId val="{00000006-A0F1-410F-AFC7-6CE79E190C97}"/>
              </c:ext>
            </c:extLst>
          </c:dPt>
          <c:dPt>
            <c:idx val="5"/>
            <c:invertIfNegative val="0"/>
            <c:bubble3D val="0"/>
            <c:spPr>
              <a:gradFill>
                <a:gsLst>
                  <a:gs pos="0">
                    <a:srgbClr val="0000FF"/>
                  </a:gs>
                  <a:gs pos="50000">
                    <a:srgbClr val="FFFFFF"/>
                  </a:gs>
                  <a:gs pos="100000">
                    <a:srgbClr val="0000FF"/>
                  </a:gs>
                </a:gsLst>
                <a:lin ang="0" scaled="1"/>
              </a:gradFill>
              <a:ln w="12700">
                <a:solidFill>
                  <a:srgbClr val="000000"/>
                </a:solidFill>
                <a:prstDash val="solid"/>
              </a:ln>
            </c:spPr>
            <c:extLst>
              <c:ext xmlns:c16="http://schemas.microsoft.com/office/drawing/2014/chart" uri="{C3380CC4-5D6E-409C-BE32-E72D297353CC}">
                <c16:uniqueId val="{00000006-2D44-45FF-8965-8E7417D96D09}"/>
              </c:ext>
            </c:extLst>
          </c:dPt>
          <c:dPt>
            <c:idx val="6"/>
            <c:invertIfNegative val="0"/>
            <c:bubble3D val="0"/>
            <c:spPr>
              <a:solidFill>
                <a:srgbClr val="FF0000"/>
              </a:solidFill>
              <a:ln w="12700">
                <a:solidFill>
                  <a:srgbClr val="000000"/>
                </a:solidFill>
                <a:prstDash val="solid"/>
              </a:ln>
            </c:spPr>
            <c:extLst>
              <c:ext xmlns:c16="http://schemas.microsoft.com/office/drawing/2014/chart" uri="{C3380CC4-5D6E-409C-BE32-E72D297353CC}">
                <c16:uniqueId val="{00000007-F4C0-454E-A032-EDF8026113BF}"/>
              </c:ext>
            </c:extLst>
          </c:dPt>
          <c:dLbls>
            <c:spPr>
              <a:noFill/>
              <a:ln>
                <a:noFill/>
              </a:ln>
              <a:effectLst/>
            </c:spPr>
            <c:txPr>
              <a:bodyPr/>
              <a:lstStyle/>
              <a:p>
                <a:pPr>
                  <a:defRPr sz="800" b="1">
                    <a:solidFill>
                      <a:srgbClr val="FF0000"/>
                    </a:solidFill>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extLst>
                <c:ext xmlns:c15="http://schemas.microsoft.com/office/drawing/2012/chart" uri="{02D57815-91ED-43cb-92C2-25804820EDAC}">
                  <c15:fullRef>
                    <c15:sqref>Resumen!$J$26:$J$40</c15:sqref>
                  </c15:fullRef>
                </c:ext>
              </c:extLst>
              <c:f>Resumen!$J$27:$J$40</c:f>
              <c:strCache>
                <c:ptCount val="14"/>
                <c:pt idx="0">
                  <c:v>Paraguay</c:v>
                </c:pt>
                <c:pt idx="1">
                  <c:v>Argentina</c:v>
                </c:pt>
                <c:pt idx="2">
                  <c:v>Ecuador</c:v>
                </c:pt>
                <c:pt idx="3">
                  <c:v>Brasil</c:v>
                </c:pt>
                <c:pt idx="4">
                  <c:v>Chile</c:v>
                </c:pt>
                <c:pt idx="5">
                  <c:v>Costa Rica</c:v>
                </c:pt>
                <c:pt idx="6">
                  <c:v>Perú</c:v>
                </c:pt>
                <c:pt idx="7">
                  <c:v>Colombia</c:v>
                </c:pt>
                <c:pt idx="8">
                  <c:v>Guatemala</c:v>
                </c:pt>
                <c:pt idx="9">
                  <c:v>Uruguay</c:v>
                </c:pt>
                <c:pt idx="10">
                  <c:v>México</c:v>
                </c:pt>
                <c:pt idx="11">
                  <c:v>Bolivia</c:v>
                </c:pt>
                <c:pt idx="12">
                  <c:v>El Salvador</c:v>
                </c:pt>
                <c:pt idx="13">
                  <c:v>Panamá</c:v>
                </c:pt>
              </c:strCache>
            </c:strRef>
          </c:cat>
          <c:val>
            <c:numRef>
              <c:extLst>
                <c:ext xmlns:c15="http://schemas.microsoft.com/office/drawing/2012/chart" uri="{02D57815-91ED-43cb-92C2-25804820EDAC}">
                  <c15:fullRef>
                    <c15:sqref>Resumen!$K$26:$K$40</c15:sqref>
                  </c15:fullRef>
                </c:ext>
              </c:extLst>
              <c:f>Resumen!$K$27:$K$40</c:f>
              <c:numCache>
                <c:formatCode>#,##0.00</c:formatCode>
                <c:ptCount val="14"/>
                <c:pt idx="0">
                  <c:v>4.4733986225423328</c:v>
                </c:pt>
                <c:pt idx="1">
                  <c:v>5.2313353716197541</c:v>
                </c:pt>
                <c:pt idx="2">
                  <c:v>10.0900476</c:v>
                </c:pt>
                <c:pt idx="3">
                  <c:v>11.826596214780686</c:v>
                </c:pt>
                <c:pt idx="4">
                  <c:v>13.657809936665535</c:v>
                </c:pt>
                <c:pt idx="5">
                  <c:v>14.221188128179731</c:v>
                </c:pt>
                <c:pt idx="6">
                  <c:v>14.944850749581624</c:v>
                </c:pt>
                <c:pt idx="7">
                  <c:v>15.006543917043071</c:v>
                </c:pt>
                <c:pt idx="8">
                  <c:v>16.191866842136921</c:v>
                </c:pt>
                <c:pt idx="9">
                  <c:v>18.169349547970992</c:v>
                </c:pt>
                <c:pt idx="10">
                  <c:v>19.245134976912784</c:v>
                </c:pt>
                <c:pt idx="11">
                  <c:v>19.663706529999679</c:v>
                </c:pt>
                <c:pt idx="12">
                  <c:v>22.217818480600002</c:v>
                </c:pt>
                <c:pt idx="13">
                  <c:v>23.8085332667</c:v>
                </c:pt>
              </c:numCache>
            </c:numRef>
          </c:val>
          <c:extLst>
            <c:ext xmlns:c16="http://schemas.microsoft.com/office/drawing/2014/chart" uri="{C3380CC4-5D6E-409C-BE32-E72D297353CC}">
              <c16:uniqueId val="{00000006-0DDA-4D3C-87AE-113E25CEE194}"/>
            </c:ext>
          </c:extLst>
        </c:ser>
        <c:dLbls>
          <c:showLegendKey val="0"/>
          <c:showVal val="1"/>
          <c:showCatName val="0"/>
          <c:showSerName val="0"/>
          <c:showPercent val="0"/>
          <c:showBubbleSize val="0"/>
        </c:dLbls>
        <c:gapWidth val="150"/>
        <c:axId val="357792864"/>
        <c:axId val="357787376"/>
      </c:barChart>
      <c:catAx>
        <c:axId val="357792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PE"/>
          </a:p>
        </c:txPr>
        <c:crossAx val="357787376"/>
        <c:crosses val="autoZero"/>
        <c:auto val="1"/>
        <c:lblAlgn val="ctr"/>
        <c:lblOffset val="100"/>
        <c:tickLblSkip val="1"/>
        <c:tickMarkSkip val="1"/>
        <c:noMultiLvlLbl val="0"/>
      </c:catAx>
      <c:valAx>
        <c:axId val="357787376"/>
        <c:scaling>
          <c:orientation val="minMax"/>
          <c:max val="40"/>
        </c:scaling>
        <c:delete val="0"/>
        <c:axPos val="l"/>
        <c:title>
          <c:tx>
            <c:rich>
              <a:bodyPr/>
              <a:lstStyle/>
              <a:p>
                <a:pPr>
                  <a:defRPr sz="1075" b="1" i="0" u="none" strike="noStrike" baseline="0">
                    <a:solidFill>
                      <a:srgbClr val="000000"/>
                    </a:solidFill>
                    <a:latin typeface="Arial"/>
                    <a:ea typeface="Arial"/>
                    <a:cs typeface="Arial"/>
                  </a:defRPr>
                </a:pPr>
                <a:r>
                  <a:rPr lang="es-PE"/>
                  <a:t>(ctv.US$/kW.h)</a:t>
                </a:r>
              </a:p>
            </c:rich>
          </c:tx>
          <c:layout>
            <c:manualLayout>
              <c:xMode val="edge"/>
              <c:yMode val="edge"/>
              <c:x val="2.9874213836477998E-2"/>
              <c:y val="0.3910386965376783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PE"/>
          </a:p>
        </c:txPr>
        <c:crossAx val="357792864"/>
        <c:crosses val="autoZero"/>
        <c:crossBetween val="between"/>
        <c:majorUnit val="5"/>
      </c:valAx>
      <c:spPr>
        <a:solidFill>
          <a:srgbClr val="FFFFC0"/>
        </a:solidFill>
        <a:ln w="12700">
          <a:solidFill>
            <a:srgbClr val="000000"/>
          </a:solidFill>
          <a:prstDash val="solid"/>
        </a:ln>
      </c:spPr>
    </c:plotArea>
    <c:plotVisOnly val="1"/>
    <c:dispBlanksAs val="gap"/>
    <c:showDLblsOverMax val="0"/>
  </c:chart>
  <c:spPr>
    <a:noFill/>
    <a:ln w="3175">
      <a:solidFill>
        <a:schemeClr val="bg1">
          <a:lumMod val="85000"/>
        </a:schemeClr>
      </a:solidFill>
      <a:prstDash val="solid"/>
    </a:ln>
  </c:spPr>
  <c:txPr>
    <a:bodyPr/>
    <a:lstStyle/>
    <a:p>
      <a:pPr>
        <a:defRPr sz="1025" b="0" i="0" u="none" strike="noStrike" baseline="0">
          <a:solidFill>
            <a:srgbClr val="000000"/>
          </a:solidFill>
          <a:latin typeface="Arial"/>
          <a:ea typeface="Arial"/>
          <a:cs typeface="Arial"/>
        </a:defRPr>
      </a:pPr>
      <a:endParaRPr lang="es-PE"/>
    </a:p>
  </c:txPr>
  <c:printSettings>
    <c:headerFooter alignWithMargins="0"/>
    <c:pageMargins b="1" l="0.75000000000000022" r="0.75000000000000022" t="1" header="0" footer="0"/>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FF"/>
                </a:solidFill>
                <a:latin typeface="Arial"/>
                <a:ea typeface="Arial"/>
                <a:cs typeface="Arial"/>
              </a:defRPr>
            </a:pPr>
            <a:r>
              <a:rPr lang="es-PE"/>
              <a:t>Tarifas de Electricidad 
Sector Industrial - Consumo Mensual de 500 000 kW.h</a:t>
            </a:r>
          </a:p>
        </c:rich>
      </c:tx>
      <c:layout/>
      <c:overlay val="0"/>
      <c:spPr>
        <a:noFill/>
        <a:ln w="25400">
          <a:noFill/>
        </a:ln>
      </c:spPr>
    </c:title>
    <c:autoTitleDeleted val="0"/>
    <c:plotArea>
      <c:layout>
        <c:manualLayout>
          <c:layoutTarget val="inner"/>
          <c:xMode val="edge"/>
          <c:yMode val="edge"/>
          <c:x val="0.10485149044449706"/>
          <c:y val="0.16148582902848777"/>
          <c:w val="0.84507171403027526"/>
          <c:h val="0.62329752710560815"/>
        </c:manualLayout>
      </c:layout>
      <c:barChart>
        <c:barDir val="col"/>
        <c:grouping val="clustered"/>
        <c:varyColors val="0"/>
        <c:ser>
          <c:idx val="1"/>
          <c:order val="0"/>
          <c:tx>
            <c:strRef>
              <c:f>Resumen!$K$47</c:f>
              <c:strCache>
                <c:ptCount val="1"/>
                <c:pt idx="0">
                  <c:v>Industrial</c:v>
                </c:pt>
              </c:strCache>
            </c:strRef>
          </c:tx>
          <c:spPr>
            <a:gradFill>
              <a:gsLst>
                <a:gs pos="0">
                  <a:srgbClr val="0000FF"/>
                </a:gs>
                <a:gs pos="50000">
                  <a:srgbClr val="FFFFFF"/>
                </a:gs>
                <a:gs pos="100000">
                  <a:srgbClr val="0000FF"/>
                </a:gs>
              </a:gsLst>
              <a:lin ang="0" scaled="1"/>
            </a:gradFill>
            <a:ln w="12700">
              <a:solidFill>
                <a:srgbClr val="000000"/>
              </a:solidFill>
              <a:prstDash val="solid"/>
            </a:ln>
          </c:spPr>
          <c:invertIfNegative val="0"/>
          <c:dPt>
            <c:idx val="1"/>
            <c:invertIfNegative val="0"/>
            <c:bubble3D val="0"/>
            <c:extLst>
              <c:ext xmlns:c16="http://schemas.microsoft.com/office/drawing/2014/chart" uri="{C3380CC4-5D6E-409C-BE32-E72D297353CC}">
                <c16:uniqueId val="{00000003-91FE-42AF-AEC3-EF66D7B58881}"/>
              </c:ext>
            </c:extLst>
          </c:dPt>
          <c:dPt>
            <c:idx val="2"/>
            <c:invertIfNegative val="0"/>
            <c:bubble3D val="0"/>
            <c:extLst>
              <c:ext xmlns:c16="http://schemas.microsoft.com/office/drawing/2014/chart" uri="{C3380CC4-5D6E-409C-BE32-E72D297353CC}">
                <c16:uniqueId val="{00000001-18D6-45E2-B48F-C153CE0A920E}"/>
              </c:ext>
            </c:extLst>
          </c:dPt>
          <c:dPt>
            <c:idx val="3"/>
            <c:invertIfNegative val="0"/>
            <c:bubble3D val="0"/>
            <c:spPr>
              <a:gradFill>
                <a:gsLst>
                  <a:gs pos="0">
                    <a:srgbClr val="0000FF"/>
                  </a:gs>
                  <a:gs pos="50000">
                    <a:srgbClr val="FFFFFF"/>
                  </a:gs>
                  <a:gs pos="100000">
                    <a:srgbClr val="0000FF"/>
                  </a:gs>
                </a:gsLst>
                <a:lin ang="0" scaled="1"/>
              </a:gradFill>
              <a:ln w="12700">
                <a:solidFill>
                  <a:schemeClr val="tx1"/>
                </a:solidFill>
                <a:prstDash val="solid"/>
              </a:ln>
            </c:spPr>
            <c:extLst>
              <c:ext xmlns:c16="http://schemas.microsoft.com/office/drawing/2014/chart" uri="{C3380CC4-5D6E-409C-BE32-E72D297353CC}">
                <c16:uniqueId val="{00000002-18D6-45E2-B48F-C153CE0A920E}"/>
              </c:ext>
            </c:extLst>
          </c:dPt>
          <c:dPt>
            <c:idx val="4"/>
            <c:invertIfNegative val="0"/>
            <c:bubble3D val="0"/>
            <c:extLst>
              <c:ext xmlns:c16="http://schemas.microsoft.com/office/drawing/2014/chart" uri="{C3380CC4-5D6E-409C-BE32-E72D297353CC}">
                <c16:uniqueId val="{00000004-EA53-4B35-96B0-1C69DB1C501A}"/>
              </c:ext>
            </c:extLst>
          </c:dPt>
          <c:dPt>
            <c:idx val="5"/>
            <c:invertIfNegative val="0"/>
            <c:bubble3D val="0"/>
            <c:spPr>
              <a:solidFill>
                <a:srgbClr val="FF0000"/>
              </a:solidFill>
              <a:ln w="12700">
                <a:solidFill>
                  <a:srgbClr val="000000"/>
                </a:solidFill>
                <a:prstDash val="solid"/>
              </a:ln>
            </c:spPr>
            <c:extLst>
              <c:ext xmlns:c16="http://schemas.microsoft.com/office/drawing/2014/chart" uri="{C3380CC4-5D6E-409C-BE32-E72D297353CC}">
                <c16:uniqueId val="{00000005-6CC3-4854-9963-7249904E4DA3}"/>
              </c:ext>
            </c:extLst>
          </c:dPt>
          <c:dLbls>
            <c:spPr>
              <a:noFill/>
              <a:ln>
                <a:noFill/>
              </a:ln>
              <a:effectLst/>
            </c:spPr>
            <c:txPr>
              <a:bodyPr/>
              <a:lstStyle/>
              <a:p>
                <a:pPr>
                  <a:defRPr sz="800" b="1">
                    <a:solidFill>
                      <a:srgbClr val="FF0000"/>
                    </a:solidFill>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extLst>
                <c:ext xmlns:c15="http://schemas.microsoft.com/office/drawing/2012/chart" uri="{02D57815-91ED-43cb-92C2-25804820EDAC}">
                  <c15:fullRef>
                    <c15:sqref>Resumen!$J$48:$J$62</c15:sqref>
                  </c15:fullRef>
                </c:ext>
              </c:extLst>
              <c:f>Resumen!$J$49:$J$62</c:f>
              <c:strCache>
                <c:ptCount val="14"/>
                <c:pt idx="0">
                  <c:v>Paraguay</c:v>
                </c:pt>
                <c:pt idx="1">
                  <c:v>Costa Rica</c:v>
                </c:pt>
                <c:pt idx="2">
                  <c:v>Argentina</c:v>
                </c:pt>
                <c:pt idx="3">
                  <c:v>Chile</c:v>
                </c:pt>
                <c:pt idx="4">
                  <c:v>Ecuador</c:v>
                </c:pt>
                <c:pt idx="5">
                  <c:v>Perú</c:v>
                </c:pt>
                <c:pt idx="6">
                  <c:v>Uruguay</c:v>
                </c:pt>
                <c:pt idx="7">
                  <c:v>Brasil</c:v>
                </c:pt>
                <c:pt idx="8">
                  <c:v>Colombia</c:v>
                </c:pt>
                <c:pt idx="9">
                  <c:v>México</c:v>
                </c:pt>
                <c:pt idx="10">
                  <c:v>Guatemala</c:v>
                </c:pt>
                <c:pt idx="11">
                  <c:v>El Salvador</c:v>
                </c:pt>
                <c:pt idx="12">
                  <c:v>Bolivia</c:v>
                </c:pt>
                <c:pt idx="13">
                  <c:v>Panamá</c:v>
                </c:pt>
              </c:strCache>
            </c:strRef>
          </c:cat>
          <c:val>
            <c:numRef>
              <c:extLst>
                <c:ext xmlns:c15="http://schemas.microsoft.com/office/drawing/2012/chart" uri="{02D57815-91ED-43cb-92C2-25804820EDAC}">
                  <c15:fullRef>
                    <c15:sqref>Resumen!$K$48:$K$62</c15:sqref>
                  </c15:fullRef>
                </c:ext>
              </c:extLst>
              <c:f>Resumen!$K$49:$K$62</c:f>
              <c:numCache>
                <c:formatCode>#,##0.00</c:formatCode>
                <c:ptCount val="14"/>
                <c:pt idx="0">
                  <c:v>3.9754061685102871</c:v>
                </c:pt>
                <c:pt idx="1">
                  <c:v>8.3425739805778338</c:v>
                </c:pt>
                <c:pt idx="2">
                  <c:v>9.6834973897359742</c:v>
                </c:pt>
                <c:pt idx="3">
                  <c:v>10.125178071182097</c:v>
                </c:pt>
                <c:pt idx="4">
                  <c:v>10.910679439999999</c:v>
                </c:pt>
                <c:pt idx="5">
                  <c:v>11.507391592215624</c:v>
                </c:pt>
                <c:pt idx="6">
                  <c:v>11.571972364390168</c:v>
                </c:pt>
                <c:pt idx="7">
                  <c:v>11.826596214780686</c:v>
                </c:pt>
                <c:pt idx="8">
                  <c:v>12.052525060073236</c:v>
                </c:pt>
                <c:pt idx="9">
                  <c:v>13.62410291713341</c:v>
                </c:pt>
                <c:pt idx="10">
                  <c:v>14.083924498287212</c:v>
                </c:pt>
                <c:pt idx="11">
                  <c:v>18.195693311079999</c:v>
                </c:pt>
                <c:pt idx="12">
                  <c:v>18.464315512369133</c:v>
                </c:pt>
                <c:pt idx="13">
                  <c:v>22.522939200000003</c:v>
                </c:pt>
              </c:numCache>
            </c:numRef>
          </c:val>
          <c:extLst>
            <c:ext xmlns:c16="http://schemas.microsoft.com/office/drawing/2014/chart" uri="{C3380CC4-5D6E-409C-BE32-E72D297353CC}">
              <c16:uniqueId val="{00000003-18D6-45E2-B48F-C153CE0A920E}"/>
            </c:ext>
          </c:extLst>
        </c:ser>
        <c:dLbls>
          <c:showLegendKey val="0"/>
          <c:showVal val="1"/>
          <c:showCatName val="0"/>
          <c:showSerName val="0"/>
          <c:showPercent val="0"/>
          <c:showBubbleSize val="0"/>
        </c:dLbls>
        <c:gapWidth val="150"/>
        <c:axId val="357785416"/>
        <c:axId val="357785808"/>
      </c:barChart>
      <c:catAx>
        <c:axId val="35778541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PE"/>
          </a:p>
        </c:txPr>
        <c:crossAx val="357785808"/>
        <c:crosses val="autoZero"/>
        <c:auto val="1"/>
        <c:lblAlgn val="ctr"/>
        <c:lblOffset val="100"/>
        <c:tickLblSkip val="1"/>
        <c:tickMarkSkip val="1"/>
        <c:noMultiLvlLbl val="0"/>
      </c:catAx>
      <c:valAx>
        <c:axId val="357785808"/>
        <c:scaling>
          <c:orientation val="minMax"/>
          <c:max val="30"/>
        </c:scaling>
        <c:delete val="0"/>
        <c:axPos val="l"/>
        <c:title>
          <c:tx>
            <c:rich>
              <a:bodyPr/>
              <a:lstStyle/>
              <a:p>
                <a:pPr>
                  <a:defRPr sz="1025" b="1" i="0" u="none" strike="noStrike" baseline="0">
                    <a:solidFill>
                      <a:srgbClr val="000000"/>
                    </a:solidFill>
                    <a:latin typeface="Arial"/>
                    <a:ea typeface="Arial"/>
                    <a:cs typeface="Arial"/>
                  </a:defRPr>
                </a:pPr>
                <a:r>
                  <a:rPr lang="es-PE"/>
                  <a:t>(ctv.US$/kW.h)</a:t>
                </a:r>
              </a:p>
            </c:rich>
          </c:tx>
          <c:layout>
            <c:manualLayout>
              <c:xMode val="edge"/>
              <c:yMode val="edge"/>
              <c:x val="2.6604068857589994E-2"/>
              <c:y val="0.404990403071017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PE"/>
          </a:p>
        </c:txPr>
        <c:crossAx val="357785416"/>
        <c:crosses val="autoZero"/>
        <c:crossBetween val="between"/>
        <c:majorUnit val="5"/>
      </c:valAx>
      <c:spPr>
        <a:solidFill>
          <a:srgbClr val="FFFFC0"/>
        </a:solidFill>
        <a:ln w="12700">
          <a:solidFill>
            <a:srgbClr val="000000"/>
          </a:solidFill>
          <a:prstDash val="solid"/>
        </a:ln>
      </c:spPr>
    </c:plotArea>
    <c:plotVisOnly val="1"/>
    <c:dispBlanksAs val="gap"/>
    <c:showDLblsOverMax val="0"/>
  </c:chart>
  <c:spPr>
    <a:noFill/>
    <a:ln w="3175">
      <a:solidFill>
        <a:schemeClr val="bg1">
          <a:lumMod val="85000"/>
        </a:schemeClr>
      </a:solidFill>
      <a:prstDash val="solid"/>
    </a:ln>
  </c:spPr>
  <c:txPr>
    <a:bodyPr/>
    <a:lstStyle/>
    <a:p>
      <a:pPr>
        <a:defRPr sz="1025" b="0" i="0" u="none" strike="noStrike" baseline="0">
          <a:solidFill>
            <a:srgbClr val="000000"/>
          </a:solidFill>
          <a:latin typeface="Arial"/>
          <a:ea typeface="Arial"/>
          <a:cs typeface="Arial"/>
        </a:defRPr>
      </a:pPr>
      <a:endParaRPr lang="es-PE"/>
    </a:p>
  </c:txPr>
  <c:printSettings>
    <c:headerFooter alignWithMargins="0"/>
    <c:pageMargins b="1" l="0.75000000000000022" r="0.75000000000000022" t="1" header="0" footer="0"/>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FF"/>
                </a:solidFill>
                <a:latin typeface="Arial"/>
                <a:ea typeface="Arial"/>
                <a:cs typeface="Arial"/>
              </a:defRPr>
            </a:pPr>
            <a:r>
              <a:rPr lang="es-PE"/>
              <a:t>Tarifas de Electricidad 
Sector Residencial - Consumo Mensual de 65 kW.h</a:t>
            </a:r>
          </a:p>
        </c:rich>
      </c:tx>
      <c:layout/>
      <c:overlay val="0"/>
      <c:spPr>
        <a:noFill/>
        <a:ln w="25400">
          <a:noFill/>
        </a:ln>
      </c:spPr>
    </c:title>
    <c:autoTitleDeleted val="0"/>
    <c:plotArea>
      <c:layout>
        <c:manualLayout>
          <c:layoutTarget val="inner"/>
          <c:xMode val="edge"/>
          <c:yMode val="edge"/>
          <c:x val="0.11496062992125992"/>
          <c:y val="0.16674945663635693"/>
          <c:w val="0.82519685039370105"/>
          <c:h val="0.64288166860756268"/>
        </c:manualLayout>
      </c:layout>
      <c:barChart>
        <c:barDir val="col"/>
        <c:grouping val="clustered"/>
        <c:varyColors val="0"/>
        <c:ser>
          <c:idx val="1"/>
          <c:order val="0"/>
          <c:spPr>
            <a:gradFill>
              <a:gsLst>
                <a:gs pos="0">
                  <a:srgbClr val="0000FF"/>
                </a:gs>
                <a:gs pos="50000">
                  <a:srgbClr val="FFFFFF"/>
                </a:gs>
                <a:gs pos="100000">
                  <a:srgbClr val="0000FF"/>
                </a:gs>
              </a:gsLst>
              <a:lin ang="0" scaled="1"/>
            </a:gradFill>
            <a:ln w="12700">
              <a:solidFill>
                <a:srgbClr val="000000"/>
              </a:solidFill>
              <a:prstDash val="solid"/>
            </a:ln>
          </c:spPr>
          <c:invertIfNegative val="0"/>
          <c:dPt>
            <c:idx val="7"/>
            <c:invertIfNegative val="0"/>
            <c:bubble3D val="0"/>
            <c:extLst>
              <c:ext xmlns:c16="http://schemas.microsoft.com/office/drawing/2014/chart" uri="{C3380CC4-5D6E-409C-BE32-E72D297353CC}">
                <c16:uniqueId val="{00000002-21EC-49B8-B921-3A2100AAC9FF}"/>
              </c:ext>
            </c:extLst>
          </c:dPt>
          <c:dPt>
            <c:idx val="8"/>
            <c:invertIfNegative val="0"/>
            <c:bubble3D val="0"/>
            <c:extLst>
              <c:ext xmlns:c16="http://schemas.microsoft.com/office/drawing/2014/chart" uri="{C3380CC4-5D6E-409C-BE32-E72D297353CC}">
                <c16:uniqueId val="{00000003-E38C-429A-9BBF-7B21A6C12964}"/>
              </c:ext>
            </c:extLst>
          </c:dPt>
          <c:dPt>
            <c:idx val="9"/>
            <c:invertIfNegative val="0"/>
            <c:bubble3D val="0"/>
            <c:extLst>
              <c:ext xmlns:c16="http://schemas.microsoft.com/office/drawing/2014/chart" uri="{C3380CC4-5D6E-409C-BE32-E72D297353CC}">
                <c16:uniqueId val="{00000006-888D-402F-B341-383AB5FA7687}"/>
              </c:ext>
            </c:extLst>
          </c:dPt>
          <c:dPt>
            <c:idx val="10"/>
            <c:invertIfNegative val="0"/>
            <c:bubble3D val="0"/>
            <c:spPr>
              <a:solidFill>
                <a:srgbClr val="FF0000"/>
              </a:solidFill>
              <a:ln w="12700">
                <a:solidFill>
                  <a:srgbClr val="000000"/>
                </a:solidFill>
                <a:prstDash val="solid"/>
              </a:ln>
            </c:spPr>
            <c:extLst>
              <c:ext xmlns:c16="http://schemas.microsoft.com/office/drawing/2014/chart" uri="{C3380CC4-5D6E-409C-BE32-E72D297353CC}">
                <c16:uniqueId val="{00000004-C1D8-4CB9-8329-49737D3970C6}"/>
              </c:ext>
            </c:extLst>
          </c:dPt>
          <c:dLbls>
            <c:spPr>
              <a:noFill/>
              <a:ln>
                <a:noFill/>
              </a:ln>
              <a:effectLst/>
            </c:spPr>
            <c:txPr>
              <a:bodyPr/>
              <a:lstStyle/>
              <a:p>
                <a:pPr>
                  <a:defRPr sz="800" b="1">
                    <a:solidFill>
                      <a:srgbClr val="FF0000"/>
                    </a:solidFill>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extLst>
                <c:ext xmlns:c15="http://schemas.microsoft.com/office/drawing/2012/chart" uri="{02D57815-91ED-43cb-92C2-25804820EDAC}">
                  <c15:fullRef>
                    <c15:sqref>Resumen!$D$48:$D$62</c15:sqref>
                  </c15:fullRef>
                </c:ext>
              </c:extLst>
              <c:f>Resumen!$D$49:$D$62</c:f>
              <c:strCache>
                <c:ptCount val="14"/>
                <c:pt idx="0">
                  <c:v>Paraguay</c:v>
                </c:pt>
                <c:pt idx="1">
                  <c:v>Argentina</c:v>
                </c:pt>
                <c:pt idx="2">
                  <c:v>México</c:v>
                </c:pt>
                <c:pt idx="3">
                  <c:v>Brasil</c:v>
                </c:pt>
                <c:pt idx="4">
                  <c:v>Ecuador</c:v>
                </c:pt>
                <c:pt idx="5">
                  <c:v>Colombia</c:v>
                </c:pt>
                <c:pt idx="6">
                  <c:v>Bolivia</c:v>
                </c:pt>
                <c:pt idx="7">
                  <c:v>Costa Rica</c:v>
                </c:pt>
                <c:pt idx="8">
                  <c:v>Chile</c:v>
                </c:pt>
                <c:pt idx="9">
                  <c:v>Panamá</c:v>
                </c:pt>
                <c:pt idx="10">
                  <c:v>Perú</c:v>
                </c:pt>
                <c:pt idx="11">
                  <c:v>Guatemala</c:v>
                </c:pt>
                <c:pt idx="12">
                  <c:v>El Salvador</c:v>
                </c:pt>
                <c:pt idx="13">
                  <c:v>Uruguay</c:v>
                </c:pt>
              </c:strCache>
            </c:strRef>
          </c:cat>
          <c:val>
            <c:numRef>
              <c:extLst>
                <c:ext xmlns:c15="http://schemas.microsoft.com/office/drawing/2012/chart" uri="{02D57815-91ED-43cb-92C2-25804820EDAC}">
                  <c15:fullRef>
                    <c15:sqref>Resumen!$E$48:$E$62</c15:sqref>
                  </c15:fullRef>
                </c:ext>
              </c:extLst>
              <c:f>Resumen!$E$49:$E$62</c:f>
              <c:numCache>
                <c:formatCode>#,##0.00</c:formatCode>
                <c:ptCount val="14"/>
                <c:pt idx="0">
                  <c:v>1.208445753798606</c:v>
                </c:pt>
                <c:pt idx="1">
                  <c:v>3.3876070972029688</c:v>
                </c:pt>
                <c:pt idx="2">
                  <c:v>4.9141355547141226</c:v>
                </c:pt>
                <c:pt idx="3">
                  <c:v>6.2721591687853557</c:v>
                </c:pt>
                <c:pt idx="4">
                  <c:v>6.3523076923076918</c:v>
                </c:pt>
                <c:pt idx="5">
                  <c:v>7.4948139924897212</c:v>
                </c:pt>
                <c:pt idx="6">
                  <c:v>8.9719420007961936</c:v>
                </c:pt>
                <c:pt idx="7">
                  <c:v>11.353189651509286</c:v>
                </c:pt>
                <c:pt idx="8">
                  <c:v>13.100026571085058</c:v>
                </c:pt>
                <c:pt idx="9">
                  <c:v>15.219523876923075</c:v>
                </c:pt>
                <c:pt idx="10">
                  <c:v>16.43285642945407</c:v>
                </c:pt>
                <c:pt idx="11">
                  <c:v>19.979131342534341</c:v>
                </c:pt>
                <c:pt idx="12">
                  <c:v>20.927092307692309</c:v>
                </c:pt>
                <c:pt idx="13">
                  <c:v>31.525584849391102</c:v>
                </c:pt>
              </c:numCache>
            </c:numRef>
          </c:val>
          <c:extLst>
            <c:ext xmlns:c16="http://schemas.microsoft.com/office/drawing/2014/chart" uri="{C3380CC4-5D6E-409C-BE32-E72D297353CC}">
              <c16:uniqueId val="{00000003-21EC-49B8-B921-3A2100AAC9FF}"/>
            </c:ext>
          </c:extLst>
        </c:ser>
        <c:dLbls>
          <c:showLegendKey val="0"/>
          <c:showVal val="1"/>
          <c:showCatName val="0"/>
          <c:showSerName val="0"/>
          <c:showPercent val="0"/>
          <c:showBubbleSize val="0"/>
        </c:dLbls>
        <c:gapWidth val="150"/>
        <c:axId val="357790512"/>
        <c:axId val="357789336"/>
      </c:barChart>
      <c:catAx>
        <c:axId val="357790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PE"/>
          </a:p>
        </c:txPr>
        <c:crossAx val="357789336"/>
        <c:crosses val="autoZero"/>
        <c:auto val="1"/>
        <c:lblAlgn val="ctr"/>
        <c:lblOffset val="100"/>
        <c:tickLblSkip val="1"/>
        <c:tickMarkSkip val="1"/>
        <c:noMultiLvlLbl val="0"/>
      </c:catAx>
      <c:valAx>
        <c:axId val="357789336"/>
        <c:scaling>
          <c:orientation val="minMax"/>
          <c:max val="40"/>
        </c:scaling>
        <c:delete val="0"/>
        <c:axPos val="l"/>
        <c:title>
          <c:tx>
            <c:rich>
              <a:bodyPr/>
              <a:lstStyle/>
              <a:p>
                <a:pPr>
                  <a:defRPr sz="1075" b="1" i="0" u="none" strike="noStrike" baseline="0">
                    <a:solidFill>
                      <a:srgbClr val="000000"/>
                    </a:solidFill>
                    <a:latin typeface="Arial"/>
                    <a:ea typeface="Arial"/>
                    <a:cs typeface="Arial"/>
                  </a:defRPr>
                </a:pPr>
                <a:r>
                  <a:rPr lang="es-PE"/>
                  <a:t>(ctv.US$/kW.h)</a:t>
                </a:r>
              </a:p>
            </c:rich>
          </c:tx>
          <c:layout>
            <c:manualLayout>
              <c:xMode val="edge"/>
              <c:yMode val="edge"/>
              <c:x val="3.6220472440944881E-2"/>
              <c:y val="0.3688895888013998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PE"/>
          </a:p>
        </c:txPr>
        <c:crossAx val="357790512"/>
        <c:crosses val="autoZero"/>
        <c:crossBetween val="between"/>
        <c:majorUnit val="5"/>
      </c:valAx>
      <c:spPr>
        <a:solidFill>
          <a:srgbClr val="FFFFC0"/>
        </a:solidFill>
        <a:ln w="12700">
          <a:solidFill>
            <a:srgbClr val="000000"/>
          </a:solidFill>
          <a:prstDash val="solid"/>
        </a:ln>
      </c:spPr>
    </c:plotArea>
    <c:plotVisOnly val="1"/>
    <c:dispBlanksAs val="gap"/>
    <c:showDLblsOverMax val="0"/>
  </c:chart>
  <c:spPr>
    <a:noFill/>
    <a:ln w="3175">
      <a:solidFill>
        <a:schemeClr val="bg1">
          <a:lumMod val="85000"/>
        </a:schemeClr>
      </a:solidFill>
      <a:prstDash val="solid"/>
    </a:ln>
  </c:spPr>
  <c:txPr>
    <a:bodyPr/>
    <a:lstStyle/>
    <a:p>
      <a:pPr>
        <a:defRPr sz="1025" b="0" i="0" u="none" strike="noStrike" baseline="0">
          <a:solidFill>
            <a:srgbClr val="000000"/>
          </a:solidFill>
          <a:latin typeface="Arial"/>
          <a:ea typeface="Arial"/>
          <a:cs typeface="Arial"/>
        </a:defRPr>
      </a:pPr>
      <a:endParaRPr lang="es-PE"/>
    </a:p>
  </c:txPr>
  <c:printSettings>
    <c:headerFooter alignWithMargins="0"/>
    <c:pageMargins b="1" l="0.75000000000000022" r="0.75000000000000022" t="1" header="0" footer="0"/>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solidFill>
                  <a:srgbClr val="0000FF"/>
                </a:solidFill>
              </a:defRPr>
            </a:pPr>
            <a:r>
              <a:rPr lang="es-PE" sz="1200" b="1">
                <a:solidFill>
                  <a:srgbClr val="0000FF"/>
                </a:solidFill>
              </a:rPr>
              <a:t>Tarifas de Electricidad 
Sector Residencial - Consumo Mensual de 125 kW.h</a:t>
            </a:r>
          </a:p>
        </c:rich>
      </c:tx>
      <c:layout/>
      <c:overlay val="0"/>
      <c:spPr>
        <a:noFill/>
        <a:ln w="25400">
          <a:noFill/>
        </a:ln>
      </c:spPr>
    </c:title>
    <c:autoTitleDeleted val="0"/>
    <c:plotArea>
      <c:layout>
        <c:manualLayout>
          <c:layoutTarget val="inner"/>
          <c:xMode val="edge"/>
          <c:yMode val="edge"/>
          <c:x val="0.1022014147894169"/>
          <c:y val="0.15985967715047444"/>
          <c:w val="0.83805160127321854"/>
          <c:h val="0.62062893848853584"/>
        </c:manualLayout>
      </c:layout>
      <c:barChart>
        <c:barDir val="col"/>
        <c:grouping val="clustered"/>
        <c:varyColors val="0"/>
        <c:ser>
          <c:idx val="1"/>
          <c:order val="0"/>
          <c:spPr>
            <a:gradFill>
              <a:gsLst>
                <a:gs pos="0">
                  <a:srgbClr val="0000FF"/>
                </a:gs>
                <a:gs pos="50000">
                  <a:srgbClr val="FFFFFF"/>
                </a:gs>
                <a:gs pos="100000">
                  <a:srgbClr val="0000FF"/>
                </a:gs>
              </a:gsLst>
              <a:lin ang="0" scaled="1"/>
            </a:gradFill>
            <a:ln w="12700">
              <a:solidFill>
                <a:srgbClr val="000000"/>
              </a:solidFill>
              <a:prstDash val="solid"/>
            </a:ln>
          </c:spPr>
          <c:invertIfNegative val="0"/>
          <c:dPt>
            <c:idx val="9"/>
            <c:invertIfNegative val="0"/>
            <c:bubble3D val="0"/>
            <c:extLst>
              <c:ext xmlns:c16="http://schemas.microsoft.com/office/drawing/2014/chart" uri="{C3380CC4-5D6E-409C-BE32-E72D297353CC}">
                <c16:uniqueId val="{00000003-67A7-4827-8781-520E4B726FBF}"/>
              </c:ext>
            </c:extLst>
          </c:dPt>
          <c:dPt>
            <c:idx val="10"/>
            <c:invertIfNegative val="0"/>
            <c:bubble3D val="0"/>
            <c:spPr>
              <a:solidFill>
                <a:srgbClr val="FF0000"/>
              </a:solidFill>
              <a:ln w="12700">
                <a:solidFill>
                  <a:srgbClr val="000000"/>
                </a:solidFill>
                <a:prstDash val="solid"/>
              </a:ln>
            </c:spPr>
            <c:extLst>
              <c:ext xmlns:c16="http://schemas.microsoft.com/office/drawing/2014/chart" uri="{C3380CC4-5D6E-409C-BE32-E72D297353CC}">
                <c16:uniqueId val="{00000003-2F20-4E7B-8256-0939B241A35A}"/>
              </c:ext>
            </c:extLst>
          </c:dPt>
          <c:dPt>
            <c:idx val="11"/>
            <c:invertIfNegative val="0"/>
            <c:bubble3D val="0"/>
            <c:spPr>
              <a:gradFill>
                <a:gsLst>
                  <a:gs pos="0">
                    <a:srgbClr val="0000FF"/>
                  </a:gs>
                  <a:gs pos="50000">
                    <a:srgbClr val="FFFFFF"/>
                  </a:gs>
                  <a:gs pos="100000">
                    <a:srgbClr val="0000FF"/>
                  </a:gs>
                </a:gsLst>
                <a:lin ang="0" scaled="1"/>
              </a:gradFill>
              <a:ln w="12700">
                <a:solidFill>
                  <a:schemeClr val="tx1"/>
                </a:solidFill>
                <a:prstDash val="solid"/>
              </a:ln>
            </c:spPr>
            <c:extLst>
              <c:ext xmlns:c16="http://schemas.microsoft.com/office/drawing/2014/chart" uri="{C3380CC4-5D6E-409C-BE32-E72D297353CC}">
                <c16:uniqueId val="{00000004-6EC8-446C-9E05-0359A29DB19C}"/>
              </c:ext>
            </c:extLst>
          </c:dPt>
          <c:dLbls>
            <c:spPr>
              <a:noFill/>
              <a:ln>
                <a:noFill/>
              </a:ln>
              <a:effectLst/>
            </c:spPr>
            <c:txPr>
              <a:bodyPr/>
              <a:lstStyle/>
              <a:p>
                <a:pPr>
                  <a:defRPr sz="800" b="1">
                    <a:solidFill>
                      <a:srgbClr val="FF0000"/>
                    </a:solidFill>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extLst>
                <c:ext xmlns:c15="http://schemas.microsoft.com/office/drawing/2012/chart" uri="{02D57815-91ED-43cb-92C2-25804820EDAC}">
                  <c15:fullRef>
                    <c15:sqref>Resumen!$D$70:$D$84</c15:sqref>
                  </c15:fullRef>
                </c:ext>
              </c:extLst>
              <c:f>Resumen!$D$71:$D$84</c:f>
              <c:strCache>
                <c:ptCount val="14"/>
                <c:pt idx="0">
                  <c:v>Paraguay</c:v>
                </c:pt>
                <c:pt idx="1">
                  <c:v>Argentina</c:v>
                </c:pt>
                <c:pt idx="2">
                  <c:v>México</c:v>
                </c:pt>
                <c:pt idx="3">
                  <c:v>Ecuador</c:v>
                </c:pt>
                <c:pt idx="4">
                  <c:v>Brasil</c:v>
                </c:pt>
                <c:pt idx="5">
                  <c:v>Costa Rica</c:v>
                </c:pt>
                <c:pt idx="6">
                  <c:v>Bolivia</c:v>
                </c:pt>
                <c:pt idx="7">
                  <c:v>Chile</c:v>
                </c:pt>
                <c:pt idx="8">
                  <c:v>Colombia</c:v>
                </c:pt>
                <c:pt idx="9">
                  <c:v>Panamá</c:v>
                </c:pt>
                <c:pt idx="10">
                  <c:v>Perú</c:v>
                </c:pt>
                <c:pt idx="11">
                  <c:v>Guatemala</c:v>
                </c:pt>
                <c:pt idx="12">
                  <c:v>El Salvador</c:v>
                </c:pt>
                <c:pt idx="13">
                  <c:v>Uruguay</c:v>
                </c:pt>
              </c:strCache>
            </c:strRef>
          </c:cat>
          <c:val>
            <c:numRef>
              <c:extLst>
                <c:ext xmlns:c15="http://schemas.microsoft.com/office/drawing/2012/chart" uri="{02D57815-91ED-43cb-92C2-25804820EDAC}">
                  <c15:fullRef>
                    <c15:sqref>Resumen!$E$70:$E$84</c15:sqref>
                  </c15:fullRef>
                </c:ext>
              </c:extLst>
              <c:f>Resumen!$E$71:$E$84</c:f>
              <c:numCache>
                <c:formatCode>#,##0.00</c:formatCode>
                <c:ptCount val="14"/>
                <c:pt idx="0">
                  <c:v>2.4168915075972119</c:v>
                </c:pt>
                <c:pt idx="1">
                  <c:v>3.1100429494591308</c:v>
                </c:pt>
                <c:pt idx="2">
                  <c:v>5.3474586898901926</c:v>
                </c:pt>
                <c:pt idx="3">
                  <c:v>7.2312000000000003</c:v>
                </c:pt>
                <c:pt idx="4">
                  <c:v>7.7655303994485347</c:v>
                </c:pt>
                <c:pt idx="5">
                  <c:v>10.049341015219662</c:v>
                </c:pt>
                <c:pt idx="6">
                  <c:v>10.881614762715152</c:v>
                </c:pt>
                <c:pt idx="7">
                  <c:v>12.636051529509826</c:v>
                </c:pt>
                <c:pt idx="8">
                  <c:v>12.729526909413408</c:v>
                </c:pt>
                <c:pt idx="9">
                  <c:v>13.973086775999999</c:v>
                </c:pt>
                <c:pt idx="10">
                  <c:v>15.894514374359341</c:v>
                </c:pt>
                <c:pt idx="11">
                  <c:v>20.0222429842281</c:v>
                </c:pt>
                <c:pt idx="12">
                  <c:v>20.391235200000001</c:v>
                </c:pt>
                <c:pt idx="13">
                  <c:v>24.769083455198714</c:v>
                </c:pt>
              </c:numCache>
            </c:numRef>
          </c:val>
          <c:extLst>
            <c:ext xmlns:c16="http://schemas.microsoft.com/office/drawing/2014/chart" uri="{C3380CC4-5D6E-409C-BE32-E72D297353CC}">
              <c16:uniqueId val="{00000004-67A7-4827-8781-520E4B726FBF}"/>
            </c:ext>
          </c:extLst>
        </c:ser>
        <c:dLbls>
          <c:showLegendKey val="0"/>
          <c:showVal val="1"/>
          <c:showCatName val="0"/>
          <c:showSerName val="0"/>
          <c:showPercent val="0"/>
          <c:showBubbleSize val="0"/>
        </c:dLbls>
        <c:gapWidth val="150"/>
        <c:axId val="357790904"/>
        <c:axId val="357791296"/>
      </c:barChart>
      <c:catAx>
        <c:axId val="357790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a:pPr>
            <a:endParaRPr lang="es-PE"/>
          </a:p>
        </c:txPr>
        <c:crossAx val="357791296"/>
        <c:crosses val="autoZero"/>
        <c:auto val="1"/>
        <c:lblAlgn val="ctr"/>
        <c:lblOffset val="100"/>
        <c:tickLblSkip val="1"/>
        <c:tickMarkSkip val="1"/>
        <c:noMultiLvlLbl val="0"/>
      </c:catAx>
      <c:valAx>
        <c:axId val="357791296"/>
        <c:scaling>
          <c:orientation val="minMax"/>
          <c:max val="35"/>
        </c:scaling>
        <c:delete val="0"/>
        <c:axPos val="l"/>
        <c:title>
          <c:tx>
            <c:rich>
              <a:bodyPr/>
              <a:lstStyle/>
              <a:p>
                <a:pPr>
                  <a:defRPr sz="1000" b="1"/>
                </a:pPr>
                <a:r>
                  <a:rPr lang="es-PE" sz="1000" b="1"/>
                  <a:t>(ctv.US$/kW.h)</a:t>
                </a:r>
              </a:p>
            </c:rich>
          </c:tx>
          <c:layout>
            <c:manualLayout>
              <c:xMode val="edge"/>
              <c:yMode val="edge"/>
              <c:x val="2.1982284031563836E-2"/>
              <c:y val="0.3847596416448769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1"/>
            </a:pPr>
            <a:endParaRPr lang="es-PE"/>
          </a:p>
        </c:txPr>
        <c:crossAx val="357790904"/>
        <c:crosses val="autoZero"/>
        <c:crossBetween val="between"/>
        <c:majorUnit val="5"/>
      </c:valAx>
      <c:spPr>
        <a:solidFill>
          <a:srgbClr val="FFFFC0"/>
        </a:solidFill>
        <a:ln w="12700">
          <a:solidFill>
            <a:srgbClr val="000000"/>
          </a:solidFill>
          <a:prstDash val="solid"/>
        </a:ln>
      </c:spPr>
    </c:plotArea>
    <c:plotVisOnly val="1"/>
    <c:dispBlanksAs val="gap"/>
    <c:showDLblsOverMax val="0"/>
  </c:chart>
  <c:spPr>
    <a:noFill/>
    <a:ln w="3175">
      <a:solidFill>
        <a:schemeClr val="bg1">
          <a:lumMod val="85000"/>
        </a:schemeClr>
      </a:solidFill>
      <a:prstDash val="solid"/>
    </a:ln>
  </c:spPr>
  <c:txPr>
    <a:bodyPr/>
    <a:lstStyle/>
    <a:p>
      <a:pPr>
        <a:defRPr sz="800" b="0" i="0" u="none" strike="noStrike" baseline="0">
          <a:solidFill>
            <a:srgbClr val="000000"/>
          </a:solidFill>
          <a:latin typeface="Arial"/>
          <a:ea typeface="Arial"/>
          <a:cs typeface="Arial"/>
        </a:defRPr>
      </a:pPr>
      <a:endParaRPr lang="es-PE"/>
    </a:p>
  </c:txPr>
  <c:printSettings>
    <c:headerFooter alignWithMargins="0"/>
    <c:pageMargins b="1" l="0.75000000000000022" r="0.75000000000000022" t="1" header="0" footer="0"/>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FF"/>
                </a:solidFill>
                <a:latin typeface="Arial"/>
                <a:ea typeface="Arial"/>
                <a:cs typeface="Arial"/>
              </a:defRPr>
            </a:pPr>
            <a:r>
              <a:rPr lang="es-PE"/>
              <a:t>Tarifas de Electricidad
Sector Residencial - Consumo Mensual de 300 kW.h</a:t>
            </a:r>
          </a:p>
        </c:rich>
      </c:tx>
      <c:layout/>
      <c:overlay val="0"/>
      <c:spPr>
        <a:noFill/>
        <a:ln w="25400">
          <a:noFill/>
        </a:ln>
      </c:spPr>
    </c:title>
    <c:autoTitleDeleted val="0"/>
    <c:plotArea>
      <c:layout>
        <c:manualLayout>
          <c:layoutTarget val="inner"/>
          <c:xMode val="edge"/>
          <c:yMode val="edge"/>
          <c:x val="0.106918403164313"/>
          <c:y val="0.15943213175243157"/>
          <c:w val="0.82390063614853026"/>
          <c:h val="0.61168052341532075"/>
        </c:manualLayout>
      </c:layout>
      <c:barChart>
        <c:barDir val="col"/>
        <c:grouping val="clustered"/>
        <c:varyColors val="0"/>
        <c:ser>
          <c:idx val="1"/>
          <c:order val="0"/>
          <c:spPr>
            <a:gradFill>
              <a:gsLst>
                <a:gs pos="0">
                  <a:srgbClr val="0000FF"/>
                </a:gs>
                <a:gs pos="50000">
                  <a:srgbClr val="FFFFFF"/>
                </a:gs>
                <a:gs pos="100000">
                  <a:srgbClr val="0000FF"/>
                </a:gs>
              </a:gsLst>
              <a:lin ang="0" scaled="1"/>
            </a:gradFill>
            <a:ln w="12700">
              <a:solidFill>
                <a:srgbClr val="000000"/>
              </a:solidFill>
              <a:prstDash val="solid"/>
            </a:ln>
          </c:spPr>
          <c:invertIfNegative val="0"/>
          <c:dPt>
            <c:idx val="7"/>
            <c:invertIfNegative val="0"/>
            <c:bubble3D val="0"/>
            <c:extLst>
              <c:ext xmlns:c16="http://schemas.microsoft.com/office/drawing/2014/chart" uri="{C3380CC4-5D6E-409C-BE32-E72D297353CC}">
                <c16:uniqueId val="{00000003-2A80-44B4-9294-6981DDD2C1E5}"/>
              </c:ext>
            </c:extLst>
          </c:dPt>
          <c:dPt>
            <c:idx val="8"/>
            <c:invertIfNegative val="0"/>
            <c:bubble3D val="0"/>
            <c:extLst>
              <c:ext xmlns:c16="http://schemas.microsoft.com/office/drawing/2014/chart" uri="{C3380CC4-5D6E-409C-BE32-E72D297353CC}">
                <c16:uniqueId val="{00000004-2A80-44B4-9294-6981DDD2C1E5}"/>
              </c:ext>
            </c:extLst>
          </c:dPt>
          <c:dPt>
            <c:idx val="9"/>
            <c:invertIfNegative val="0"/>
            <c:bubble3D val="0"/>
            <c:extLst>
              <c:ext xmlns:c16="http://schemas.microsoft.com/office/drawing/2014/chart" uri="{C3380CC4-5D6E-409C-BE32-E72D297353CC}">
                <c16:uniqueId val="{00000004-AF83-47FC-A394-1A7BB2ABEE4C}"/>
              </c:ext>
            </c:extLst>
          </c:dPt>
          <c:dPt>
            <c:idx val="10"/>
            <c:invertIfNegative val="0"/>
            <c:bubble3D val="0"/>
            <c:spPr>
              <a:solidFill>
                <a:srgbClr val="FF0000"/>
              </a:solidFill>
              <a:ln w="12700">
                <a:solidFill>
                  <a:srgbClr val="000000"/>
                </a:solidFill>
                <a:prstDash val="solid"/>
              </a:ln>
            </c:spPr>
            <c:extLst>
              <c:ext xmlns:c16="http://schemas.microsoft.com/office/drawing/2014/chart" uri="{C3380CC4-5D6E-409C-BE32-E72D297353CC}">
                <c16:uniqueId val="{00000004-4AED-454C-9D6F-86ECCBF0B279}"/>
              </c:ext>
            </c:extLst>
          </c:dPt>
          <c:dLbls>
            <c:spPr>
              <a:noFill/>
              <a:ln>
                <a:noFill/>
              </a:ln>
              <a:effectLst/>
            </c:spPr>
            <c:txPr>
              <a:bodyPr/>
              <a:lstStyle/>
              <a:p>
                <a:pPr>
                  <a:defRPr sz="800" b="1">
                    <a:solidFill>
                      <a:srgbClr val="FF0000"/>
                    </a:solidFill>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extLst>
                <c:ext xmlns:c15="http://schemas.microsoft.com/office/drawing/2012/chart" uri="{02D57815-91ED-43cb-92C2-25804820EDAC}">
                  <c15:fullRef>
                    <c15:sqref>Resumen!$D$91:$D$105</c15:sqref>
                  </c15:fullRef>
                </c:ext>
              </c:extLst>
              <c:f>Resumen!$D$92:$D$105</c:f>
              <c:strCache>
                <c:ptCount val="14"/>
                <c:pt idx="0">
                  <c:v>Paraguay</c:v>
                </c:pt>
                <c:pt idx="1">
                  <c:v>Argentina</c:v>
                </c:pt>
                <c:pt idx="2">
                  <c:v>Bolivia</c:v>
                </c:pt>
                <c:pt idx="3">
                  <c:v>Brasil</c:v>
                </c:pt>
                <c:pt idx="4">
                  <c:v>Ecuador</c:v>
                </c:pt>
                <c:pt idx="5">
                  <c:v>México</c:v>
                </c:pt>
                <c:pt idx="6">
                  <c:v>Chile</c:v>
                </c:pt>
                <c:pt idx="7">
                  <c:v>Colombia</c:v>
                </c:pt>
                <c:pt idx="8">
                  <c:v>Costa Rica</c:v>
                </c:pt>
                <c:pt idx="9">
                  <c:v>Panamá</c:v>
                </c:pt>
                <c:pt idx="10">
                  <c:v>Perú</c:v>
                </c:pt>
                <c:pt idx="11">
                  <c:v>Guatemala</c:v>
                </c:pt>
                <c:pt idx="12">
                  <c:v>El Salvador</c:v>
                </c:pt>
                <c:pt idx="13">
                  <c:v>Uruguay</c:v>
                </c:pt>
              </c:strCache>
            </c:strRef>
          </c:cat>
          <c:val>
            <c:numRef>
              <c:extLst>
                <c:ext xmlns:c15="http://schemas.microsoft.com/office/drawing/2012/chart" uri="{02D57815-91ED-43cb-92C2-25804820EDAC}">
                  <c15:fullRef>
                    <c15:sqref>Resumen!$E$91:$E$105</c15:sqref>
                  </c15:fullRef>
                </c:ext>
              </c:extLst>
              <c:f>Resumen!$E$92:$E$105</c:f>
              <c:numCache>
                <c:formatCode>#,##0.00</c:formatCode>
                <c:ptCount val="14"/>
                <c:pt idx="0">
                  <c:v>5.0487467572745786</c:v>
                </c:pt>
                <c:pt idx="1">
                  <c:v>5.6642310638139959</c:v>
                </c:pt>
                <c:pt idx="2">
                  <c:v>10.198257691357284</c:v>
                </c:pt>
                <c:pt idx="3">
                  <c:v>10.375611450374295</c:v>
                </c:pt>
                <c:pt idx="4">
                  <c:v>10.473466666666669</c:v>
                </c:pt>
                <c:pt idx="5">
                  <c:v>11.575257638100044</c:v>
                </c:pt>
                <c:pt idx="6">
                  <c:v>12.65459096446736</c:v>
                </c:pt>
                <c:pt idx="7">
                  <c:v>14.975914734105803</c:v>
                </c:pt>
                <c:pt idx="8">
                  <c:v>15.219954750208359</c:v>
                </c:pt>
                <c:pt idx="9">
                  <c:v>15.513346140000001</c:v>
                </c:pt>
                <c:pt idx="10">
                  <c:v>15.592894333640098</c:v>
                </c:pt>
                <c:pt idx="11">
                  <c:v>19.338240633408951</c:v>
                </c:pt>
                <c:pt idx="12">
                  <c:v>20.523727000000001</c:v>
                </c:pt>
                <c:pt idx="13">
                  <c:v>21.860218216644416</c:v>
                </c:pt>
              </c:numCache>
            </c:numRef>
          </c:val>
          <c:extLst>
            <c:ext xmlns:c16="http://schemas.microsoft.com/office/drawing/2014/chart" uri="{C3380CC4-5D6E-409C-BE32-E72D297353CC}">
              <c16:uniqueId val="{00000005-2A80-44B4-9294-6981DDD2C1E5}"/>
            </c:ext>
          </c:extLst>
        </c:ser>
        <c:dLbls>
          <c:showLegendKey val="0"/>
          <c:showVal val="1"/>
          <c:showCatName val="0"/>
          <c:showSerName val="0"/>
          <c:showPercent val="0"/>
          <c:showBubbleSize val="0"/>
        </c:dLbls>
        <c:gapWidth val="150"/>
        <c:axId val="353013296"/>
        <c:axId val="353012120"/>
      </c:barChart>
      <c:catAx>
        <c:axId val="353013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PE"/>
          </a:p>
        </c:txPr>
        <c:crossAx val="353012120"/>
        <c:crosses val="autoZero"/>
        <c:auto val="1"/>
        <c:lblAlgn val="ctr"/>
        <c:lblOffset val="100"/>
        <c:tickLblSkip val="1"/>
        <c:tickMarkSkip val="1"/>
        <c:noMultiLvlLbl val="0"/>
      </c:catAx>
      <c:valAx>
        <c:axId val="353012120"/>
        <c:scaling>
          <c:orientation val="minMax"/>
          <c:max val="35"/>
          <c:min val="0"/>
        </c:scaling>
        <c:delete val="0"/>
        <c:axPos val="l"/>
        <c:title>
          <c:tx>
            <c:rich>
              <a:bodyPr/>
              <a:lstStyle/>
              <a:p>
                <a:pPr>
                  <a:defRPr sz="1200" b="1" i="0" u="none" strike="noStrike" baseline="0">
                    <a:solidFill>
                      <a:srgbClr val="000000"/>
                    </a:solidFill>
                    <a:latin typeface="Arial"/>
                    <a:ea typeface="Arial"/>
                    <a:cs typeface="Arial"/>
                  </a:defRPr>
                </a:pPr>
                <a:r>
                  <a:rPr lang="es-PE"/>
                  <a:t>(ctv.US$/kW.h)</a:t>
                </a:r>
              </a:p>
            </c:rich>
          </c:tx>
          <c:layout>
            <c:manualLayout>
              <c:xMode val="edge"/>
              <c:yMode val="edge"/>
              <c:x val="2.0440251572327053E-2"/>
              <c:y val="0.3400006999125111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PE"/>
          </a:p>
        </c:txPr>
        <c:crossAx val="353013296"/>
        <c:crosses val="autoZero"/>
        <c:crossBetween val="between"/>
        <c:majorUnit val="5"/>
      </c:valAx>
      <c:spPr>
        <a:solidFill>
          <a:srgbClr val="FFFFC0"/>
        </a:solidFill>
        <a:ln w="12700">
          <a:solidFill>
            <a:srgbClr val="000000"/>
          </a:solidFill>
          <a:prstDash val="solid"/>
        </a:ln>
      </c:spPr>
    </c:plotArea>
    <c:plotVisOnly val="1"/>
    <c:dispBlanksAs val="gap"/>
    <c:showDLblsOverMax val="0"/>
  </c:chart>
  <c:spPr>
    <a:noFill/>
    <a:ln w="3175">
      <a:solidFill>
        <a:schemeClr val="bg1">
          <a:lumMod val="85000"/>
        </a:schemeClr>
      </a:solidFill>
      <a:prstDash val="solid"/>
    </a:ln>
  </c:spPr>
  <c:txPr>
    <a:bodyPr/>
    <a:lstStyle/>
    <a:p>
      <a:pPr>
        <a:defRPr sz="1025" b="0" i="0" u="none" strike="noStrike" baseline="0">
          <a:solidFill>
            <a:srgbClr val="000000"/>
          </a:solidFill>
          <a:latin typeface="Arial"/>
          <a:ea typeface="Arial"/>
          <a:cs typeface="Arial"/>
        </a:defRPr>
      </a:pPr>
      <a:endParaRPr lang="es-PE"/>
    </a:p>
  </c:txPr>
  <c:printSettings>
    <c:headerFooter alignWithMargins="0"/>
    <c:pageMargins b="1" l="0.75000000000000022" r="0.75000000000000022" t="1" header="0" footer="0"/>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FF"/>
                </a:solidFill>
                <a:latin typeface="Arial"/>
                <a:ea typeface="Arial"/>
                <a:cs typeface="Arial"/>
              </a:defRPr>
            </a:pPr>
            <a:r>
              <a:rPr lang="es-PE"/>
              <a:t>Tarifas de Electricidad 
Sector Residencial - Consumo Mensual de 30 kW.h</a:t>
            </a:r>
          </a:p>
        </c:rich>
      </c:tx>
      <c:layout>
        <c:manualLayout>
          <c:xMode val="edge"/>
          <c:yMode val="edge"/>
          <c:x val="0.22733453068416259"/>
          <c:y val="9.8710323080118661E-3"/>
        </c:manualLayout>
      </c:layout>
      <c:overlay val="0"/>
      <c:spPr>
        <a:noFill/>
        <a:ln w="25400">
          <a:noFill/>
        </a:ln>
      </c:spPr>
    </c:title>
    <c:autoTitleDeleted val="0"/>
    <c:plotArea>
      <c:layout>
        <c:manualLayout>
          <c:layoutTarget val="inner"/>
          <c:xMode val="edge"/>
          <c:yMode val="edge"/>
          <c:x val="0.11496062992125992"/>
          <c:y val="0.15703695311467367"/>
          <c:w val="0.82519685039370105"/>
          <c:h val="0.65259439692340648"/>
        </c:manualLayout>
      </c:layout>
      <c:barChart>
        <c:barDir val="col"/>
        <c:grouping val="clustered"/>
        <c:varyColors val="0"/>
        <c:ser>
          <c:idx val="1"/>
          <c:order val="0"/>
          <c:spPr>
            <a:gradFill>
              <a:gsLst>
                <a:gs pos="0">
                  <a:srgbClr val="0000FF"/>
                </a:gs>
                <a:gs pos="50000">
                  <a:srgbClr val="FFFFFF"/>
                </a:gs>
                <a:gs pos="100000">
                  <a:srgbClr val="0000FF"/>
                </a:gs>
              </a:gsLst>
              <a:lin ang="0" scaled="1"/>
            </a:gradFill>
            <a:ln w="12700">
              <a:solidFill>
                <a:srgbClr val="000000"/>
              </a:solidFill>
              <a:prstDash val="solid"/>
            </a:ln>
          </c:spPr>
          <c:invertIfNegative val="0"/>
          <c:dPt>
            <c:idx val="7"/>
            <c:invertIfNegative val="0"/>
            <c:bubble3D val="0"/>
            <c:spPr>
              <a:gradFill>
                <a:gsLst>
                  <a:gs pos="0">
                    <a:srgbClr val="0000FF"/>
                  </a:gs>
                  <a:gs pos="50000">
                    <a:srgbClr val="FFFFFF"/>
                  </a:gs>
                  <a:gs pos="100000">
                    <a:srgbClr val="0000FF"/>
                  </a:gs>
                </a:gsLst>
                <a:lin ang="0" scaled="1"/>
              </a:gradFill>
              <a:ln>
                <a:solidFill>
                  <a:srgbClr val="000000"/>
                </a:solidFill>
              </a:ln>
            </c:spPr>
            <c:extLst>
              <c:ext xmlns:c16="http://schemas.microsoft.com/office/drawing/2014/chart" uri="{C3380CC4-5D6E-409C-BE32-E72D297353CC}">
                <c16:uniqueId val="{00000002-9E11-4689-873F-430E89492010}"/>
              </c:ext>
            </c:extLst>
          </c:dPt>
          <c:dPt>
            <c:idx val="8"/>
            <c:invertIfNegative val="0"/>
            <c:bubble3D val="0"/>
            <c:extLst>
              <c:ext xmlns:c16="http://schemas.microsoft.com/office/drawing/2014/chart" uri="{C3380CC4-5D6E-409C-BE32-E72D297353CC}">
                <c16:uniqueId val="{00000002-C9A7-4202-9967-557EACF78DB6}"/>
              </c:ext>
            </c:extLst>
          </c:dPt>
          <c:dPt>
            <c:idx val="9"/>
            <c:invertIfNegative val="0"/>
            <c:bubble3D val="0"/>
            <c:spPr>
              <a:solidFill>
                <a:srgbClr val="FF0000"/>
              </a:solidFill>
              <a:ln w="12700">
                <a:solidFill>
                  <a:srgbClr val="000000"/>
                </a:solidFill>
                <a:prstDash val="solid"/>
              </a:ln>
            </c:spPr>
            <c:extLst>
              <c:ext xmlns:c16="http://schemas.microsoft.com/office/drawing/2014/chart" uri="{C3380CC4-5D6E-409C-BE32-E72D297353CC}">
                <c16:uniqueId val="{00000003-2553-4B9B-9B08-B738924EA69C}"/>
              </c:ext>
            </c:extLst>
          </c:dPt>
          <c:dLbls>
            <c:spPr>
              <a:noFill/>
              <a:ln>
                <a:noFill/>
              </a:ln>
              <a:effectLst/>
            </c:spPr>
            <c:txPr>
              <a:bodyPr/>
              <a:lstStyle/>
              <a:p>
                <a:pPr>
                  <a:defRPr sz="800" b="1">
                    <a:solidFill>
                      <a:srgbClr val="FF0000"/>
                    </a:solidFill>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extLst>
                <c:ext xmlns:c15="http://schemas.microsoft.com/office/drawing/2012/chart" uri="{02D57815-91ED-43cb-92C2-25804820EDAC}">
                  <c15:fullRef>
                    <c15:sqref>Resumen!$D$26:$D$40</c15:sqref>
                  </c15:fullRef>
                </c:ext>
              </c:extLst>
              <c:f>Resumen!$D$27:$D$40</c:f>
              <c:strCache>
                <c:ptCount val="14"/>
                <c:pt idx="0">
                  <c:v>Paraguay</c:v>
                </c:pt>
                <c:pt idx="1">
                  <c:v>Argentina</c:v>
                </c:pt>
                <c:pt idx="2">
                  <c:v>Brasil</c:v>
                </c:pt>
                <c:pt idx="3">
                  <c:v>Ecuador</c:v>
                </c:pt>
                <c:pt idx="4">
                  <c:v>México</c:v>
                </c:pt>
                <c:pt idx="5">
                  <c:v>Colombia</c:v>
                </c:pt>
                <c:pt idx="6">
                  <c:v>Bolivia</c:v>
                </c:pt>
                <c:pt idx="7">
                  <c:v>Chile</c:v>
                </c:pt>
                <c:pt idx="8">
                  <c:v>Costa Rica</c:v>
                </c:pt>
                <c:pt idx="9">
                  <c:v>Perú</c:v>
                </c:pt>
                <c:pt idx="10">
                  <c:v>Panamá</c:v>
                </c:pt>
                <c:pt idx="11">
                  <c:v>El Salvador</c:v>
                </c:pt>
                <c:pt idx="12">
                  <c:v>Guatemala</c:v>
                </c:pt>
                <c:pt idx="13">
                  <c:v>Uruguay</c:v>
                </c:pt>
              </c:strCache>
            </c:strRef>
          </c:cat>
          <c:val>
            <c:numRef>
              <c:extLst>
                <c:ext xmlns:c15="http://schemas.microsoft.com/office/drawing/2012/chart" uri="{02D57815-91ED-43cb-92C2-25804820EDAC}">
                  <c15:fullRef>
                    <c15:sqref>Resumen!$E$26:$E$40</c15:sqref>
                  </c15:fullRef>
                </c:ext>
              </c:extLst>
              <c:f>Resumen!$E$27:$E$40</c:f>
              <c:numCache>
                <c:formatCode>#,##0.00</c:formatCode>
                <c:ptCount val="14"/>
                <c:pt idx="0">
                  <c:v>1.0760275360712102</c:v>
                </c:pt>
                <c:pt idx="1">
                  <c:v>4.0622421785247971</c:v>
                </c:pt>
                <c:pt idx="2">
                  <c:v>4.5298927330116454</c:v>
                </c:pt>
                <c:pt idx="3">
                  <c:v>4.7913333333333332</c:v>
                </c:pt>
                <c:pt idx="4">
                  <c:v>4.9141355547141226</c:v>
                </c:pt>
                <c:pt idx="5">
                  <c:v>5.9958495551210422</c:v>
                </c:pt>
                <c:pt idx="6">
                  <c:v>11.034726109919013</c:v>
                </c:pt>
                <c:pt idx="7">
                  <c:v>14.227743686024855</c:v>
                </c:pt>
                <c:pt idx="8">
                  <c:v>14.522266198046566</c:v>
                </c:pt>
                <c:pt idx="9">
                  <c:v>14.633742604152898</c:v>
                </c:pt>
                <c:pt idx="10">
                  <c:v>17.179217599999998</c:v>
                </c:pt>
                <c:pt idx="11">
                  <c:v>22.430683333333334</c:v>
                </c:pt>
                <c:pt idx="12">
                  <c:v>22.609909614915679</c:v>
                </c:pt>
                <c:pt idx="13">
                  <c:v>49.891734394002427</c:v>
                </c:pt>
              </c:numCache>
            </c:numRef>
          </c:val>
          <c:extLst>
            <c:ext xmlns:c16="http://schemas.microsoft.com/office/drawing/2014/chart" uri="{C3380CC4-5D6E-409C-BE32-E72D297353CC}">
              <c16:uniqueId val="{00000002-A81C-493C-AF65-1937E4622D84}"/>
            </c:ext>
          </c:extLst>
        </c:ser>
        <c:dLbls>
          <c:showLegendKey val="0"/>
          <c:showVal val="1"/>
          <c:showCatName val="0"/>
          <c:showSerName val="0"/>
          <c:showPercent val="0"/>
          <c:showBubbleSize val="0"/>
        </c:dLbls>
        <c:gapWidth val="150"/>
        <c:axId val="353011336"/>
        <c:axId val="353009376"/>
      </c:barChart>
      <c:catAx>
        <c:axId val="353011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PE"/>
          </a:p>
        </c:txPr>
        <c:crossAx val="353009376"/>
        <c:crosses val="autoZero"/>
        <c:auto val="1"/>
        <c:lblAlgn val="ctr"/>
        <c:lblOffset val="100"/>
        <c:tickLblSkip val="1"/>
        <c:tickMarkSkip val="1"/>
        <c:noMultiLvlLbl val="0"/>
      </c:catAx>
      <c:valAx>
        <c:axId val="353009376"/>
        <c:scaling>
          <c:orientation val="minMax"/>
          <c:max val="65"/>
        </c:scaling>
        <c:delete val="0"/>
        <c:axPos val="l"/>
        <c:title>
          <c:tx>
            <c:rich>
              <a:bodyPr/>
              <a:lstStyle/>
              <a:p>
                <a:pPr>
                  <a:defRPr sz="1075" b="1" i="0" u="none" strike="noStrike" baseline="0">
                    <a:solidFill>
                      <a:srgbClr val="000000"/>
                    </a:solidFill>
                    <a:latin typeface="Arial"/>
                    <a:ea typeface="Arial"/>
                    <a:cs typeface="Arial"/>
                  </a:defRPr>
                </a:pPr>
                <a:r>
                  <a:rPr lang="es-PE"/>
                  <a:t>(ctv.US$/kW.h)</a:t>
                </a:r>
              </a:p>
            </c:rich>
          </c:tx>
          <c:layout>
            <c:manualLayout>
              <c:xMode val="edge"/>
              <c:yMode val="edge"/>
              <c:x val="3.6220472440944881E-2"/>
              <c:y val="0.3688895888013998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PE"/>
          </a:p>
        </c:txPr>
        <c:crossAx val="353011336"/>
        <c:crosses val="autoZero"/>
        <c:crossBetween val="between"/>
        <c:majorUnit val="5"/>
      </c:valAx>
      <c:spPr>
        <a:solidFill>
          <a:srgbClr val="FFFFC0"/>
        </a:solidFill>
        <a:ln w="12700">
          <a:solidFill>
            <a:srgbClr val="000000"/>
          </a:solidFill>
          <a:prstDash val="solid"/>
        </a:ln>
      </c:spPr>
    </c:plotArea>
    <c:plotVisOnly val="1"/>
    <c:dispBlanksAs val="gap"/>
    <c:showDLblsOverMax val="0"/>
  </c:chart>
  <c:spPr>
    <a:noFill/>
    <a:ln w="3175">
      <a:solidFill>
        <a:schemeClr val="bg1">
          <a:lumMod val="85000"/>
        </a:schemeClr>
      </a:solidFill>
      <a:prstDash val="solid"/>
    </a:ln>
  </c:spPr>
  <c:txPr>
    <a:bodyPr/>
    <a:lstStyle/>
    <a:p>
      <a:pPr>
        <a:defRPr sz="1025" b="0" i="0" u="none" strike="noStrike" baseline="0">
          <a:solidFill>
            <a:srgbClr val="000000"/>
          </a:solidFill>
          <a:latin typeface="Arial"/>
          <a:ea typeface="Arial"/>
          <a:cs typeface="Arial"/>
        </a:defRPr>
      </a:pPr>
      <a:endParaRPr lang="es-PE"/>
    </a:p>
  </c:txPr>
  <c:printSettings>
    <c:headerFooter alignWithMargins="0"/>
    <c:pageMargins b="1" l="0.75000000000000022" r="0.75000000000000022"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39</xdr:col>
          <xdr:colOff>0</xdr:colOff>
          <xdr:row>205</xdr:row>
          <xdr:rowOff>0</xdr:rowOff>
        </xdr:from>
        <xdr:to>
          <xdr:col>46</xdr:col>
          <xdr:colOff>66677</xdr:colOff>
          <xdr:row>209</xdr:row>
          <xdr:rowOff>133350</xdr:rowOff>
        </xdr:to>
        <xdr:pic>
          <xdr:nvPicPr>
            <xdr:cNvPr id="14114" name="Picture 1">
              <a:extLst>
                <a:ext uri="{FF2B5EF4-FFF2-40B4-BE49-F238E27FC236}">
                  <a16:creationId xmlns:a16="http://schemas.microsoft.com/office/drawing/2014/main" id="{00000000-0008-0000-0100-000022370000}"/>
                </a:ext>
              </a:extLst>
            </xdr:cNvPr>
            <xdr:cNvPicPr>
              <a:picLocks noChangeAspect="1" noChangeArrowheads="1"/>
              <a:extLst>
                <a:ext uri="{84589F7E-364E-4C9E-8A38-B11213B215E9}">
                  <a14:cameraTool cellRange="#REF!" spid="_x0000_s24241"/>
                </a:ext>
              </a:extLst>
            </xdr:cNvPicPr>
          </xdr:nvPicPr>
          <xdr:blipFill>
            <a:blip xmlns:r="http://schemas.openxmlformats.org/officeDocument/2006/relationships" r:embed="rId1">
              <a:extLst>
                <a:ext uri="{28A0092B-C50C-407E-A947-70E740481C1C}">
                  <a14:useLocalDpi val="0"/>
                </a:ext>
              </a:extLst>
            </a:blip>
            <a:srcRect/>
            <a:stretch>
              <a:fillRect/>
            </a:stretch>
          </xdr:blipFill>
          <xdr:spPr bwMode="auto">
            <a:xfrm>
              <a:off x="23622000" y="40290750"/>
              <a:ext cx="4381500" cy="981075"/>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784410</xdr:colOff>
      <xdr:row>33</xdr:row>
      <xdr:rowOff>78443</xdr:rowOff>
    </xdr:from>
    <xdr:to>
      <xdr:col>11</xdr:col>
      <xdr:colOff>212912</xdr:colOff>
      <xdr:row>70</xdr:row>
      <xdr:rowOff>78444</xdr:rowOff>
    </xdr:to>
    <xdr:pic>
      <xdr:nvPicPr>
        <xdr:cNvPr id="2" name="Imagen 1"/>
        <xdr:cNvPicPr>
          <a:picLocks noChangeAspect="1"/>
        </xdr:cNvPicPr>
      </xdr:nvPicPr>
      <xdr:blipFill rotWithShape="1">
        <a:blip xmlns:r="http://schemas.openxmlformats.org/officeDocument/2006/relationships" r:embed="rId1"/>
        <a:srcRect l="52518" t="10349" r="5627" b="33216"/>
        <a:stretch/>
      </xdr:blipFill>
      <xdr:spPr>
        <a:xfrm>
          <a:off x="6992469" y="5580531"/>
          <a:ext cx="7653619" cy="58046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78439</xdr:colOff>
      <xdr:row>108</xdr:row>
      <xdr:rowOff>59391</xdr:rowOff>
    </xdr:from>
    <xdr:to>
      <xdr:col>8</xdr:col>
      <xdr:colOff>695325</xdr:colOff>
      <xdr:row>133</xdr:row>
      <xdr:rowOff>114301</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86287</xdr:colOff>
      <xdr:row>135</xdr:row>
      <xdr:rowOff>43142</xdr:rowOff>
    </xdr:from>
    <xdr:to>
      <xdr:col>8</xdr:col>
      <xdr:colOff>685800</xdr:colOff>
      <xdr:row>160</xdr:row>
      <xdr:rowOff>123825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28576</xdr:colOff>
      <xdr:row>27</xdr:row>
      <xdr:rowOff>31938</xdr:rowOff>
    </xdr:from>
    <xdr:to>
      <xdr:col>8</xdr:col>
      <xdr:colOff>704850</xdr:colOff>
      <xdr:row>52</xdr:row>
      <xdr:rowOff>123825</xdr:rowOff>
    </xdr:to>
    <xdr:graphicFrame macro="">
      <xdr:nvGraphicFramePr>
        <xdr:cNvPr id="4" name="Chart 4">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57709</xdr:colOff>
      <xdr:row>54</xdr:row>
      <xdr:rowOff>50427</xdr:rowOff>
    </xdr:from>
    <xdr:to>
      <xdr:col>8</xdr:col>
      <xdr:colOff>714374</xdr:colOff>
      <xdr:row>79</xdr:row>
      <xdr:rowOff>127186</xdr:rowOff>
    </xdr:to>
    <xdr:graphicFrame macro="">
      <xdr:nvGraphicFramePr>
        <xdr:cNvPr id="5" name="Chart 5">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56028</xdr:colOff>
      <xdr:row>81</xdr:row>
      <xdr:rowOff>43144</xdr:rowOff>
    </xdr:from>
    <xdr:to>
      <xdr:col>8</xdr:col>
      <xdr:colOff>714375</xdr:colOff>
      <xdr:row>106</xdr:row>
      <xdr:rowOff>142876</xdr:rowOff>
    </xdr:to>
    <xdr:graphicFrame macro="">
      <xdr:nvGraphicFramePr>
        <xdr:cNvPr id="6" name="Chart 11">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44824</xdr:colOff>
      <xdr:row>0</xdr:row>
      <xdr:rowOff>76200</xdr:rowOff>
    </xdr:from>
    <xdr:to>
      <xdr:col>8</xdr:col>
      <xdr:colOff>704850</xdr:colOff>
      <xdr:row>25</xdr:row>
      <xdr:rowOff>123825</xdr:rowOff>
    </xdr:to>
    <xdr:graphicFrame macro="">
      <xdr:nvGraphicFramePr>
        <xdr:cNvPr id="7" name="Chart 4">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rgentina.gob.ar/enre/cuadros_tarifarios" TargetMode="External"/><Relationship Id="rId13" Type="http://schemas.openxmlformats.org/officeDocument/2006/relationships/comments" Target="../comments1.xml"/><Relationship Id="rId3" Type="http://schemas.openxmlformats.org/officeDocument/2006/relationships/hyperlink" Target="https://www.ande.gov.py/docs/tarifas/PLIEGO21.pdf" TargetMode="External"/><Relationship Id="rId7" Type="http://schemas.openxmlformats.org/officeDocument/2006/relationships/hyperlink" Target="https://www.ande.gov.py/tarifas_vigentes.php" TargetMode="External"/><Relationship Id="rId12" Type="http://schemas.openxmlformats.org/officeDocument/2006/relationships/vmlDrawing" Target="../drawings/vmlDrawing1.vml"/><Relationship Id="rId2" Type="http://schemas.openxmlformats.org/officeDocument/2006/relationships/hyperlink" Target="http://www.aneel.gov.br/ranking-das-tarifas" TargetMode="External"/><Relationship Id="rId1" Type="http://schemas.openxmlformats.org/officeDocument/2006/relationships/hyperlink" Target="http://www.enre.gov.ar/web/TARIFASD.nsf/5d63fd5a0c692b5003256e9b005ea0aa/" TargetMode="External"/><Relationship Id="rId6" Type="http://schemas.openxmlformats.org/officeDocument/2006/relationships/hyperlink" Target="https://sawi.aetn.gob.bo/docfly/app/webroot/uploads/IMG-REVISION_ORDINARIA_TARIFAS-cmedrano-2020-01-17-AETN-R-1123-27-2019-ET-DELAPAZ.pdf" TargetMode="External"/><Relationship Id="rId11" Type="http://schemas.openxmlformats.org/officeDocument/2006/relationships/drawing" Target="../drawings/drawing1.xml"/><Relationship Id="rId5" Type="http://schemas.openxmlformats.org/officeDocument/2006/relationships/hyperlink" Target="https://www.aetn.gob.bo/acoe/Categorias/index/?sigla=DELAPAZ&amp;logo_dir=img--empresas--delapaz.png&amp;razon_social=Distribuidora%20de%20Electricidad%20La%20Paz%20S.A.&amp;sistema=SIN" TargetMode="External"/><Relationship Id="rId10" Type="http://schemas.openxmlformats.org/officeDocument/2006/relationships/printerSettings" Target="../printerSettings/printerSettings2.bin"/><Relationship Id="rId4" Type="http://schemas.openxmlformats.org/officeDocument/2006/relationships/hyperlink" Target="https://www.aetn.gob.bo/web/main?mid=1&amp;cid=30" TargetMode="External"/><Relationship Id="rId9" Type="http://schemas.openxmlformats.org/officeDocument/2006/relationships/hyperlink" Target="http://www.aneel.gov.br/aplicacoes/tarifaAplicada/index.cf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ec.europa.eu/budget/contracts_grants/info_contracts/inforeuro/index_en.cfm" TargetMode="External"/><Relationship Id="rId2" Type="http://schemas.openxmlformats.org/officeDocument/2006/relationships/hyperlink" Target="http://ec.europa.eu/budget/contracts_grants/info_contracts/inforeuro/index_en.cfm" TargetMode="External"/><Relationship Id="rId1" Type="http://schemas.openxmlformats.org/officeDocument/2006/relationships/hyperlink" Target="http://ec.europa.eu/budget/inforeuro/index.cfm?Language=en"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ec.europa.eu/info/funding-tenders/procedures-guidelines-tenders/information-contractors-and-beneficiaries/exchange-rate-inforeuro_en"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3" Type="http://schemas.openxmlformats.org/officeDocument/2006/relationships/hyperlink" Target="https://app.powerbi.com/view?r=eyJrIjoiZDFmMzIzM2QtM2EyNi00YjkyLWIxNDMtYTU4NTI0NWIyNTI5IiwidCI6IjQwZDZmOWI4LWVjYTctNDZhMi05MmQ0LWVhNGU5YzAxNzBlMSIsImMiOjR9" TargetMode="External"/><Relationship Id="rId18" Type="http://schemas.openxmlformats.org/officeDocument/2006/relationships/hyperlink" Target="https://www.cnee.gob.gt/Calculadora/pliegos.php" TargetMode="External"/><Relationship Id="rId26" Type="http://schemas.openxmlformats.org/officeDocument/2006/relationships/hyperlink" Target="https://www.enel.cl/es/clientes/tarifas-y-regulacion/tarifas.html" TargetMode="External"/><Relationship Id="rId3" Type="http://schemas.openxmlformats.org/officeDocument/2006/relationships/hyperlink" Target="http://www.regulacionelectrica.gob.ec/tarifas-del-sector-electrico/" TargetMode="External"/><Relationship Id="rId21" Type="http://schemas.openxmlformats.org/officeDocument/2006/relationships/hyperlink" Target="https://www.controlrecursosyenergia.gob.ec/servicio-publico-de-energia-electrica-spee/" TargetMode="External"/><Relationship Id="rId34" Type="http://schemas.openxmlformats.org/officeDocument/2006/relationships/hyperlink" Target="https://www.grupoice.com/wps/portal/ICE/electricidad/servicioss/residenciales" TargetMode="External"/><Relationship Id="rId7" Type="http://schemas.openxmlformats.org/officeDocument/2006/relationships/hyperlink" Target="https://www.asep.gob.pa/?page_id=12682" TargetMode="External"/><Relationship Id="rId12" Type="http://schemas.openxmlformats.org/officeDocument/2006/relationships/hyperlink" Target="https://sawi.aetn.gob.bo/docfly/app/webroot/uploads/IMG-REVISION_ORDINARIA_TARIFAS-cmedrano-2020-01-17-AETN-R-1123-27-2019-ET-DELAPAZ.pdf" TargetMode="External"/><Relationship Id="rId17" Type="http://schemas.openxmlformats.org/officeDocument/2006/relationships/hyperlink" Target="http://www.cnee.gob.gt/Calculadora/index3.php" TargetMode="External"/><Relationship Id="rId25" Type="http://schemas.openxmlformats.org/officeDocument/2006/relationships/hyperlink" Target="https://www.neoenergiabrasilia.com.br/residencial-e-rural/Paginas/tarifas.aspx" TargetMode="External"/><Relationship Id="rId33" Type="http://schemas.openxmlformats.org/officeDocument/2006/relationships/hyperlink" Target="https://app.cfe.mx/Aplicaciones/CCFE/Tarifas/TarifasCRECasa/Tarifas/Tarifa1.aspx" TargetMode="External"/><Relationship Id="rId2" Type="http://schemas.openxmlformats.org/officeDocument/2006/relationships/hyperlink" Target="https://www.ae.gob.bo/acoe/principals" TargetMode="External"/><Relationship Id="rId16" Type="http://schemas.openxmlformats.org/officeDocument/2006/relationships/hyperlink" Target="https://www.aes-elsalvador.com/es/tarifas-vigentes" TargetMode="External"/><Relationship Id="rId20" Type="http://schemas.openxmlformats.org/officeDocument/2006/relationships/hyperlink" Target="http://www.corpoelec.gob.ve/sites/default/files/Oficinas/Tarifas.php" TargetMode="External"/><Relationship Id="rId29" Type="http://schemas.openxmlformats.org/officeDocument/2006/relationships/hyperlink" Target="https://www.osinergmin.gob.pe/Tarifas/Electricidad/PliegoTarifario?Id=150000" TargetMode="External"/><Relationship Id="rId1" Type="http://schemas.openxmlformats.org/officeDocument/2006/relationships/hyperlink" Target="https://www.argentina.gob.ar/enre/tarifas" TargetMode="External"/><Relationship Id="rId6" Type="http://schemas.openxmlformats.org/officeDocument/2006/relationships/hyperlink" Target="http://www.cnee.gob.gt/Calculadora/pliegos.php" TargetMode="External"/><Relationship Id="rId11" Type="http://schemas.openxmlformats.org/officeDocument/2006/relationships/hyperlink" Target="https://www.aetn.gob.bo/acoe/Categorias/index/?sigla=DELAPAZ&amp;logo_dir=img--empresas--delapaz.png&amp;razon_social=Distribuidora%20de%20Electricidad%20La%20Paz%20S.A.&amp;sistema=SIN" TargetMode="External"/><Relationship Id="rId24" Type="http://schemas.openxmlformats.org/officeDocument/2006/relationships/hyperlink" Target="https://www.aetn.gob.bo/acoe/Categorias/index/?sigla=DELAPAZ&amp;logo_dir=img--empresas--delapaz.png&amp;razon_social=Distribuidora%20de%20Electricidad%20La%20Paz%20S.A.&amp;sistema=SIN" TargetMode="External"/><Relationship Id="rId32" Type="http://schemas.openxmlformats.org/officeDocument/2006/relationships/hyperlink" Target="http://www.grupoice.com/wps/portal/" TargetMode="External"/><Relationship Id="rId5" Type="http://schemas.openxmlformats.org/officeDocument/2006/relationships/hyperlink" Target="https://portal.ute.com.uy/clientes/mi-factura/precios-actuales" TargetMode="External"/><Relationship Id="rId15" Type="http://schemas.openxmlformats.org/officeDocument/2006/relationships/hyperlink" Target="https://aresep.go.cr/electricidad/index.php?option=com_content&amp;view=article&amp;id=1860&amp;catid=58&amp;Itemid=639" TargetMode="External"/><Relationship Id="rId23" Type="http://schemas.openxmlformats.org/officeDocument/2006/relationships/hyperlink" Target="https://app.cfe.mx/Aplicaciones/CCFE/Tarifas/TarifasCREIndustria/Tarifas/GranDemandaMTH.aspx" TargetMode="External"/><Relationship Id="rId28" Type="http://schemas.openxmlformats.org/officeDocument/2006/relationships/hyperlink" Target="https://www.osinergmin.gob.pe/seccion/institucional/regulacion-tarifaria/pliegos-tarifarios/electricidad/pliegos-tarifiarios-cliente-final" TargetMode="External"/><Relationship Id="rId10" Type="http://schemas.openxmlformats.org/officeDocument/2006/relationships/hyperlink" Target="https://ec.europa.eu/info/funding-tenders/procedures-guidelines-tenders/information-contractors-and-beneficiaries/exchange-rate-inforeuro_en" TargetMode="External"/><Relationship Id="rId19" Type="http://schemas.openxmlformats.org/officeDocument/2006/relationships/hyperlink" Target="https://www.regulacionelectrica.gob.ec/resoluciones-pliegos-tarifarios/" TargetMode="External"/><Relationship Id="rId31" Type="http://schemas.openxmlformats.org/officeDocument/2006/relationships/hyperlink" Target="http://www.aneel.gov.br/aplicacoes/tarifaAplicada/index.cfm" TargetMode="External"/><Relationship Id="rId4" Type="http://schemas.openxmlformats.org/officeDocument/2006/relationships/hyperlink" Target="http://www.ande.gov.py/tarifas_vigentes.php" TargetMode="External"/><Relationship Id="rId9" Type="http://schemas.openxmlformats.org/officeDocument/2006/relationships/hyperlink" Target="https://www.argentina.gob.ar/enre/cuadros_tarifarios" TargetMode="External"/><Relationship Id="rId14" Type="http://schemas.openxmlformats.org/officeDocument/2006/relationships/hyperlink" Target="https://www.enel.cl/es/clientes/informacion-util/tarifas-y-reglamentos/tarifas.html" TargetMode="External"/><Relationship Id="rId22" Type="http://schemas.openxmlformats.org/officeDocument/2006/relationships/hyperlink" Target="https://app.cfe.mx/Aplicaciones/CCFE/Tarifas/TarifasCRENegocio/Tarifas/GranDemandaBT.aspx" TargetMode="External"/><Relationship Id="rId27" Type="http://schemas.openxmlformats.org/officeDocument/2006/relationships/hyperlink" Target="https://www.enel.com.co/es/personas/tarifas-energia-enel-codensa.html" TargetMode="External"/><Relationship Id="rId30" Type="http://schemas.openxmlformats.org/officeDocument/2006/relationships/hyperlink" Target="https://aresep.go.cr/electricidad/tarifas" TargetMode="External"/><Relationship Id="rId8" Type="http://schemas.openxmlformats.org/officeDocument/2006/relationships/hyperlink" Target="http://ec.europa.eu/budget/inforeuro/index.cfm?Language=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128"/>
  <sheetViews>
    <sheetView showGridLines="0" zoomScale="85" zoomScaleNormal="85" zoomScaleSheetLayoutView="85" workbookViewId="0">
      <selection activeCell="A67" sqref="A67"/>
    </sheetView>
  </sheetViews>
  <sheetFormatPr baseColWidth="10" defaultColWidth="11.42578125" defaultRowHeight="12.75"/>
  <cols>
    <col min="1" max="1" width="6" style="6" customWidth="1"/>
    <col min="2" max="2" width="13.28515625" style="34" customWidth="1"/>
    <col min="3" max="4" width="15.7109375" style="34" customWidth="1"/>
    <col min="5" max="8" width="14.7109375" style="34" customWidth="1"/>
    <col min="9" max="9" width="12.85546875" style="34" customWidth="1"/>
    <col min="10" max="11" width="14.7109375" style="34" customWidth="1"/>
    <col min="12" max="12" width="50.85546875" style="34" customWidth="1"/>
    <col min="13" max="13" width="68.85546875" style="34" customWidth="1"/>
    <col min="14" max="14" width="11.42578125" style="6"/>
    <col min="15" max="23" width="10.85546875"/>
    <col min="24" max="45" width="11.42578125" style="6"/>
    <col min="46" max="46" width="3.5703125" style="6" customWidth="1"/>
    <col min="47" max="51" width="11.42578125" style="6"/>
    <col min="52" max="52" width="4.7109375" style="6" customWidth="1"/>
    <col min="53" max="57" width="11.42578125" style="6"/>
    <col min="58" max="58" width="3.5703125" style="6" customWidth="1"/>
    <col min="59" max="60" width="11.42578125" style="6"/>
    <col min="61" max="61" width="11.42578125" style="34"/>
    <col min="62" max="63" width="11.42578125" style="6"/>
    <col min="64" max="64" width="4.7109375" style="6" customWidth="1"/>
    <col min="65" max="66" width="11.42578125" style="6"/>
    <col min="67" max="67" width="11.42578125" style="34"/>
    <col min="68" max="69" width="11.42578125" style="6"/>
    <col min="70" max="70" width="4.7109375" style="6" customWidth="1"/>
    <col min="71" max="82" width="11.42578125" style="6"/>
    <col min="83" max="83" width="5" style="6" customWidth="1"/>
    <col min="84" max="16384" width="11.42578125" style="6"/>
  </cols>
  <sheetData>
    <row r="1" spans="1:14">
      <c r="B1" s="331">
        <v>44896</v>
      </c>
    </row>
    <row r="2" spans="1:14" ht="20.25">
      <c r="C2" s="192" t="s">
        <v>70</v>
      </c>
      <c r="D2" s="35"/>
    </row>
    <row r="3" spans="1:14" ht="18">
      <c r="B3" s="35"/>
      <c r="C3" s="35"/>
      <c r="D3" s="35"/>
    </row>
    <row r="4" spans="1:14" ht="21.95" customHeight="1">
      <c r="E4" s="486" t="s">
        <v>11</v>
      </c>
      <c r="F4" s="487"/>
      <c r="G4" s="487"/>
      <c r="H4" s="487"/>
      <c r="I4" s="487"/>
      <c r="J4" s="487"/>
      <c r="K4" s="488"/>
    </row>
    <row r="5" spans="1:14" ht="21.95" customHeight="1">
      <c r="E5" s="489" t="s">
        <v>231</v>
      </c>
      <c r="F5" s="490"/>
      <c r="G5" s="490"/>
      <c r="H5" s="490"/>
      <c r="I5" s="491"/>
      <c r="J5" s="121" t="s">
        <v>149</v>
      </c>
      <c r="K5" s="121" t="s">
        <v>124</v>
      </c>
    </row>
    <row r="6" spans="1:14" ht="60" customHeight="1">
      <c r="B6" s="36" t="s">
        <v>62</v>
      </c>
      <c r="C6" s="36" t="s">
        <v>3</v>
      </c>
      <c r="D6" s="36" t="s">
        <v>33</v>
      </c>
      <c r="E6" s="79">
        <v>30</v>
      </c>
      <c r="F6" s="79">
        <v>65</v>
      </c>
      <c r="G6" s="79">
        <v>125</v>
      </c>
      <c r="H6" s="79">
        <v>300</v>
      </c>
      <c r="I6" s="79">
        <v>1000</v>
      </c>
      <c r="J6" s="79">
        <v>50000</v>
      </c>
      <c r="K6" s="79">
        <v>500000</v>
      </c>
      <c r="L6" s="36" t="s">
        <v>383</v>
      </c>
      <c r="M6" s="36" t="s">
        <v>384</v>
      </c>
    </row>
    <row r="7" spans="1:14" ht="72" customHeight="1">
      <c r="A7" s="6">
        <v>1</v>
      </c>
      <c r="B7" s="1" t="s">
        <v>56</v>
      </c>
      <c r="C7" s="1" t="s">
        <v>8</v>
      </c>
      <c r="D7" s="2">
        <f t="shared" ref="D7:D21" si="0">$B$1</f>
        <v>44896</v>
      </c>
      <c r="E7" s="3">
        <f>Data!C$16</f>
        <v>4.0622421785247971</v>
      </c>
      <c r="F7" s="3">
        <f>Data!D$16</f>
        <v>3.3876070972029688</v>
      </c>
      <c r="G7" s="3">
        <f>Data!E$16</f>
        <v>3.1100429494591308</v>
      </c>
      <c r="H7" s="3">
        <f>Data!F$16</f>
        <v>5.6642310638139959</v>
      </c>
      <c r="I7" s="3">
        <f>Data!G$16</f>
        <v>7.1069571074588191</v>
      </c>
      <c r="J7" s="3">
        <f>Data!H$16</f>
        <v>5.2313353716197541</v>
      </c>
      <c r="K7" s="3">
        <f>Data!I$16</f>
        <v>9.6834973897359742</v>
      </c>
      <c r="L7" s="307" t="s">
        <v>385</v>
      </c>
      <c r="M7" s="307" t="s">
        <v>386</v>
      </c>
    </row>
    <row r="8" spans="1:14" ht="72" customHeight="1">
      <c r="A8" s="6">
        <v>2</v>
      </c>
      <c r="B8" s="1" t="s">
        <v>52</v>
      </c>
      <c r="C8" s="1" t="s">
        <v>2</v>
      </c>
      <c r="D8" s="2">
        <f t="shared" si="0"/>
        <v>44896</v>
      </c>
      <c r="E8" s="3">
        <f>Data!C30</f>
        <v>11.034726109919013</v>
      </c>
      <c r="F8" s="3">
        <f>Data!D30</f>
        <v>8.9719420007961936</v>
      </c>
      <c r="G8" s="3">
        <f>Data!E30</f>
        <v>10.881614762715152</v>
      </c>
      <c r="H8" s="3">
        <f>Data!F30</f>
        <v>10.198257691357284</v>
      </c>
      <c r="I8" s="3">
        <f>Data!G30</f>
        <v>11.016057524106824</v>
      </c>
      <c r="J8" s="223">
        <f>Data!H30</f>
        <v>19.663706529999679</v>
      </c>
      <c r="K8" s="223">
        <f>Data!I30</f>
        <v>18.464315512369133</v>
      </c>
      <c r="L8" s="307" t="s">
        <v>387</v>
      </c>
      <c r="M8" s="307" t="s">
        <v>388</v>
      </c>
    </row>
    <row r="9" spans="1:14" ht="78.75" customHeight="1">
      <c r="A9" s="6">
        <v>3</v>
      </c>
      <c r="B9" s="1" t="s">
        <v>57</v>
      </c>
      <c r="C9" s="1" t="s">
        <v>41</v>
      </c>
      <c r="D9" s="2">
        <f t="shared" si="0"/>
        <v>44896</v>
      </c>
      <c r="E9" s="3">
        <f>Data!C50</f>
        <v>4.5298927330116454</v>
      </c>
      <c r="F9" s="3">
        <f>Data!D50</f>
        <v>6.2721591687853557</v>
      </c>
      <c r="G9" s="3">
        <f>Data!E50</f>
        <v>7.7655303994485347</v>
      </c>
      <c r="H9" s="3">
        <f>Data!F50</f>
        <v>10.375611450374295</v>
      </c>
      <c r="I9" s="3">
        <f>Data!G50</f>
        <v>12.172468901135579</v>
      </c>
      <c r="J9" s="3">
        <f>Data!H50</f>
        <v>11.826596214780686</v>
      </c>
      <c r="K9" s="3">
        <f>Data!I50</f>
        <v>11.826596214780686</v>
      </c>
      <c r="L9" s="307" t="s">
        <v>389</v>
      </c>
      <c r="M9" s="307" t="s">
        <v>390</v>
      </c>
    </row>
    <row r="10" spans="1:14" ht="72" customHeight="1">
      <c r="A10" s="6">
        <v>4</v>
      </c>
      <c r="B10" s="1" t="s">
        <v>53</v>
      </c>
      <c r="C10" s="1" t="s">
        <v>5</v>
      </c>
      <c r="D10" s="2">
        <f t="shared" si="0"/>
        <v>44896</v>
      </c>
      <c r="E10" s="3">
        <f>Data!C64</f>
        <v>14.227743686024855</v>
      </c>
      <c r="F10" s="3">
        <f>Data!D64</f>
        <v>13.100026571085058</v>
      </c>
      <c r="G10" s="3">
        <f>Data!E64</f>
        <v>12.636051529509826</v>
      </c>
      <c r="H10" s="3">
        <f>Data!F64</f>
        <v>12.65459096446736</v>
      </c>
      <c r="I10" s="3">
        <f>Data!G64</f>
        <v>16.47900791257063</v>
      </c>
      <c r="J10" s="3">
        <f>Data!H64</f>
        <v>13.657809936665535</v>
      </c>
      <c r="K10" s="3">
        <f>Data!I64</f>
        <v>10.125178071182097</v>
      </c>
      <c r="L10" s="307" t="s">
        <v>391</v>
      </c>
      <c r="M10" s="307" t="s">
        <v>392</v>
      </c>
    </row>
    <row r="11" spans="1:14" ht="72" customHeight="1">
      <c r="A11" s="6">
        <v>5</v>
      </c>
      <c r="B11" s="1" t="s">
        <v>61</v>
      </c>
      <c r="C11" s="1" t="s">
        <v>28</v>
      </c>
      <c r="D11" s="2">
        <f t="shared" si="0"/>
        <v>44896</v>
      </c>
      <c r="E11" s="3">
        <f>Data!C78</f>
        <v>5.9958495551210422</v>
      </c>
      <c r="F11" s="3">
        <f>Data!D78</f>
        <v>7.4948139924897212</v>
      </c>
      <c r="G11" s="3">
        <f>Data!E78</f>
        <v>12.729526909413408</v>
      </c>
      <c r="H11" s="3">
        <f>Data!F78</f>
        <v>14.975914734105803</v>
      </c>
      <c r="I11" s="3">
        <f>Data!G78</f>
        <v>17.971098500362334</v>
      </c>
      <c r="J11" s="3">
        <f>Data!H78</f>
        <v>15.006543917043071</v>
      </c>
      <c r="K11" s="3">
        <f>Data!I78</f>
        <v>12.052525060073236</v>
      </c>
      <c r="L11" s="307" t="s">
        <v>393</v>
      </c>
      <c r="M11" s="307" t="s">
        <v>394</v>
      </c>
    </row>
    <row r="12" spans="1:14" ht="72" customHeight="1">
      <c r="A12" s="6">
        <v>6</v>
      </c>
      <c r="B12" s="1" t="s">
        <v>54</v>
      </c>
      <c r="C12" s="1" t="s">
        <v>6</v>
      </c>
      <c r="D12" s="2">
        <f t="shared" si="0"/>
        <v>44896</v>
      </c>
      <c r="E12" s="3">
        <f>Data!C92</f>
        <v>4.7913333333333332</v>
      </c>
      <c r="F12" s="3">
        <f>Data!D92</f>
        <v>6.3523076923076918</v>
      </c>
      <c r="G12" s="3">
        <f>Data!E92</f>
        <v>7.2312000000000003</v>
      </c>
      <c r="H12" s="3">
        <f>Data!F92</f>
        <v>10.473466666666669</v>
      </c>
      <c r="I12" s="3">
        <f>Data!G92</f>
        <v>13.064039999999999</v>
      </c>
      <c r="J12" s="3">
        <f>Data!H92</f>
        <v>10.0900476</v>
      </c>
      <c r="K12" s="3">
        <f>Data!I92</f>
        <v>10.910679439999999</v>
      </c>
      <c r="L12" s="307" t="s">
        <v>395</v>
      </c>
      <c r="M12" s="307" t="s">
        <v>396</v>
      </c>
      <c r="N12" s="53"/>
    </row>
    <row r="13" spans="1:14" ht="72" customHeight="1">
      <c r="A13" s="6">
        <v>7</v>
      </c>
      <c r="B13" s="1" t="s">
        <v>203</v>
      </c>
      <c r="C13" s="1" t="s">
        <v>9</v>
      </c>
      <c r="D13" s="2">
        <f t="shared" si="0"/>
        <v>44896</v>
      </c>
      <c r="E13" s="3">
        <f>Data!C111</f>
        <v>1.0760275360712102</v>
      </c>
      <c r="F13" s="3">
        <f>Data!D111</f>
        <v>1.208445753798606</v>
      </c>
      <c r="G13" s="3">
        <f>Data!E111</f>
        <v>2.4168915075972119</v>
      </c>
      <c r="H13" s="3">
        <f>Data!F111</f>
        <v>5.0487467572745786</v>
      </c>
      <c r="I13" s="3">
        <f>Data!G111</f>
        <v>5.8060933087420636</v>
      </c>
      <c r="J13" s="3">
        <f>Data!H111</f>
        <v>4.4733986225423328</v>
      </c>
      <c r="K13" s="3">
        <f>Data!I111</f>
        <v>3.9754061685102871</v>
      </c>
      <c r="L13" s="307" t="s">
        <v>397</v>
      </c>
      <c r="M13" s="307" t="s">
        <v>398</v>
      </c>
      <c r="N13" s="119"/>
    </row>
    <row r="14" spans="1:14" ht="72" customHeight="1">
      <c r="A14" s="6">
        <v>8</v>
      </c>
      <c r="B14" s="1" t="s">
        <v>60</v>
      </c>
      <c r="C14" s="1" t="s">
        <v>4</v>
      </c>
      <c r="D14" s="2">
        <f t="shared" si="0"/>
        <v>44896</v>
      </c>
      <c r="E14" s="3">
        <f>Data!C128</f>
        <v>14.633742604152898</v>
      </c>
      <c r="F14" s="3">
        <f>Data!D128</f>
        <v>16.43285642945407</v>
      </c>
      <c r="G14" s="3">
        <f>Data!E128</f>
        <v>15.894514374359341</v>
      </c>
      <c r="H14" s="3">
        <f>Data!F128</f>
        <v>15.592894333640098</v>
      </c>
      <c r="I14" s="3">
        <f>Data!G128</f>
        <v>15.442084313280475</v>
      </c>
      <c r="J14" s="3">
        <f>Data!H128</f>
        <v>14.944850749581624</v>
      </c>
      <c r="K14" s="3">
        <f>Data!I128</f>
        <v>11.507391592215624</v>
      </c>
      <c r="L14" s="307" t="s">
        <v>399</v>
      </c>
      <c r="M14" s="307" t="s">
        <v>400</v>
      </c>
      <c r="N14" s="119"/>
    </row>
    <row r="15" spans="1:14" ht="72" customHeight="1">
      <c r="A15" s="6">
        <v>9</v>
      </c>
      <c r="B15" s="1" t="s">
        <v>59</v>
      </c>
      <c r="C15" s="1" t="s">
        <v>10</v>
      </c>
      <c r="D15" s="2">
        <f t="shared" si="0"/>
        <v>44896</v>
      </c>
      <c r="E15" s="3">
        <f>Data!C144</f>
        <v>49.891734394002427</v>
      </c>
      <c r="F15" s="3">
        <f>Data!D144</f>
        <v>31.525584849391102</v>
      </c>
      <c r="G15" s="3">
        <f>Data!E144</f>
        <v>24.769083455198714</v>
      </c>
      <c r="H15" s="3">
        <f>Data!F144</f>
        <v>21.860218216644416</v>
      </c>
      <c r="I15" s="3">
        <f>Data!G144</f>
        <v>22.567438094393228</v>
      </c>
      <c r="J15" s="3">
        <f>Data!H144</f>
        <v>18.169349547970992</v>
      </c>
      <c r="K15" s="3">
        <f>Data!I144</f>
        <v>11.571972364390168</v>
      </c>
      <c r="L15" s="307" t="s">
        <v>401</v>
      </c>
      <c r="M15" s="307" t="s">
        <v>402</v>
      </c>
      <c r="N15" s="119"/>
    </row>
    <row r="16" spans="1:14" ht="72" customHeight="1">
      <c r="A16" s="6">
        <v>10</v>
      </c>
      <c r="B16" s="1" t="s">
        <v>55</v>
      </c>
      <c r="C16" s="1" t="s">
        <v>7</v>
      </c>
      <c r="D16" s="2">
        <f t="shared" si="0"/>
        <v>44896</v>
      </c>
      <c r="E16" s="3">
        <f>Data!C165</f>
        <v>0.49290779889238268</v>
      </c>
      <c r="F16" s="3">
        <f>Data!D165</f>
        <v>0.22749590718109972</v>
      </c>
      <c r="G16" s="3">
        <f>Data!E165</f>
        <v>0.16267766119573746</v>
      </c>
      <c r="H16" s="3">
        <f>Data!F165</f>
        <v>0.55019439967284767</v>
      </c>
      <c r="I16" s="3">
        <f>Data!G165</f>
        <v>0.7640829192959987</v>
      </c>
      <c r="J16" s="3">
        <f>Data!H165</f>
        <v>0.56844381712398462</v>
      </c>
      <c r="K16" s="3">
        <f>Data!I165</f>
        <v>0.30687584642687643</v>
      </c>
      <c r="L16" s="307" t="s">
        <v>403</v>
      </c>
      <c r="M16" s="307" t="s">
        <v>404</v>
      </c>
      <c r="N16" s="53"/>
    </row>
    <row r="17" spans="1:103" ht="72" customHeight="1">
      <c r="A17" s="6">
        <v>11</v>
      </c>
      <c r="B17" s="1" t="s">
        <v>88</v>
      </c>
      <c r="C17" s="1" t="s">
        <v>71</v>
      </c>
      <c r="D17" s="2">
        <f t="shared" si="0"/>
        <v>44896</v>
      </c>
      <c r="E17" s="3">
        <f>Data!C183</f>
        <v>14.522266198046566</v>
      </c>
      <c r="F17" s="3">
        <f>Data!D183</f>
        <v>11.353189651509286</v>
      </c>
      <c r="G17" s="3">
        <f>Data!E183</f>
        <v>10.049341015219662</v>
      </c>
      <c r="H17" s="3">
        <f>Data!F183</f>
        <v>15.219954750208359</v>
      </c>
      <c r="I17" s="3">
        <f>Data!G183</f>
        <v>15.94966425613276</v>
      </c>
      <c r="J17" s="3">
        <f>Data!H183</f>
        <v>14.221188128179731</v>
      </c>
      <c r="K17" s="3">
        <f>Data!I183</f>
        <v>8.3425739805778338</v>
      </c>
      <c r="L17" s="307" t="s">
        <v>405</v>
      </c>
      <c r="M17" s="307" t="s">
        <v>406</v>
      </c>
      <c r="N17" s="53"/>
    </row>
    <row r="18" spans="1:103" ht="72" customHeight="1">
      <c r="A18" s="6">
        <v>12</v>
      </c>
      <c r="B18" s="1" t="s">
        <v>90</v>
      </c>
      <c r="C18" s="1" t="s">
        <v>83</v>
      </c>
      <c r="D18" s="2">
        <f t="shared" si="0"/>
        <v>44896</v>
      </c>
      <c r="E18" s="3">
        <f>Data!C197</f>
        <v>22.430683333333334</v>
      </c>
      <c r="F18" s="3">
        <f>Data!D197</f>
        <v>20.927092307692309</v>
      </c>
      <c r="G18" s="3">
        <f>Data!E197</f>
        <v>20.391235200000001</v>
      </c>
      <c r="H18" s="3">
        <f>Data!F197</f>
        <v>20.523727000000001</v>
      </c>
      <c r="I18" s="3">
        <f>Data!G197</f>
        <v>20.888548100000001</v>
      </c>
      <c r="J18" s="3">
        <f>Data!H197</f>
        <v>22.217818480600002</v>
      </c>
      <c r="K18" s="3">
        <f>Data!I197</f>
        <v>18.195693311079999</v>
      </c>
      <c r="L18" s="307" t="s">
        <v>407</v>
      </c>
      <c r="M18" s="307" t="s">
        <v>408</v>
      </c>
      <c r="N18" s="53"/>
    </row>
    <row r="19" spans="1:103" ht="72" customHeight="1">
      <c r="A19" s="6">
        <v>13</v>
      </c>
      <c r="B19" s="1" t="s">
        <v>89</v>
      </c>
      <c r="C19" s="1" t="s">
        <v>74</v>
      </c>
      <c r="D19" s="2">
        <f t="shared" si="0"/>
        <v>44896</v>
      </c>
      <c r="E19" s="3">
        <f>Data!C215</f>
        <v>22.609909614915679</v>
      </c>
      <c r="F19" s="3">
        <f>Data!D215</f>
        <v>19.979131342534341</v>
      </c>
      <c r="G19" s="3">
        <f>Data!E215</f>
        <v>20.0222429842281</v>
      </c>
      <c r="H19" s="3">
        <f>Data!F215</f>
        <v>19.338240633408951</v>
      </c>
      <c r="I19" s="3">
        <f>Data!G215</f>
        <v>18.99623945799938</v>
      </c>
      <c r="J19" s="3">
        <f>Data!H215</f>
        <v>16.191866842136921</v>
      </c>
      <c r="K19" s="3">
        <f>Data!I215</f>
        <v>14.083924498287212</v>
      </c>
      <c r="L19" s="307" t="s">
        <v>409</v>
      </c>
      <c r="M19" s="307" t="s">
        <v>410</v>
      </c>
      <c r="N19" s="53"/>
    </row>
    <row r="20" spans="1:103" ht="72" customHeight="1">
      <c r="A20" s="6">
        <v>14</v>
      </c>
      <c r="B20" s="1" t="s">
        <v>91</v>
      </c>
      <c r="C20" s="1" t="s">
        <v>202</v>
      </c>
      <c r="D20" s="2">
        <f t="shared" si="0"/>
        <v>44896</v>
      </c>
      <c r="E20" s="3">
        <f>Data!C227</f>
        <v>4.9141355547141226</v>
      </c>
      <c r="F20" s="3">
        <f>Data!D227</f>
        <v>4.9141355547141226</v>
      </c>
      <c r="G20" s="3">
        <f>Data!E227</f>
        <v>5.3474586898901926</v>
      </c>
      <c r="H20" s="3">
        <f>Data!F227</f>
        <v>11.575257638100044</v>
      </c>
      <c r="I20" s="3">
        <f>Data!G227</f>
        <v>15.730179310867095</v>
      </c>
      <c r="J20" s="3">
        <f>Data!H227</f>
        <v>19.245134976912784</v>
      </c>
      <c r="K20" s="3">
        <f>Data!I227</f>
        <v>13.62410291713341</v>
      </c>
      <c r="L20" s="307" t="s">
        <v>411</v>
      </c>
      <c r="M20" s="307" t="s">
        <v>412</v>
      </c>
      <c r="N20" s="53"/>
    </row>
    <row r="21" spans="1:103" ht="78.75" customHeight="1">
      <c r="A21" s="6">
        <v>15</v>
      </c>
      <c r="B21" s="1" t="s">
        <v>58</v>
      </c>
      <c r="C21" s="1" t="s">
        <v>78</v>
      </c>
      <c r="D21" s="2">
        <f t="shared" si="0"/>
        <v>44896</v>
      </c>
      <c r="E21" s="3">
        <f>Data!C242</f>
        <v>17.179217599999998</v>
      </c>
      <c r="F21" s="3">
        <f>Data!D242</f>
        <v>15.219523876923075</v>
      </c>
      <c r="G21" s="3">
        <f>Data!E242</f>
        <v>13.973086775999999</v>
      </c>
      <c r="H21" s="3">
        <f>Data!F242</f>
        <v>15.513346140000001</v>
      </c>
      <c r="I21" s="3">
        <f>Data!G242</f>
        <v>24.45683</v>
      </c>
      <c r="J21" s="3">
        <f>Data!H242</f>
        <v>23.8085332667</v>
      </c>
      <c r="K21" s="3">
        <f>Data!I242</f>
        <v>22.522939200000003</v>
      </c>
      <c r="L21" s="307" t="s">
        <v>413</v>
      </c>
      <c r="M21" s="307" t="s">
        <v>414</v>
      </c>
      <c r="N21" s="53"/>
    </row>
    <row r="22" spans="1:103" ht="26.25">
      <c r="B22" s="4"/>
      <c r="C22" s="4"/>
      <c r="D22" s="118"/>
      <c r="E22" s="5"/>
      <c r="F22" s="5"/>
      <c r="G22" s="5"/>
      <c r="H22" s="5"/>
      <c r="I22" s="5"/>
      <c r="J22" s="5"/>
      <c r="K22" s="5"/>
      <c r="L22" s="119"/>
      <c r="M22" s="119"/>
      <c r="N22" s="53"/>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2"/>
      <c r="BK22" s="62"/>
      <c r="BL22" s="62"/>
      <c r="BM22" s="62"/>
      <c r="BN22" s="62"/>
      <c r="BO22" s="62"/>
      <c r="BP22" s="62"/>
      <c r="BQ22" s="62"/>
      <c r="BR22" s="62"/>
      <c r="BS22" s="62"/>
      <c r="BT22" s="62"/>
      <c r="BU22" s="62"/>
      <c r="BV22" s="484"/>
      <c r="BW22" s="484"/>
      <c r="BX22" s="484"/>
      <c r="BY22" s="484"/>
      <c r="BZ22" s="484"/>
      <c r="CA22" s="484"/>
      <c r="CB22" s="484"/>
      <c r="CC22" s="484"/>
      <c r="CD22" s="484"/>
      <c r="CE22" s="234"/>
      <c r="CF22" s="484"/>
      <c r="CG22" s="484"/>
      <c r="CH22" s="484"/>
      <c r="CI22" s="484"/>
      <c r="CJ22" s="484"/>
      <c r="CK22" s="484"/>
      <c r="CL22" s="484"/>
      <c r="CM22" s="484"/>
      <c r="CN22" s="484"/>
      <c r="CO22" s="62"/>
      <c r="CP22" s="62"/>
      <c r="CQ22" s="62"/>
      <c r="CR22" s="62"/>
      <c r="CS22" s="62"/>
      <c r="CT22" s="62"/>
      <c r="CU22" s="62"/>
      <c r="CV22" s="62"/>
      <c r="CW22" s="62"/>
      <c r="CX22" s="62"/>
      <c r="CY22" s="62"/>
    </row>
    <row r="23" spans="1:103" ht="9.75" customHeight="1">
      <c r="N23" s="53"/>
      <c r="AD23" s="62"/>
      <c r="AE23" s="62"/>
      <c r="AF23" s="62"/>
      <c r="AG23" s="62"/>
      <c r="AH23" s="62"/>
      <c r="AI23" s="62"/>
      <c r="AJ23" s="62"/>
      <c r="AK23" s="62"/>
      <c r="AL23" s="62"/>
      <c r="AM23" s="62"/>
      <c r="AN23" s="62"/>
      <c r="AO23" s="62"/>
      <c r="AP23" s="62"/>
      <c r="AQ23" s="62"/>
      <c r="AR23" s="235"/>
      <c r="AS23" s="62"/>
      <c r="AT23" s="62"/>
      <c r="AU23" s="62"/>
      <c r="AV23" s="62"/>
      <c r="AW23" s="62"/>
      <c r="AX23" s="235"/>
      <c r="AY23" s="62"/>
      <c r="AZ23" s="62"/>
      <c r="BA23" s="62"/>
      <c r="BB23" s="62"/>
      <c r="BC23" s="62"/>
      <c r="BD23" s="235"/>
      <c r="BE23" s="62"/>
      <c r="BF23" s="62"/>
      <c r="BG23" s="62"/>
      <c r="BH23" s="62"/>
      <c r="BI23" s="62"/>
      <c r="BJ23" s="235"/>
      <c r="BK23" s="62"/>
      <c r="BL23" s="62"/>
      <c r="BM23" s="62"/>
      <c r="BN23" s="62"/>
      <c r="BO23" s="62"/>
      <c r="BP23" s="235"/>
      <c r="BQ23" s="62"/>
      <c r="BR23" s="62"/>
      <c r="BS23" s="62"/>
      <c r="BT23" s="62"/>
      <c r="BU23" s="62"/>
      <c r="BV23" s="62"/>
      <c r="BW23" s="62"/>
      <c r="BX23" s="62"/>
      <c r="BY23" s="62"/>
      <c r="BZ23" s="62"/>
      <c r="CA23" s="62"/>
      <c r="CB23" s="62"/>
      <c r="CC23" s="62"/>
      <c r="CD23" s="62"/>
      <c r="CE23" s="62"/>
      <c r="CF23" s="62"/>
      <c r="CG23" s="62"/>
      <c r="CH23" s="62"/>
      <c r="CI23" s="62"/>
      <c r="CJ23" s="62"/>
      <c r="CK23" s="62"/>
      <c r="CL23" s="62"/>
      <c r="CM23" s="62"/>
      <c r="CN23" s="62"/>
      <c r="CO23" s="62"/>
      <c r="CP23" s="62"/>
      <c r="CQ23" s="62"/>
      <c r="CR23" s="62"/>
      <c r="CS23" s="62"/>
      <c r="CT23" s="62"/>
      <c r="CU23" s="62"/>
      <c r="CV23" s="62"/>
      <c r="CW23" s="62"/>
      <c r="CX23" s="62"/>
      <c r="CY23" s="62"/>
    </row>
    <row r="24" spans="1:103" ht="23.25">
      <c r="N24" s="53"/>
      <c r="AD24" s="62"/>
      <c r="AE24" s="483"/>
      <c r="AF24" s="483"/>
      <c r="AG24" s="483"/>
      <c r="AH24" s="483"/>
      <c r="AI24" s="483"/>
      <c r="AJ24" s="62"/>
      <c r="AK24" s="62"/>
      <c r="AL24" s="483"/>
      <c r="AM24" s="483"/>
      <c r="AN24" s="483"/>
      <c r="AO24" s="483"/>
      <c r="AP24" s="483"/>
      <c r="AQ24" s="62"/>
      <c r="AR24" s="62"/>
      <c r="AS24" s="62"/>
      <c r="AT24" s="62"/>
      <c r="AU24" s="62"/>
      <c r="AV24" s="62"/>
      <c r="AW24" s="62"/>
      <c r="AX24" s="62"/>
      <c r="AY24" s="62"/>
      <c r="AZ24" s="62"/>
      <c r="BA24" s="62"/>
      <c r="BB24" s="62"/>
      <c r="BC24" s="62"/>
      <c r="BD24" s="62"/>
      <c r="BE24" s="62"/>
      <c r="BF24" s="62"/>
      <c r="BG24" s="62"/>
      <c r="BH24" s="62"/>
      <c r="BI24" s="62"/>
      <c r="BJ24" s="62"/>
      <c r="BK24" s="62"/>
      <c r="BL24" s="62"/>
      <c r="BM24" s="62"/>
      <c r="BN24" s="62"/>
      <c r="BO24" s="62"/>
      <c r="BP24" s="62"/>
      <c r="BQ24" s="62"/>
      <c r="BR24" s="62"/>
      <c r="BS24" s="62"/>
      <c r="BT24" s="62"/>
      <c r="BU24" s="62"/>
      <c r="BV24" s="485"/>
      <c r="BW24" s="485"/>
      <c r="BX24" s="485"/>
      <c r="BY24" s="485"/>
      <c r="BZ24" s="485"/>
      <c r="CA24" s="485"/>
      <c r="CB24" s="485"/>
      <c r="CC24" s="485"/>
      <c r="CD24" s="485"/>
      <c r="CE24" s="236"/>
      <c r="CF24" s="485"/>
      <c r="CG24" s="485"/>
      <c r="CH24" s="485"/>
      <c r="CI24" s="485"/>
      <c r="CJ24" s="485"/>
      <c r="CK24" s="485"/>
      <c r="CL24" s="485"/>
      <c r="CM24" s="485"/>
      <c r="CN24" s="485"/>
      <c r="CO24" s="62"/>
      <c r="CP24" s="62"/>
      <c r="CQ24" s="62"/>
      <c r="CR24" s="62"/>
      <c r="CS24" s="62"/>
      <c r="CT24" s="62"/>
      <c r="CU24" s="62"/>
      <c r="CV24" s="62"/>
      <c r="CW24" s="62"/>
      <c r="CX24" s="62"/>
      <c r="CY24" s="62"/>
    </row>
    <row r="25" spans="1:103" ht="13.5" customHeight="1">
      <c r="D25" s="36" t="s">
        <v>3</v>
      </c>
      <c r="E25" s="36">
        <v>30</v>
      </c>
      <c r="G25" s="198"/>
      <c r="H25" s="198"/>
      <c r="J25" s="36" t="s">
        <v>3</v>
      </c>
      <c r="K25" s="36" t="s">
        <v>149</v>
      </c>
      <c r="L25" s="230"/>
      <c r="N25" s="53"/>
      <c r="AD25" s="198"/>
      <c r="AE25" s="237"/>
      <c r="AF25" s="237"/>
      <c r="AG25" s="237"/>
      <c r="AH25" s="237"/>
      <c r="AI25" s="237"/>
      <c r="AJ25" s="62"/>
      <c r="AK25" s="198"/>
      <c r="AL25" s="237"/>
      <c r="AM25" s="237"/>
      <c r="AN25" s="237"/>
      <c r="AO25" s="237"/>
      <c r="AP25" s="237"/>
      <c r="AQ25" s="62"/>
      <c r="AR25" s="228"/>
      <c r="AS25" s="228"/>
      <c r="AT25" s="62"/>
      <c r="AU25" s="154"/>
      <c r="AV25" s="228"/>
      <c r="AW25" s="62"/>
      <c r="AX25" s="198"/>
      <c r="AY25" s="198"/>
      <c r="AZ25" s="198"/>
      <c r="BA25" s="198"/>
      <c r="BB25" s="198"/>
      <c r="BC25" s="198"/>
      <c r="BD25" s="228"/>
      <c r="BE25" s="228"/>
      <c r="BF25" s="62"/>
      <c r="BG25" s="154"/>
      <c r="BH25" s="228"/>
      <c r="BI25" s="228"/>
      <c r="BJ25" s="198"/>
      <c r="BK25" s="198"/>
      <c r="BL25" s="198"/>
      <c r="BM25" s="198"/>
      <c r="BN25" s="198"/>
      <c r="BO25" s="198"/>
      <c r="BP25" s="198"/>
      <c r="BQ25" s="198"/>
      <c r="BR25" s="198"/>
      <c r="BS25" s="198"/>
      <c r="BT25" s="198"/>
      <c r="BU25" s="62"/>
      <c r="BV25" s="62"/>
      <c r="BW25" s="62"/>
      <c r="BX25" s="62"/>
      <c r="BY25" s="62"/>
      <c r="BZ25" s="62"/>
      <c r="CA25" s="62"/>
      <c r="CB25" s="62"/>
      <c r="CC25" s="62"/>
      <c r="CD25" s="62"/>
      <c r="CE25" s="62"/>
      <c r="CF25" s="62"/>
      <c r="CG25" s="62"/>
      <c r="CH25" s="62"/>
      <c r="CI25" s="62"/>
      <c r="CJ25" s="62"/>
      <c r="CK25" s="62"/>
      <c r="CL25" s="62"/>
      <c r="CM25" s="62"/>
      <c r="CN25" s="62"/>
      <c r="CO25" s="62"/>
      <c r="CP25" s="62"/>
      <c r="CQ25" s="62"/>
      <c r="CR25" s="62"/>
      <c r="CS25" s="62"/>
      <c r="CT25" s="62"/>
      <c r="CU25" s="62"/>
      <c r="CV25" s="62"/>
      <c r="CW25" s="62"/>
      <c r="CX25" s="62"/>
      <c r="CY25" s="62"/>
    </row>
    <row r="26" spans="1:103" ht="13.5" customHeight="1">
      <c r="C26" s="34">
        <v>1</v>
      </c>
      <c r="D26" s="1" t="s">
        <v>7</v>
      </c>
      <c r="E26" s="3">
        <f t="shared" ref="E26:E40" si="1">VLOOKUP(D26,$C$7:$K$21,3,0)</f>
        <v>0.49290779889238268</v>
      </c>
      <c r="G26" s="4"/>
      <c r="H26" s="5"/>
      <c r="J26" s="1" t="s">
        <v>7</v>
      </c>
      <c r="K26" s="3">
        <f t="shared" ref="K26:K40" si="2">VLOOKUP(J26,$C$7:$K$21,8,0)</f>
        <v>0.56844381712398462</v>
      </c>
      <c r="N26" s="53"/>
      <c r="AD26" s="4"/>
      <c r="AE26" s="229"/>
      <c r="AF26" s="229"/>
      <c r="AG26" s="229"/>
      <c r="AH26" s="5"/>
      <c r="AI26" s="5"/>
      <c r="AJ26" s="183"/>
      <c r="AK26" s="4"/>
      <c r="AL26" s="229"/>
      <c r="AM26" s="229"/>
      <c r="AN26" s="229"/>
      <c r="AO26" s="229"/>
      <c r="AP26" s="5"/>
      <c r="AQ26" s="183"/>
      <c r="AR26" s="62"/>
      <c r="AS26" s="62"/>
      <c r="AT26" s="62"/>
      <c r="AU26" s="62"/>
      <c r="AV26" s="62"/>
      <c r="AW26" s="62"/>
      <c r="AX26" s="4"/>
      <c r="AY26" s="5"/>
      <c r="AZ26" s="5"/>
      <c r="BA26" s="4"/>
      <c r="BB26" s="5"/>
      <c r="BC26" s="5"/>
      <c r="BD26" s="62"/>
      <c r="BE26" s="229"/>
      <c r="BF26" s="62"/>
      <c r="BG26" s="62"/>
      <c r="BH26" s="229"/>
      <c r="BI26" s="229"/>
      <c r="BJ26" s="4"/>
      <c r="BK26" s="5"/>
      <c r="BL26" s="5"/>
      <c r="BM26" s="4"/>
      <c r="BN26" s="5"/>
      <c r="BO26" s="5"/>
      <c r="BP26" s="4"/>
      <c r="BQ26" s="5"/>
      <c r="BR26" s="5"/>
      <c r="BS26" s="4"/>
      <c r="BT26" s="5"/>
      <c r="BU26" s="62"/>
      <c r="BV26" s="62"/>
      <c r="BW26" s="62"/>
      <c r="BX26" s="62"/>
      <c r="BY26" s="62"/>
      <c r="BZ26" s="62"/>
      <c r="CA26" s="62"/>
      <c r="CB26" s="62"/>
      <c r="CC26" s="62"/>
      <c r="CD26" s="62"/>
      <c r="CE26" s="62"/>
      <c r="CF26" s="62"/>
      <c r="CG26" s="62"/>
      <c r="CH26" s="62"/>
      <c r="CI26" s="62"/>
      <c r="CJ26" s="62"/>
      <c r="CK26" s="62"/>
      <c r="CL26" s="62"/>
      <c r="CM26" s="62"/>
      <c r="CN26" s="62"/>
      <c r="CO26" s="62"/>
      <c r="CP26" s="62"/>
      <c r="CQ26" s="62"/>
      <c r="CR26" s="62"/>
      <c r="CS26" s="62"/>
      <c r="CT26" s="62"/>
      <c r="CU26" s="62"/>
      <c r="CV26" s="62"/>
      <c r="CW26" s="62"/>
      <c r="CX26" s="62"/>
      <c r="CY26" s="62"/>
    </row>
    <row r="27" spans="1:103" ht="13.5" customHeight="1">
      <c r="C27" s="34">
        <f t="shared" ref="C27:C40" si="3">1+C26</f>
        <v>2</v>
      </c>
      <c r="D27" s="1" t="s">
        <v>9</v>
      </c>
      <c r="E27" s="3">
        <f t="shared" si="1"/>
        <v>1.0760275360712102</v>
      </c>
      <c r="G27" s="4"/>
      <c r="H27" s="5"/>
      <c r="J27" s="1" t="s">
        <v>9</v>
      </c>
      <c r="K27" s="3">
        <f t="shared" si="2"/>
        <v>4.4733986225423328</v>
      </c>
      <c r="N27" s="53"/>
      <c r="AD27" s="4"/>
      <c r="AE27" s="229"/>
      <c r="AF27" s="229"/>
      <c r="AG27" s="229"/>
      <c r="AH27" s="5"/>
      <c r="AI27" s="5"/>
      <c r="AJ27" s="183"/>
      <c r="AK27" s="4"/>
      <c r="AL27" s="229"/>
      <c r="AM27" s="229"/>
      <c r="AN27" s="229"/>
      <c r="AO27" s="229"/>
      <c r="AP27" s="5"/>
      <c r="AQ27" s="183"/>
      <c r="AR27" s="62"/>
      <c r="AS27" s="62"/>
      <c r="AT27" s="62"/>
      <c r="AU27" s="62"/>
      <c r="AV27" s="62"/>
      <c r="AW27" s="62"/>
      <c r="AX27" s="4"/>
      <c r="AY27" s="5"/>
      <c r="AZ27" s="5"/>
      <c r="BA27" s="4"/>
      <c r="BB27" s="5"/>
      <c r="BC27" s="5"/>
      <c r="BD27" s="62"/>
      <c r="BE27" s="229"/>
      <c r="BF27" s="62"/>
      <c r="BG27" s="62"/>
      <c r="BH27" s="229"/>
      <c r="BI27" s="229"/>
      <c r="BJ27" s="4"/>
      <c r="BK27" s="5"/>
      <c r="BL27" s="5"/>
      <c r="BM27" s="4"/>
      <c r="BN27" s="5"/>
      <c r="BO27" s="5"/>
      <c r="BP27" s="4"/>
      <c r="BQ27" s="5"/>
      <c r="BR27" s="5"/>
      <c r="BS27" s="4"/>
      <c r="BT27" s="5"/>
      <c r="BU27" s="62"/>
      <c r="BV27" s="62"/>
      <c r="BW27" s="62"/>
      <c r="BX27" s="62"/>
      <c r="BY27" s="62"/>
      <c r="BZ27" s="62"/>
      <c r="CA27" s="62"/>
      <c r="CB27" s="62"/>
      <c r="CC27" s="62"/>
      <c r="CD27" s="62"/>
      <c r="CE27" s="62"/>
      <c r="CF27" s="62"/>
      <c r="CG27" s="62"/>
      <c r="CH27" s="62"/>
      <c r="CI27" s="62"/>
      <c r="CJ27" s="62"/>
      <c r="CK27" s="62"/>
      <c r="CL27" s="62"/>
      <c r="CM27" s="62"/>
      <c r="CN27" s="62"/>
      <c r="CO27" s="62"/>
      <c r="CP27" s="62"/>
      <c r="CQ27" s="62"/>
      <c r="CR27" s="62"/>
      <c r="CS27" s="62"/>
      <c r="CT27" s="62"/>
      <c r="CU27" s="62"/>
      <c r="CV27" s="62"/>
      <c r="CW27" s="62"/>
      <c r="CX27" s="62"/>
      <c r="CY27" s="62"/>
    </row>
    <row r="28" spans="1:103" ht="13.5" customHeight="1">
      <c r="C28" s="34">
        <f t="shared" si="3"/>
        <v>3</v>
      </c>
      <c r="D28" s="1" t="s">
        <v>8</v>
      </c>
      <c r="E28" s="3">
        <f t="shared" si="1"/>
        <v>4.0622421785247971</v>
      </c>
      <c r="G28" s="4"/>
      <c r="H28" s="5"/>
      <c r="J28" s="1" t="s">
        <v>8</v>
      </c>
      <c r="K28" s="3">
        <f t="shared" si="2"/>
        <v>5.2313353716197541</v>
      </c>
      <c r="N28" s="53"/>
      <c r="AD28" s="4"/>
      <c r="AE28" s="229"/>
      <c r="AF28" s="229"/>
      <c r="AG28" s="229"/>
      <c r="AH28" s="5"/>
      <c r="AI28" s="5"/>
      <c r="AJ28" s="183"/>
      <c r="AK28" s="4"/>
      <c r="AL28" s="229"/>
      <c r="AM28" s="229"/>
      <c r="AN28" s="229"/>
      <c r="AO28" s="229"/>
      <c r="AP28" s="5"/>
      <c r="AQ28" s="183"/>
      <c r="AR28" s="62"/>
      <c r="AS28" s="62"/>
      <c r="AT28" s="62"/>
      <c r="AU28" s="62"/>
      <c r="AV28" s="62"/>
      <c r="AW28" s="62"/>
      <c r="AX28" s="4"/>
      <c r="AY28" s="5"/>
      <c r="AZ28" s="5"/>
      <c r="BA28" s="4"/>
      <c r="BB28" s="5"/>
      <c r="BC28" s="5"/>
      <c r="BD28" s="62"/>
      <c r="BE28" s="229"/>
      <c r="BF28" s="62"/>
      <c r="BG28" s="62"/>
      <c r="BH28" s="229"/>
      <c r="BI28" s="229"/>
      <c r="BJ28" s="4"/>
      <c r="BK28" s="5"/>
      <c r="BL28" s="5"/>
      <c r="BM28" s="4"/>
      <c r="BN28" s="5"/>
      <c r="BO28" s="5"/>
      <c r="BP28" s="4"/>
      <c r="BQ28" s="5"/>
      <c r="BR28" s="5"/>
      <c r="BS28" s="4"/>
      <c r="BT28" s="5"/>
      <c r="BU28" s="62"/>
      <c r="BV28" s="62"/>
      <c r="BW28" s="62"/>
      <c r="BX28" s="62"/>
      <c r="BY28" s="62"/>
      <c r="BZ28" s="62"/>
      <c r="CA28" s="62"/>
      <c r="CB28" s="62"/>
      <c r="CC28" s="62"/>
      <c r="CD28" s="62"/>
      <c r="CE28" s="62"/>
      <c r="CF28" s="62"/>
      <c r="CG28" s="62"/>
      <c r="CH28" s="62"/>
      <c r="CI28" s="62"/>
      <c r="CJ28" s="62"/>
      <c r="CK28" s="62"/>
      <c r="CL28" s="62"/>
      <c r="CM28" s="62"/>
      <c r="CN28" s="62"/>
      <c r="CO28" s="62"/>
      <c r="CP28" s="62"/>
      <c r="CQ28" s="62"/>
      <c r="CR28" s="62"/>
      <c r="CS28" s="62"/>
      <c r="CT28" s="62"/>
      <c r="CU28" s="62"/>
      <c r="CV28" s="62"/>
      <c r="CW28" s="62"/>
      <c r="CX28" s="62"/>
      <c r="CY28" s="62"/>
    </row>
    <row r="29" spans="1:103" ht="13.5" customHeight="1">
      <c r="C29" s="34">
        <f t="shared" si="3"/>
        <v>4</v>
      </c>
      <c r="D29" s="1" t="s">
        <v>41</v>
      </c>
      <c r="E29" s="3">
        <f t="shared" si="1"/>
        <v>4.5298927330116454</v>
      </c>
      <c r="G29" s="4"/>
      <c r="H29" s="5"/>
      <c r="J29" s="1" t="s">
        <v>6</v>
      </c>
      <c r="K29" s="3">
        <f t="shared" si="2"/>
        <v>10.0900476</v>
      </c>
      <c r="N29" s="53"/>
      <c r="AD29" s="4"/>
      <c r="AE29" s="229"/>
      <c r="AF29" s="229"/>
      <c r="AG29" s="229"/>
      <c r="AH29" s="5"/>
      <c r="AI29" s="5"/>
      <c r="AJ29" s="183"/>
      <c r="AK29" s="4"/>
      <c r="AL29" s="229"/>
      <c r="AM29" s="229"/>
      <c r="AN29" s="229"/>
      <c r="AO29" s="229"/>
      <c r="AP29" s="5"/>
      <c r="AQ29" s="183"/>
      <c r="AR29" s="62"/>
      <c r="AS29" s="62"/>
      <c r="AT29" s="62"/>
      <c r="AU29" s="62"/>
      <c r="AV29" s="62"/>
      <c r="AW29" s="62"/>
      <c r="AX29" s="4"/>
      <c r="AY29" s="5"/>
      <c r="AZ29" s="5"/>
      <c r="BA29" s="4"/>
      <c r="BB29" s="5"/>
      <c r="BC29" s="5"/>
      <c r="BD29" s="62"/>
      <c r="BE29" s="229"/>
      <c r="BF29" s="62"/>
      <c r="BG29" s="62"/>
      <c r="BH29" s="229"/>
      <c r="BI29" s="229"/>
      <c r="BJ29" s="4"/>
      <c r="BK29" s="5"/>
      <c r="BL29" s="5"/>
      <c r="BM29" s="4"/>
      <c r="BN29" s="5"/>
      <c r="BO29" s="5"/>
      <c r="BP29" s="4"/>
      <c r="BQ29" s="5"/>
      <c r="BR29" s="5"/>
      <c r="BS29" s="4"/>
      <c r="BT29" s="5"/>
      <c r="BU29" s="62"/>
      <c r="BV29" s="62"/>
      <c r="BW29" s="62"/>
      <c r="BX29" s="62"/>
      <c r="BY29" s="62"/>
      <c r="BZ29" s="62"/>
      <c r="CA29" s="62"/>
      <c r="CB29" s="62"/>
      <c r="CC29" s="62"/>
      <c r="CD29" s="62"/>
      <c r="CE29" s="62"/>
      <c r="CF29" s="62"/>
      <c r="CG29" s="62"/>
      <c r="CH29" s="62"/>
      <c r="CI29" s="62"/>
      <c r="CJ29" s="62"/>
      <c r="CK29" s="62"/>
      <c r="CL29" s="62"/>
      <c r="CM29" s="62"/>
      <c r="CN29" s="62"/>
      <c r="CO29" s="62"/>
      <c r="CP29" s="62"/>
      <c r="CQ29" s="62"/>
      <c r="CR29" s="62"/>
      <c r="CS29" s="62"/>
      <c r="CT29" s="62"/>
      <c r="CU29" s="62"/>
      <c r="CV29" s="62"/>
      <c r="CW29" s="62"/>
      <c r="CX29" s="62"/>
      <c r="CY29" s="62"/>
    </row>
    <row r="30" spans="1:103" ht="13.5" customHeight="1">
      <c r="C30" s="34">
        <f t="shared" si="3"/>
        <v>5</v>
      </c>
      <c r="D30" s="1" t="s">
        <v>6</v>
      </c>
      <c r="E30" s="3">
        <f t="shared" si="1"/>
        <v>4.7913333333333332</v>
      </c>
      <c r="G30" s="4"/>
      <c r="H30" s="5"/>
      <c r="J30" s="1" t="s">
        <v>41</v>
      </c>
      <c r="K30" s="3">
        <f t="shared" si="2"/>
        <v>11.826596214780686</v>
      </c>
      <c r="N30" s="53"/>
      <c r="AD30" s="4"/>
      <c r="AE30" s="229"/>
      <c r="AF30" s="229"/>
      <c r="AG30" s="229"/>
      <c r="AH30" s="5"/>
      <c r="AI30" s="5"/>
      <c r="AJ30" s="183"/>
      <c r="AK30" s="4"/>
      <c r="AL30" s="229"/>
      <c r="AM30" s="229"/>
      <c r="AN30" s="229"/>
      <c r="AO30" s="229"/>
      <c r="AP30" s="5"/>
      <c r="AQ30" s="183"/>
      <c r="AR30" s="62"/>
      <c r="AS30" s="62"/>
      <c r="AT30" s="62"/>
      <c r="AU30" s="62"/>
      <c r="AV30" s="62"/>
      <c r="AW30" s="62"/>
      <c r="AX30" s="4"/>
      <c r="AY30" s="5"/>
      <c r="AZ30" s="5"/>
      <c r="BA30" s="4"/>
      <c r="BB30" s="5"/>
      <c r="BC30" s="5"/>
      <c r="BD30" s="62"/>
      <c r="BE30" s="229"/>
      <c r="BF30" s="62"/>
      <c r="BG30" s="62"/>
      <c r="BH30" s="229"/>
      <c r="BI30" s="229"/>
      <c r="BJ30" s="4"/>
      <c r="BK30" s="5"/>
      <c r="BL30" s="5"/>
      <c r="BM30" s="4"/>
      <c r="BN30" s="5"/>
      <c r="BO30" s="5"/>
      <c r="BP30" s="4"/>
      <c r="BQ30" s="5"/>
      <c r="BR30" s="5"/>
      <c r="BS30" s="4"/>
      <c r="BT30" s="5"/>
      <c r="BU30" s="62"/>
      <c r="BV30" s="62"/>
      <c r="BW30" s="62"/>
      <c r="BX30" s="62"/>
      <c r="BY30" s="62"/>
      <c r="BZ30" s="62"/>
      <c r="CA30" s="62"/>
      <c r="CB30" s="62"/>
      <c r="CC30" s="62"/>
      <c r="CD30" s="62"/>
      <c r="CE30" s="62"/>
      <c r="CF30" s="62"/>
      <c r="CG30" s="62"/>
      <c r="CH30" s="62"/>
      <c r="CI30" s="62"/>
      <c r="CJ30" s="62"/>
      <c r="CK30" s="62"/>
      <c r="CL30" s="62"/>
      <c r="CM30" s="62"/>
      <c r="CN30" s="62"/>
      <c r="CO30" s="62"/>
      <c r="CP30" s="62"/>
      <c r="CQ30" s="62"/>
      <c r="CR30" s="62"/>
      <c r="CS30" s="62"/>
      <c r="CT30" s="62"/>
      <c r="CU30" s="62"/>
      <c r="CV30" s="62"/>
      <c r="CW30" s="62"/>
      <c r="CX30" s="62"/>
      <c r="CY30" s="62"/>
    </row>
    <row r="31" spans="1:103" ht="13.5" customHeight="1">
      <c r="C31" s="34">
        <f t="shared" si="3"/>
        <v>6</v>
      </c>
      <c r="D31" s="1" t="s">
        <v>202</v>
      </c>
      <c r="E31" s="3">
        <f t="shared" si="1"/>
        <v>4.9141355547141226</v>
      </c>
      <c r="G31" s="4"/>
      <c r="H31" s="5"/>
      <c r="J31" s="1" t="s">
        <v>5</v>
      </c>
      <c r="K31" s="3">
        <f t="shared" si="2"/>
        <v>13.657809936665535</v>
      </c>
      <c r="N31" s="53"/>
      <c r="AD31" s="4"/>
      <c r="AE31" s="229"/>
      <c r="AF31" s="229"/>
      <c r="AG31" s="229"/>
      <c r="AH31" s="5"/>
      <c r="AI31" s="5"/>
      <c r="AJ31" s="183"/>
      <c r="AK31" s="4"/>
      <c r="AL31" s="229"/>
      <c r="AM31" s="229"/>
      <c r="AN31" s="229"/>
      <c r="AO31" s="229"/>
      <c r="AP31" s="5"/>
      <c r="AQ31" s="183"/>
      <c r="AR31" s="62"/>
      <c r="AS31" s="62"/>
      <c r="AT31" s="62"/>
      <c r="AU31" s="62"/>
      <c r="AV31" s="62"/>
      <c r="AW31" s="62"/>
      <c r="AX31" s="4"/>
      <c r="AY31" s="5"/>
      <c r="AZ31" s="5"/>
      <c r="BA31" s="4"/>
      <c r="BB31" s="5"/>
      <c r="BC31" s="5"/>
      <c r="BD31" s="62"/>
      <c r="BE31" s="229"/>
      <c r="BF31" s="62"/>
      <c r="BG31" s="62"/>
      <c r="BH31" s="229"/>
      <c r="BI31" s="229"/>
      <c r="BJ31" s="4"/>
      <c r="BK31" s="5"/>
      <c r="BL31" s="5"/>
      <c r="BM31" s="4"/>
      <c r="BN31" s="5"/>
      <c r="BO31" s="5"/>
      <c r="BP31" s="4"/>
      <c r="BQ31" s="5"/>
      <c r="BR31" s="5"/>
      <c r="BS31" s="4"/>
      <c r="BT31" s="5"/>
      <c r="BU31" s="62"/>
      <c r="BV31" s="62"/>
      <c r="BW31" s="62"/>
      <c r="BX31" s="62"/>
      <c r="BY31" s="62"/>
      <c r="BZ31" s="62"/>
      <c r="CA31" s="62"/>
      <c r="CB31" s="62"/>
      <c r="CC31" s="62"/>
      <c r="CD31" s="62"/>
      <c r="CE31" s="62"/>
      <c r="CF31" s="62"/>
      <c r="CG31" s="62"/>
      <c r="CH31" s="62"/>
      <c r="CI31" s="62"/>
      <c r="CJ31" s="62"/>
      <c r="CK31" s="62"/>
      <c r="CL31" s="62"/>
      <c r="CM31" s="62"/>
      <c r="CN31" s="62"/>
      <c r="CO31" s="62"/>
      <c r="CP31" s="62"/>
      <c r="CQ31" s="62"/>
      <c r="CR31" s="62"/>
      <c r="CS31" s="62"/>
      <c r="CT31" s="62"/>
      <c r="CU31" s="62"/>
      <c r="CV31" s="62"/>
      <c r="CW31" s="62"/>
      <c r="CX31" s="62"/>
      <c r="CY31" s="62"/>
    </row>
    <row r="32" spans="1:103" ht="13.5" customHeight="1">
      <c r="C32" s="34">
        <f t="shared" si="3"/>
        <v>7</v>
      </c>
      <c r="D32" s="1" t="s">
        <v>28</v>
      </c>
      <c r="E32" s="3">
        <f t="shared" si="1"/>
        <v>5.9958495551210422</v>
      </c>
      <c r="G32" s="4"/>
      <c r="H32" s="5"/>
      <c r="J32" s="1" t="s">
        <v>71</v>
      </c>
      <c r="K32" s="3">
        <f t="shared" si="2"/>
        <v>14.221188128179731</v>
      </c>
      <c r="N32" s="53"/>
      <c r="AD32" s="4"/>
      <c r="AE32" s="229"/>
      <c r="AF32" s="229"/>
      <c r="AG32" s="229"/>
      <c r="AH32" s="5"/>
      <c r="AI32" s="5"/>
      <c r="AJ32" s="183"/>
      <c r="AK32" s="4"/>
      <c r="AL32" s="229"/>
      <c r="AM32" s="229"/>
      <c r="AN32" s="229"/>
      <c r="AO32" s="229"/>
      <c r="AP32" s="5"/>
      <c r="AQ32" s="183"/>
      <c r="AR32" s="62"/>
      <c r="AS32" s="62"/>
      <c r="AT32" s="62"/>
      <c r="AU32" s="62"/>
      <c r="AV32" s="62"/>
      <c r="AW32" s="62"/>
      <c r="AX32" s="4"/>
      <c r="AY32" s="5"/>
      <c r="AZ32" s="5"/>
      <c r="BA32" s="4"/>
      <c r="BB32" s="5"/>
      <c r="BC32" s="5"/>
      <c r="BD32" s="62"/>
      <c r="BE32" s="229"/>
      <c r="BF32" s="62"/>
      <c r="BG32" s="62"/>
      <c r="BH32" s="229"/>
      <c r="BI32" s="229"/>
      <c r="BJ32" s="4"/>
      <c r="BK32" s="5"/>
      <c r="BL32" s="5"/>
      <c r="BM32" s="4"/>
      <c r="BN32" s="5"/>
      <c r="BO32" s="5"/>
      <c r="BP32" s="4"/>
      <c r="BQ32" s="5"/>
      <c r="BR32" s="5"/>
      <c r="BS32" s="4"/>
      <c r="BT32" s="5"/>
      <c r="BU32" s="62"/>
      <c r="BV32" s="62"/>
      <c r="BW32" s="62"/>
      <c r="BX32" s="62"/>
      <c r="BY32" s="62"/>
      <c r="BZ32" s="62"/>
      <c r="CA32" s="62"/>
      <c r="CB32" s="62"/>
      <c r="CC32" s="62"/>
      <c r="CD32" s="62"/>
      <c r="CE32" s="62"/>
      <c r="CF32" s="62"/>
      <c r="CG32" s="62"/>
      <c r="CH32" s="62"/>
      <c r="CI32" s="62"/>
      <c r="CJ32" s="62"/>
      <c r="CK32" s="62"/>
      <c r="CL32" s="62"/>
      <c r="CM32" s="62"/>
      <c r="CN32" s="62"/>
      <c r="CO32" s="62"/>
      <c r="CP32" s="62"/>
      <c r="CQ32" s="62"/>
      <c r="CR32" s="62"/>
      <c r="CS32" s="62"/>
      <c r="CT32" s="62"/>
      <c r="CU32" s="62"/>
      <c r="CV32" s="62"/>
      <c r="CW32" s="62"/>
      <c r="CX32" s="62"/>
      <c r="CY32" s="62"/>
    </row>
    <row r="33" spans="3:103" ht="13.5" customHeight="1">
      <c r="C33" s="34">
        <f t="shared" si="3"/>
        <v>8</v>
      </c>
      <c r="D33" s="1" t="s">
        <v>2</v>
      </c>
      <c r="E33" s="3">
        <f t="shared" si="1"/>
        <v>11.034726109919013</v>
      </c>
      <c r="G33" s="4"/>
      <c r="H33" s="5"/>
      <c r="J33" s="1" t="s">
        <v>4</v>
      </c>
      <c r="K33" s="432">
        <f t="shared" si="2"/>
        <v>14.944850749581624</v>
      </c>
      <c r="N33" s="53"/>
      <c r="AD33" s="4"/>
      <c r="AE33" s="229"/>
      <c r="AF33" s="229"/>
      <c r="AG33" s="229"/>
      <c r="AH33" s="5"/>
      <c r="AI33" s="5"/>
      <c r="AJ33" s="183"/>
      <c r="AK33" s="4"/>
      <c r="AL33" s="229"/>
      <c r="AM33" s="229"/>
      <c r="AN33" s="229"/>
      <c r="AO33" s="229"/>
      <c r="AP33" s="5"/>
      <c r="AQ33" s="233"/>
      <c r="AR33" s="62"/>
      <c r="AS33" s="62"/>
      <c r="AT33" s="62"/>
      <c r="AU33" s="62"/>
      <c r="AV33" s="62"/>
      <c r="AW33" s="62"/>
      <c r="AX33" s="4"/>
      <c r="AY33" s="5"/>
      <c r="AZ33" s="5"/>
      <c r="BA33" s="4"/>
      <c r="BB33" s="5"/>
      <c r="BC33" s="5"/>
      <c r="BD33" s="62"/>
      <c r="BE33" s="229"/>
      <c r="BF33" s="62"/>
      <c r="BG33" s="62"/>
      <c r="BH33" s="229"/>
      <c r="BI33" s="229"/>
      <c r="BJ33" s="4"/>
      <c r="BK33" s="5"/>
      <c r="BL33" s="5"/>
      <c r="BM33" s="4"/>
      <c r="BN33" s="5"/>
      <c r="BO33" s="5"/>
      <c r="BP33" s="4"/>
      <c r="BQ33" s="5"/>
      <c r="BR33" s="5"/>
      <c r="BS33" s="4"/>
      <c r="BT33" s="5"/>
      <c r="BU33" s="62"/>
      <c r="BV33" s="62"/>
      <c r="BW33" s="62"/>
      <c r="BX33" s="62"/>
      <c r="BY33" s="62"/>
      <c r="BZ33" s="62"/>
      <c r="CA33" s="62"/>
      <c r="CB33" s="62"/>
      <c r="CC33" s="62"/>
      <c r="CD33" s="62"/>
      <c r="CE33" s="62"/>
      <c r="CF33" s="62"/>
      <c r="CG33" s="62"/>
      <c r="CH33" s="62"/>
      <c r="CI33" s="62"/>
      <c r="CJ33" s="62"/>
      <c r="CK33" s="62"/>
      <c r="CL33" s="62"/>
      <c r="CM33" s="62"/>
      <c r="CN33" s="62"/>
      <c r="CO33" s="62"/>
      <c r="CP33" s="62"/>
      <c r="CQ33" s="62"/>
      <c r="CR33" s="62"/>
      <c r="CS33" s="62"/>
      <c r="CT33" s="62"/>
      <c r="CU33" s="62"/>
      <c r="CV33" s="62"/>
      <c r="CW33" s="62"/>
      <c r="CX33" s="62"/>
      <c r="CY33" s="62"/>
    </row>
    <row r="34" spans="3:103" ht="13.5" customHeight="1">
      <c r="C34" s="199">
        <f t="shared" si="3"/>
        <v>9</v>
      </c>
      <c r="D34" s="1" t="s">
        <v>5</v>
      </c>
      <c r="E34" s="3">
        <f t="shared" si="1"/>
        <v>14.227743686024855</v>
      </c>
      <c r="G34" s="4"/>
      <c r="H34" s="5"/>
      <c r="J34" s="1" t="s">
        <v>28</v>
      </c>
      <c r="K34" s="3">
        <f t="shared" si="2"/>
        <v>15.006543917043071</v>
      </c>
      <c r="N34" s="53"/>
      <c r="AD34" s="4"/>
      <c r="AE34" s="229"/>
      <c r="AF34" s="229"/>
      <c r="AG34" s="229"/>
      <c r="AH34" s="5"/>
      <c r="AI34" s="5"/>
      <c r="AJ34" s="183"/>
      <c r="AK34" s="4"/>
      <c r="AL34" s="229"/>
      <c r="AM34" s="229"/>
      <c r="AN34" s="229"/>
      <c r="AO34" s="229"/>
      <c r="AP34" s="5"/>
      <c r="AQ34" s="183"/>
      <c r="AR34" s="62"/>
      <c r="AS34" s="62"/>
      <c r="AT34" s="62"/>
      <c r="AU34" s="62"/>
      <c r="AV34" s="62"/>
      <c r="AW34" s="154"/>
      <c r="AX34" s="4"/>
      <c r="AY34" s="5"/>
      <c r="AZ34" s="5"/>
      <c r="BA34" s="4"/>
      <c r="BB34" s="5"/>
      <c r="BC34" s="5"/>
      <c r="BD34" s="62"/>
      <c r="BE34" s="229"/>
      <c r="BF34" s="62"/>
      <c r="BG34" s="62"/>
      <c r="BH34" s="229"/>
      <c r="BI34" s="229"/>
      <c r="BJ34" s="4"/>
      <c r="BK34" s="5"/>
      <c r="BL34" s="5"/>
      <c r="BM34" s="4"/>
      <c r="BN34" s="5"/>
      <c r="BO34" s="5"/>
      <c r="BP34" s="4"/>
      <c r="BQ34" s="5"/>
      <c r="BR34" s="5"/>
      <c r="BS34" s="4"/>
      <c r="BT34" s="5"/>
      <c r="BU34" s="62"/>
      <c r="BV34" s="62"/>
      <c r="BW34" s="62"/>
      <c r="BX34" s="62"/>
      <c r="BY34" s="62"/>
      <c r="BZ34" s="62"/>
      <c r="CA34" s="62"/>
      <c r="CB34" s="62"/>
      <c r="CC34" s="62"/>
      <c r="CD34" s="62"/>
      <c r="CE34" s="62"/>
      <c r="CF34" s="62"/>
      <c r="CG34" s="62"/>
      <c r="CH34" s="62"/>
      <c r="CI34" s="62"/>
      <c r="CJ34" s="62"/>
      <c r="CK34" s="62"/>
      <c r="CL34" s="62"/>
      <c r="CM34" s="62"/>
      <c r="CN34" s="62"/>
      <c r="CO34" s="62"/>
      <c r="CP34" s="62"/>
      <c r="CQ34" s="62"/>
      <c r="CR34" s="62"/>
      <c r="CS34" s="62"/>
      <c r="CT34" s="62"/>
      <c r="CU34" s="62"/>
      <c r="CV34" s="62"/>
      <c r="CW34" s="62"/>
      <c r="CX34" s="62"/>
      <c r="CY34" s="62"/>
    </row>
    <row r="35" spans="3:103" ht="13.5" customHeight="1">
      <c r="C35" s="34">
        <f t="shared" si="3"/>
        <v>10</v>
      </c>
      <c r="D35" s="1" t="s">
        <v>71</v>
      </c>
      <c r="E35" s="3">
        <f t="shared" si="1"/>
        <v>14.522266198046566</v>
      </c>
      <c r="G35" s="4"/>
      <c r="H35" s="5"/>
      <c r="J35" s="1" t="s">
        <v>74</v>
      </c>
      <c r="K35" s="3">
        <f t="shared" si="2"/>
        <v>16.191866842136921</v>
      </c>
      <c r="N35" s="53"/>
      <c r="AD35" s="4"/>
      <c r="AE35" s="229"/>
      <c r="AF35" s="229"/>
      <c r="AG35" s="229"/>
      <c r="AH35" s="5"/>
      <c r="AI35" s="5"/>
      <c r="AJ35" s="183"/>
      <c r="AK35" s="4"/>
      <c r="AL35" s="229"/>
      <c r="AM35" s="229"/>
      <c r="AN35" s="229"/>
      <c r="AO35" s="229"/>
      <c r="AP35" s="5"/>
      <c r="AQ35" s="183"/>
      <c r="AR35" s="62"/>
      <c r="AS35" s="62"/>
      <c r="AT35" s="62"/>
      <c r="AU35" s="62"/>
      <c r="AV35" s="62"/>
      <c r="AW35" s="62"/>
      <c r="AX35" s="4"/>
      <c r="AY35" s="5"/>
      <c r="AZ35" s="5"/>
      <c r="BA35" s="4"/>
      <c r="BB35" s="5"/>
      <c r="BC35" s="5"/>
      <c r="BD35" s="62"/>
      <c r="BE35" s="229"/>
      <c r="BF35" s="62"/>
      <c r="BG35" s="62"/>
      <c r="BH35" s="229"/>
      <c r="BI35" s="229"/>
      <c r="BJ35" s="4"/>
      <c r="BK35" s="5"/>
      <c r="BL35" s="5"/>
      <c r="BM35" s="4"/>
      <c r="BN35" s="5"/>
      <c r="BO35" s="5"/>
      <c r="BP35" s="4"/>
      <c r="BQ35" s="5"/>
      <c r="BR35" s="5"/>
      <c r="BS35" s="4"/>
      <c r="BT35" s="5"/>
      <c r="BU35" s="62"/>
      <c r="BV35" s="62"/>
      <c r="BW35" s="62"/>
      <c r="BX35" s="62"/>
      <c r="BY35" s="62"/>
      <c r="BZ35" s="62"/>
      <c r="CA35" s="62"/>
      <c r="CB35" s="62"/>
      <c r="CC35" s="62"/>
      <c r="CD35" s="62"/>
      <c r="CE35" s="62"/>
      <c r="CF35" s="62"/>
      <c r="CG35" s="62"/>
      <c r="CH35" s="62"/>
      <c r="CI35" s="62"/>
      <c r="CJ35" s="62"/>
      <c r="CK35" s="62"/>
      <c r="CL35" s="62"/>
      <c r="CM35" s="62"/>
      <c r="CN35" s="62"/>
      <c r="CO35" s="62"/>
      <c r="CP35" s="62"/>
      <c r="CQ35" s="62"/>
      <c r="CR35" s="62"/>
      <c r="CS35" s="62"/>
      <c r="CT35" s="62"/>
      <c r="CU35" s="62"/>
      <c r="CV35" s="62"/>
      <c r="CW35" s="62"/>
      <c r="CX35" s="62"/>
      <c r="CY35" s="62"/>
    </row>
    <row r="36" spans="3:103" ht="13.5" customHeight="1">
      <c r="C36" s="34">
        <f t="shared" si="3"/>
        <v>11</v>
      </c>
      <c r="D36" s="1" t="s">
        <v>4</v>
      </c>
      <c r="E36" s="432">
        <f t="shared" si="1"/>
        <v>14.633742604152898</v>
      </c>
      <c r="G36" s="4"/>
      <c r="H36" s="5"/>
      <c r="J36" s="1" t="s">
        <v>10</v>
      </c>
      <c r="K36" s="3">
        <f t="shared" si="2"/>
        <v>18.169349547970992</v>
      </c>
      <c r="N36" s="53"/>
      <c r="AD36" s="4"/>
      <c r="AE36" s="229"/>
      <c r="AF36" s="229"/>
      <c r="AG36" s="229"/>
      <c r="AH36" s="5"/>
      <c r="AI36" s="5"/>
      <c r="AJ36" s="183"/>
      <c r="AK36" s="4"/>
      <c r="AL36" s="229"/>
      <c r="AM36" s="229"/>
      <c r="AN36" s="229"/>
      <c r="AO36" s="229"/>
      <c r="AP36" s="5"/>
      <c r="AQ36" s="183"/>
      <c r="AR36" s="62"/>
      <c r="AS36" s="62"/>
      <c r="AT36" s="62"/>
      <c r="AU36" s="62"/>
      <c r="AV36" s="62"/>
      <c r="AW36" s="62"/>
      <c r="AX36" s="4"/>
      <c r="AY36" s="5"/>
      <c r="AZ36" s="5"/>
      <c r="BA36" s="4"/>
      <c r="BB36" s="5"/>
      <c r="BC36" s="5"/>
      <c r="BD36" s="62"/>
      <c r="BE36" s="229"/>
      <c r="BF36" s="62"/>
      <c r="BG36" s="62"/>
      <c r="BH36" s="229"/>
      <c r="BI36" s="229"/>
      <c r="BJ36" s="4"/>
      <c r="BK36" s="5"/>
      <c r="BL36" s="5"/>
      <c r="BM36" s="4"/>
      <c r="BN36" s="5"/>
      <c r="BO36" s="5"/>
      <c r="BP36" s="4"/>
      <c r="BQ36" s="5"/>
      <c r="BR36" s="5"/>
      <c r="BS36" s="4"/>
      <c r="BT36" s="5"/>
      <c r="BU36" s="62"/>
      <c r="BV36" s="62"/>
      <c r="BW36" s="62"/>
      <c r="BX36" s="62"/>
      <c r="BY36" s="62"/>
      <c r="BZ36" s="62"/>
      <c r="CA36" s="62"/>
      <c r="CB36" s="62"/>
      <c r="CC36" s="62"/>
      <c r="CD36" s="62"/>
      <c r="CE36" s="62"/>
      <c r="CF36" s="62"/>
      <c r="CG36" s="62"/>
      <c r="CH36" s="62"/>
      <c r="CI36" s="62"/>
      <c r="CJ36" s="62"/>
      <c r="CK36" s="62"/>
      <c r="CL36" s="62"/>
      <c r="CM36" s="62"/>
      <c r="CN36" s="62"/>
      <c r="CO36" s="62"/>
      <c r="CP36" s="62"/>
      <c r="CQ36" s="62"/>
      <c r="CR36" s="62"/>
      <c r="CS36" s="62"/>
      <c r="CT36" s="62"/>
      <c r="CU36" s="62"/>
      <c r="CV36" s="62"/>
      <c r="CW36" s="62"/>
      <c r="CX36" s="62"/>
      <c r="CY36" s="62"/>
    </row>
    <row r="37" spans="3:103" ht="13.5" customHeight="1">
      <c r="C37" s="308">
        <f t="shared" si="3"/>
        <v>12</v>
      </c>
      <c r="D37" s="1" t="s">
        <v>78</v>
      </c>
      <c r="E37" s="3">
        <f t="shared" si="1"/>
        <v>17.179217599999998</v>
      </c>
      <c r="G37" s="4"/>
      <c r="H37" s="5"/>
      <c r="J37" s="1" t="s">
        <v>202</v>
      </c>
      <c r="K37" s="3">
        <f t="shared" si="2"/>
        <v>19.245134976912784</v>
      </c>
      <c r="N37" s="53"/>
      <c r="AD37" s="4"/>
      <c r="AE37" s="229"/>
      <c r="AF37" s="229"/>
      <c r="AG37" s="229"/>
      <c r="AH37" s="5"/>
      <c r="AI37" s="5"/>
      <c r="AJ37" s="183"/>
      <c r="AK37" s="4"/>
      <c r="AL37" s="229"/>
      <c r="AM37" s="229"/>
      <c r="AN37" s="229"/>
      <c r="AO37" s="229"/>
      <c r="AP37" s="5"/>
      <c r="AQ37" s="183"/>
      <c r="AR37" s="62"/>
      <c r="AS37" s="62"/>
      <c r="AT37" s="62"/>
      <c r="AU37" s="62"/>
      <c r="AV37" s="62"/>
      <c r="AW37" s="62"/>
      <c r="AX37" s="4"/>
      <c r="AY37" s="5"/>
      <c r="AZ37" s="5"/>
      <c r="BA37" s="4"/>
      <c r="BB37" s="5"/>
      <c r="BC37" s="5"/>
      <c r="BD37" s="62"/>
      <c r="BE37" s="229"/>
      <c r="BF37" s="62"/>
      <c r="BG37" s="62"/>
      <c r="BH37" s="229"/>
      <c r="BI37" s="229"/>
      <c r="BJ37" s="4"/>
      <c r="BK37" s="5"/>
      <c r="BL37" s="5"/>
      <c r="BM37" s="4"/>
      <c r="BN37" s="5"/>
      <c r="BO37" s="5"/>
      <c r="BP37" s="4"/>
      <c r="BQ37" s="5"/>
      <c r="BR37" s="5"/>
      <c r="BS37" s="4"/>
      <c r="BT37" s="5"/>
      <c r="BU37" s="62"/>
      <c r="BV37" s="62"/>
      <c r="BW37" s="62"/>
      <c r="BX37" s="62"/>
      <c r="BY37" s="62"/>
      <c r="BZ37" s="62"/>
      <c r="CA37" s="62"/>
      <c r="CB37" s="62"/>
      <c r="CC37" s="62"/>
      <c r="CD37" s="62"/>
      <c r="CE37" s="62"/>
      <c r="CF37" s="62"/>
      <c r="CG37" s="62"/>
      <c r="CH37" s="62"/>
      <c r="CI37" s="62"/>
      <c r="CJ37" s="62"/>
      <c r="CK37" s="62"/>
      <c r="CL37" s="62"/>
      <c r="CM37" s="62"/>
      <c r="CN37" s="62"/>
      <c r="CO37" s="62"/>
      <c r="CP37" s="62"/>
      <c r="CQ37" s="62"/>
      <c r="CR37" s="62"/>
      <c r="CS37" s="62"/>
      <c r="CT37" s="62"/>
      <c r="CU37" s="62"/>
      <c r="CV37" s="62"/>
      <c r="CW37" s="62"/>
      <c r="CX37" s="62"/>
      <c r="CY37" s="62"/>
    </row>
    <row r="38" spans="3:103" ht="13.5" customHeight="1">
      <c r="C38" s="34">
        <f t="shared" si="3"/>
        <v>13</v>
      </c>
      <c r="D38" s="1" t="s">
        <v>83</v>
      </c>
      <c r="E38" s="3">
        <f t="shared" si="1"/>
        <v>22.430683333333334</v>
      </c>
      <c r="G38" s="4"/>
      <c r="H38" s="5"/>
      <c r="J38" s="1" t="s">
        <v>2</v>
      </c>
      <c r="K38" s="3">
        <f t="shared" si="2"/>
        <v>19.663706529999679</v>
      </c>
      <c r="N38" s="53"/>
      <c r="AD38" s="4"/>
      <c r="AE38" s="229"/>
      <c r="AF38" s="229"/>
      <c r="AG38" s="229"/>
      <c r="AH38" s="5"/>
      <c r="AI38" s="5"/>
      <c r="AJ38" s="183"/>
      <c r="AK38" s="4"/>
      <c r="AL38" s="229"/>
      <c r="AM38" s="229"/>
      <c r="AN38" s="229"/>
      <c r="AO38" s="229"/>
      <c r="AP38" s="5"/>
      <c r="AQ38" s="183"/>
      <c r="AR38" s="62"/>
      <c r="AS38" s="62"/>
      <c r="AT38" s="62"/>
      <c r="AU38" s="62"/>
      <c r="AV38" s="62"/>
      <c r="AW38" s="62"/>
      <c r="AX38" s="4"/>
      <c r="AY38" s="5"/>
      <c r="AZ38" s="5"/>
      <c r="BA38" s="4"/>
      <c r="BB38" s="5"/>
      <c r="BC38" s="5"/>
      <c r="BD38" s="62"/>
      <c r="BE38" s="229"/>
      <c r="BF38" s="62"/>
      <c r="BG38" s="62"/>
      <c r="BH38" s="229"/>
      <c r="BI38" s="229"/>
      <c r="BJ38" s="4"/>
      <c r="BK38" s="5"/>
      <c r="BL38" s="5"/>
      <c r="BM38" s="4"/>
      <c r="BN38" s="5"/>
      <c r="BO38" s="5"/>
      <c r="BP38" s="4"/>
      <c r="BQ38" s="5"/>
      <c r="BR38" s="5"/>
      <c r="BS38" s="4"/>
      <c r="BT38" s="5"/>
      <c r="BU38" s="62"/>
      <c r="BV38" s="62"/>
      <c r="BW38" s="62"/>
      <c r="BX38" s="62"/>
      <c r="BY38" s="62"/>
      <c r="BZ38" s="62"/>
      <c r="CA38" s="62"/>
      <c r="CB38" s="62"/>
      <c r="CC38" s="62"/>
      <c r="CD38" s="62"/>
      <c r="CE38" s="62"/>
      <c r="CF38" s="62"/>
      <c r="CG38" s="62"/>
      <c r="CH38" s="62"/>
      <c r="CI38" s="62"/>
      <c r="CJ38" s="62"/>
      <c r="CK38" s="62"/>
      <c r="CL38" s="62"/>
      <c r="CM38" s="62"/>
      <c r="CN38" s="62"/>
      <c r="CO38" s="62"/>
      <c r="CP38" s="62"/>
      <c r="CQ38" s="62"/>
      <c r="CR38" s="62"/>
      <c r="CS38" s="62"/>
      <c r="CT38" s="62"/>
      <c r="CU38" s="62"/>
      <c r="CV38" s="62"/>
      <c r="CW38" s="62"/>
      <c r="CX38" s="62"/>
      <c r="CY38" s="62"/>
    </row>
    <row r="39" spans="3:103" ht="13.5" customHeight="1">
      <c r="C39" s="34">
        <f t="shared" si="3"/>
        <v>14</v>
      </c>
      <c r="D39" s="1" t="s">
        <v>74</v>
      </c>
      <c r="E39" s="3">
        <f t="shared" si="1"/>
        <v>22.609909614915679</v>
      </c>
      <c r="G39" s="4"/>
      <c r="H39" s="5"/>
      <c r="J39" s="1" t="s">
        <v>83</v>
      </c>
      <c r="K39" s="3">
        <f t="shared" si="2"/>
        <v>22.217818480600002</v>
      </c>
      <c r="N39" s="53"/>
      <c r="AD39" s="4"/>
      <c r="AE39" s="229"/>
      <c r="AF39" s="229"/>
      <c r="AG39" s="229"/>
      <c r="AH39" s="5"/>
      <c r="AI39" s="5"/>
      <c r="AJ39" s="183"/>
      <c r="AK39" s="4"/>
      <c r="AL39" s="229"/>
      <c r="AM39" s="229"/>
      <c r="AN39" s="229"/>
      <c r="AO39" s="229"/>
      <c r="AP39" s="5"/>
      <c r="AQ39" s="183"/>
      <c r="AR39" s="62"/>
      <c r="AS39" s="62"/>
      <c r="AT39" s="62"/>
      <c r="AU39" s="62"/>
      <c r="AV39" s="62"/>
      <c r="AW39" s="62"/>
      <c r="AX39" s="4"/>
      <c r="AY39" s="5"/>
      <c r="AZ39" s="5"/>
      <c r="BA39" s="4"/>
      <c r="BB39" s="5"/>
      <c r="BC39" s="5"/>
      <c r="BD39" s="62"/>
      <c r="BE39" s="229"/>
      <c r="BF39" s="62"/>
      <c r="BG39" s="62"/>
      <c r="BH39" s="229"/>
      <c r="BI39" s="229"/>
      <c r="BJ39" s="4"/>
      <c r="BK39" s="5"/>
      <c r="BL39" s="5"/>
      <c r="BM39" s="4"/>
      <c r="BN39" s="5"/>
      <c r="BO39" s="5"/>
      <c r="BP39" s="4"/>
      <c r="BQ39" s="5"/>
      <c r="BR39" s="5"/>
      <c r="BS39" s="4"/>
      <c r="BT39" s="5"/>
      <c r="BU39" s="62"/>
      <c r="BV39" s="62"/>
      <c r="BW39" s="62"/>
      <c r="BX39" s="62"/>
      <c r="BY39" s="62"/>
      <c r="BZ39" s="62"/>
      <c r="CA39" s="62"/>
      <c r="CB39" s="62"/>
      <c r="CC39" s="62"/>
      <c r="CD39" s="62"/>
      <c r="CE39" s="62"/>
      <c r="CF39" s="62"/>
      <c r="CG39" s="62"/>
      <c r="CH39" s="62"/>
      <c r="CI39" s="62"/>
      <c r="CJ39" s="62"/>
      <c r="CK39" s="62"/>
      <c r="CL39" s="62"/>
      <c r="CM39" s="62"/>
      <c r="CN39" s="62"/>
      <c r="CO39" s="62"/>
      <c r="CP39" s="62"/>
      <c r="CQ39" s="62"/>
      <c r="CR39" s="62"/>
      <c r="CS39" s="62"/>
      <c r="CT39" s="62"/>
      <c r="CU39" s="62"/>
      <c r="CV39" s="62"/>
      <c r="CW39" s="62"/>
      <c r="CX39" s="62"/>
      <c r="CY39" s="62"/>
    </row>
    <row r="40" spans="3:103" ht="13.5" customHeight="1">
      <c r="C40" s="34">
        <f t="shared" si="3"/>
        <v>15</v>
      </c>
      <c r="D40" s="1" t="s">
        <v>10</v>
      </c>
      <c r="E40" s="3">
        <f t="shared" si="1"/>
        <v>49.891734394002427</v>
      </c>
      <c r="G40" s="4"/>
      <c r="H40" s="5"/>
      <c r="J40" s="1" t="s">
        <v>78</v>
      </c>
      <c r="K40" s="3">
        <f t="shared" si="2"/>
        <v>23.8085332667</v>
      </c>
      <c r="N40" s="53"/>
      <c r="AD40" s="4"/>
      <c r="AE40" s="229"/>
      <c r="AF40" s="229"/>
      <c r="AG40" s="229"/>
      <c r="AH40" s="5"/>
      <c r="AI40" s="5"/>
      <c r="AJ40" s="183"/>
      <c r="AK40" s="4"/>
      <c r="AL40" s="229"/>
      <c r="AM40" s="229"/>
      <c r="AN40" s="229"/>
      <c r="AO40" s="229"/>
      <c r="AP40" s="5"/>
      <c r="AQ40" s="183"/>
      <c r="AR40" s="62"/>
      <c r="AS40" s="62"/>
      <c r="AT40" s="62"/>
      <c r="AU40" s="62"/>
      <c r="AV40" s="62"/>
      <c r="AW40" s="62"/>
      <c r="AX40" s="4"/>
      <c r="AY40" s="5"/>
      <c r="AZ40" s="5"/>
      <c r="BA40" s="4"/>
      <c r="BB40" s="5"/>
      <c r="BC40" s="5"/>
      <c r="BD40" s="62"/>
      <c r="BE40" s="229"/>
      <c r="BF40" s="62"/>
      <c r="BG40" s="62"/>
      <c r="BH40" s="229"/>
      <c r="BI40" s="229"/>
      <c r="BJ40" s="4"/>
      <c r="BK40" s="5"/>
      <c r="BL40" s="5"/>
      <c r="BM40" s="4"/>
      <c r="BN40" s="5"/>
      <c r="BO40" s="5"/>
      <c r="BP40" s="4"/>
      <c r="BQ40" s="5"/>
      <c r="BR40" s="5"/>
      <c r="BS40" s="4"/>
      <c r="BT40" s="5"/>
      <c r="BU40" s="62"/>
      <c r="BV40" s="62"/>
      <c r="BW40" s="62"/>
      <c r="BX40" s="62"/>
      <c r="BY40" s="62"/>
      <c r="BZ40" s="62"/>
      <c r="CA40" s="62"/>
      <c r="CB40" s="62"/>
      <c r="CC40" s="62"/>
      <c r="CD40" s="62"/>
      <c r="CE40" s="62"/>
      <c r="CF40" s="62"/>
      <c r="CG40" s="62"/>
      <c r="CH40" s="62"/>
      <c r="CI40" s="62"/>
      <c r="CJ40" s="62"/>
      <c r="CK40" s="62"/>
      <c r="CL40" s="62"/>
      <c r="CM40" s="62"/>
      <c r="CN40" s="62"/>
      <c r="CO40" s="62"/>
      <c r="CP40" s="62"/>
      <c r="CQ40" s="62"/>
      <c r="CR40" s="62"/>
      <c r="CS40" s="62"/>
      <c r="CT40" s="62"/>
      <c r="CU40" s="62"/>
      <c r="CV40" s="62"/>
      <c r="CW40" s="62"/>
      <c r="CX40" s="62"/>
      <c r="CY40" s="62"/>
    </row>
    <row r="41" spans="3:103" ht="13.5" customHeight="1">
      <c r="D41" s="4"/>
      <c r="E41" s="5"/>
      <c r="G41" s="4"/>
      <c r="H41" s="5"/>
      <c r="N41" s="53"/>
      <c r="AD41" s="62"/>
      <c r="AE41" s="62"/>
      <c r="AF41" s="62"/>
      <c r="AG41" s="62"/>
      <c r="AH41" s="62"/>
      <c r="AI41" s="62"/>
      <c r="AJ41" s="62"/>
      <c r="AK41" s="62"/>
      <c r="AL41" s="62"/>
      <c r="AM41" s="62"/>
      <c r="AN41" s="62"/>
      <c r="AO41" s="62"/>
      <c r="AP41" s="62"/>
      <c r="AQ41" s="62"/>
      <c r="AR41" s="62"/>
      <c r="AS41" s="62"/>
      <c r="AT41" s="62"/>
      <c r="AU41" s="62"/>
      <c r="AV41" s="62"/>
      <c r="AW41" s="62"/>
      <c r="AX41" s="4"/>
      <c r="AY41" s="5"/>
      <c r="AZ41" s="5"/>
      <c r="BA41" s="62"/>
      <c r="BB41" s="62"/>
      <c r="BC41" s="62"/>
      <c r="BD41" s="62"/>
      <c r="BE41" s="62"/>
      <c r="BF41" s="62"/>
      <c r="BG41" s="62"/>
      <c r="BH41" s="62"/>
      <c r="BI41" s="62"/>
      <c r="BJ41" s="4"/>
      <c r="BK41" s="5"/>
      <c r="BL41" s="5"/>
      <c r="BM41" s="62"/>
      <c r="BN41" s="62"/>
      <c r="BO41" s="62"/>
      <c r="BP41" s="4"/>
      <c r="BQ41" s="5"/>
      <c r="BR41" s="5"/>
      <c r="BS41" s="62"/>
      <c r="BT41" s="62"/>
      <c r="BU41" s="62"/>
      <c r="BV41" s="62"/>
      <c r="BW41" s="62"/>
      <c r="BX41" s="62"/>
      <c r="BY41" s="62"/>
      <c r="BZ41" s="62"/>
      <c r="CA41" s="62"/>
      <c r="CB41" s="62"/>
      <c r="CC41" s="62"/>
      <c r="CD41" s="62"/>
      <c r="CE41" s="62"/>
      <c r="CF41" s="62"/>
      <c r="CG41" s="62"/>
      <c r="CH41" s="62"/>
      <c r="CI41" s="62"/>
      <c r="CJ41" s="62"/>
      <c r="CK41" s="62"/>
      <c r="CL41" s="62"/>
      <c r="CM41" s="62"/>
      <c r="CN41" s="62"/>
      <c r="CO41" s="62"/>
      <c r="CP41" s="62"/>
      <c r="CQ41" s="62"/>
      <c r="CR41" s="62"/>
      <c r="CS41" s="62"/>
      <c r="CT41" s="62"/>
      <c r="CU41" s="62"/>
      <c r="CV41" s="62"/>
      <c r="CW41" s="62"/>
      <c r="CX41" s="62"/>
      <c r="CY41" s="62"/>
    </row>
    <row r="42" spans="3:103" ht="13.5" customHeight="1">
      <c r="D42" s="246" t="s">
        <v>301</v>
      </c>
      <c r="E42" s="5">
        <f>+AVERAGE(E26:E40)</f>
        <v>12.826160815337554</v>
      </c>
      <c r="F42" s="123">
        <f>+_xlfn.QUARTILE.EXC(E26:E40,1)</f>
        <v>4.5298927330116454</v>
      </c>
      <c r="G42" s="4"/>
      <c r="H42" s="5"/>
      <c r="J42" s="246" t="s">
        <v>301</v>
      </c>
      <c r="K42" s="5">
        <f>+AVERAGE(K26:K40)</f>
        <v>13.954441600123808</v>
      </c>
      <c r="L42" s="123">
        <f>+_xlfn.QUARTILE.EXC(K26:K40,1)</f>
        <v>10.0900476</v>
      </c>
      <c r="N42" s="123"/>
      <c r="AD42" s="62"/>
      <c r="AE42" s="62"/>
      <c r="AF42" s="62"/>
      <c r="AG42" s="62"/>
      <c r="AH42" s="62"/>
      <c r="AI42" s="62"/>
      <c r="AJ42" s="62"/>
      <c r="AK42" s="62"/>
      <c r="AL42" s="62"/>
      <c r="AM42" s="62"/>
      <c r="AN42" s="62"/>
      <c r="AO42" s="62"/>
      <c r="AP42" s="62"/>
      <c r="AQ42" s="62"/>
      <c r="AR42" s="62"/>
      <c r="AS42" s="62"/>
      <c r="AT42" s="62"/>
      <c r="AU42" s="62"/>
      <c r="AV42" s="62"/>
      <c r="AW42" s="62"/>
      <c r="AX42" s="4"/>
      <c r="AY42" s="5"/>
      <c r="AZ42" s="5"/>
      <c r="BA42" s="4"/>
      <c r="BB42" s="5"/>
      <c r="BC42" s="5"/>
      <c r="BD42" s="62"/>
      <c r="BE42" s="62"/>
      <c r="BF42" s="62"/>
      <c r="BG42" s="62"/>
      <c r="BH42" s="62"/>
      <c r="BI42" s="62"/>
      <c r="BJ42" s="4"/>
      <c r="BK42" s="5"/>
      <c r="BL42" s="5"/>
      <c r="BM42" s="4"/>
      <c r="BN42" s="5"/>
      <c r="BO42" s="5"/>
      <c r="BP42" s="4"/>
      <c r="BQ42" s="5"/>
      <c r="BR42" s="5"/>
      <c r="BS42" s="4"/>
      <c r="BT42" s="5"/>
      <c r="BU42" s="62"/>
      <c r="BV42" s="62"/>
      <c r="BW42" s="62"/>
      <c r="BX42" s="62"/>
      <c r="BY42" s="62"/>
      <c r="BZ42" s="62"/>
      <c r="CA42" s="62"/>
      <c r="CB42" s="62"/>
      <c r="CC42" s="62"/>
      <c r="CD42" s="62"/>
      <c r="CE42" s="62"/>
      <c r="CF42" s="62"/>
      <c r="CG42" s="62"/>
      <c r="CH42" s="62"/>
      <c r="CI42" s="62"/>
      <c r="CJ42" s="62"/>
      <c r="CK42" s="62"/>
      <c r="CL42" s="62"/>
      <c r="CM42" s="62"/>
      <c r="CN42" s="62"/>
      <c r="CO42" s="62"/>
      <c r="CP42" s="62"/>
      <c r="CQ42" s="62"/>
      <c r="CR42" s="62"/>
      <c r="CS42" s="62"/>
      <c r="CT42" s="62"/>
      <c r="CU42" s="62"/>
      <c r="CV42" s="62"/>
      <c r="CW42" s="62"/>
      <c r="CX42" s="62"/>
      <c r="CY42" s="62"/>
    </row>
    <row r="43" spans="3:103" ht="13.5" customHeight="1">
      <c r="D43" s="246" t="s">
        <v>4</v>
      </c>
      <c r="E43" s="135">
        <f>+VLOOKUP(D43,D26:E40,2,FALSE)</f>
        <v>14.633742604152898</v>
      </c>
      <c r="F43" s="123">
        <f>+_xlfn.QUARTILE.EXC(E26:E40,2)</f>
        <v>11.034726109919013</v>
      </c>
      <c r="G43" s="62"/>
      <c r="H43" s="62"/>
      <c r="J43" s="247" t="s">
        <v>4</v>
      </c>
      <c r="K43" s="135">
        <f>+VLOOKUP(J43,J26:K40,2,FALSE)</f>
        <v>14.944850749581624</v>
      </c>
      <c r="L43" s="123">
        <f>+_xlfn.QUARTILE.EXC(K26:K40,2)</f>
        <v>14.944850749581624</v>
      </c>
      <c r="N43" s="123"/>
      <c r="AD43" s="62"/>
      <c r="AE43" s="62"/>
      <c r="AF43" s="62"/>
      <c r="AG43" s="62"/>
      <c r="AH43" s="62"/>
      <c r="AI43" s="62"/>
      <c r="AJ43" s="62"/>
      <c r="AK43" s="62"/>
      <c r="AL43" s="62"/>
      <c r="AM43" s="62"/>
      <c r="AN43" s="62"/>
      <c r="AO43" s="62"/>
      <c r="AP43" s="62"/>
      <c r="AQ43" s="62"/>
      <c r="AR43" s="62"/>
      <c r="AS43" s="62"/>
      <c r="AT43" s="62"/>
      <c r="AU43" s="62"/>
      <c r="AV43" s="62"/>
      <c r="AW43" s="62"/>
      <c r="AX43" s="4"/>
      <c r="AY43" s="231"/>
      <c r="AZ43" s="231"/>
      <c r="BA43" s="62"/>
      <c r="BB43" s="231"/>
      <c r="BC43" s="231"/>
      <c r="BD43" s="62"/>
      <c r="BE43" s="62"/>
      <c r="BF43" s="62"/>
      <c r="BG43" s="62"/>
      <c r="BH43" s="62"/>
      <c r="BI43" s="62"/>
      <c r="BJ43" s="4"/>
      <c r="BK43" s="231"/>
      <c r="BL43" s="231"/>
      <c r="BM43" s="62"/>
      <c r="BN43" s="231"/>
      <c r="BO43" s="231"/>
      <c r="BP43" s="4"/>
      <c r="BQ43" s="231"/>
      <c r="BR43" s="231"/>
      <c r="BS43" s="62"/>
      <c r="BT43" s="231"/>
      <c r="BU43" s="62"/>
      <c r="BV43" s="62"/>
      <c r="BW43" s="62"/>
      <c r="BX43" s="62"/>
      <c r="BY43" s="62"/>
      <c r="BZ43" s="62"/>
      <c r="CA43" s="62"/>
      <c r="CB43" s="62"/>
      <c r="CC43" s="62"/>
      <c r="CD43" s="62"/>
      <c r="CE43" s="62"/>
      <c r="CF43" s="62"/>
      <c r="CG43" s="62"/>
      <c r="CH43" s="62"/>
      <c r="CI43" s="62"/>
      <c r="CJ43" s="62"/>
      <c r="CK43" s="62"/>
      <c r="CL43" s="62"/>
      <c r="CM43" s="62"/>
      <c r="CN43" s="62"/>
      <c r="CO43" s="62"/>
      <c r="CP43" s="62"/>
      <c r="CQ43" s="62"/>
      <c r="CR43" s="62"/>
      <c r="CS43" s="62"/>
      <c r="CT43" s="62"/>
      <c r="CU43" s="62"/>
      <c r="CV43" s="62"/>
      <c r="CW43" s="62"/>
      <c r="CX43" s="62"/>
      <c r="CY43" s="62"/>
    </row>
    <row r="44" spans="3:103" ht="13.5" customHeight="1">
      <c r="D44" s="4"/>
      <c r="E44" s="134" t="s">
        <v>321</v>
      </c>
      <c r="F44" s="123">
        <f>+_xlfn.QUARTILE.EXC(E26:E40,3)</f>
        <v>17.179217599999998</v>
      </c>
      <c r="G44" s="62"/>
      <c r="H44" s="62"/>
      <c r="K44" s="134" t="s">
        <v>321</v>
      </c>
      <c r="L44" s="123">
        <f>+_xlfn.QUARTILE.EXC(K26:K40,3)</f>
        <v>19.245134976912784</v>
      </c>
      <c r="N44" s="123"/>
      <c r="AD44" s="62"/>
      <c r="AE44" s="62"/>
      <c r="AF44" s="62"/>
      <c r="AG44" s="62"/>
      <c r="AH44" s="62"/>
      <c r="AI44" s="62"/>
      <c r="AJ44" s="62"/>
      <c r="AK44" s="62"/>
      <c r="AL44" s="62"/>
      <c r="AM44" s="62"/>
      <c r="AN44" s="62"/>
      <c r="AO44" s="62"/>
      <c r="AP44" s="62"/>
      <c r="AQ44" s="62"/>
      <c r="AR44" s="62"/>
      <c r="AS44" s="62"/>
      <c r="AT44" s="62"/>
      <c r="AU44" s="62"/>
      <c r="AV44" s="62"/>
      <c r="AW44" s="62"/>
      <c r="AX44" s="4"/>
      <c r="AY44" s="232"/>
      <c r="AZ44" s="232"/>
      <c r="BA44" s="62"/>
      <c r="BB44" s="232"/>
      <c r="BC44" s="232"/>
      <c r="BD44" s="62"/>
      <c r="BE44" s="62"/>
      <c r="BF44" s="62"/>
      <c r="BG44" s="62"/>
      <c r="BH44" s="62"/>
      <c r="BI44" s="62"/>
      <c r="BJ44" s="4"/>
      <c r="BK44" s="232"/>
      <c r="BL44" s="232"/>
      <c r="BM44" s="62"/>
      <c r="BN44" s="232"/>
      <c r="BO44" s="232"/>
      <c r="BP44" s="4"/>
      <c r="BQ44" s="232"/>
      <c r="BR44" s="232"/>
      <c r="BS44" s="62"/>
      <c r="BT44" s="232"/>
      <c r="BU44" s="62"/>
      <c r="BV44" s="62"/>
      <c r="BW44" s="62"/>
      <c r="BX44" s="62"/>
      <c r="BY44" s="62"/>
      <c r="BZ44" s="62"/>
      <c r="CA44" s="62"/>
      <c r="CB44" s="62"/>
      <c r="CC44" s="62"/>
      <c r="CD44" s="62"/>
      <c r="CE44" s="62"/>
      <c r="CF44" s="62"/>
      <c r="CG44" s="62"/>
      <c r="CH44" s="62"/>
      <c r="CI44" s="62"/>
      <c r="CJ44" s="62"/>
      <c r="CK44" s="62"/>
      <c r="CL44" s="62"/>
      <c r="CM44" s="62"/>
      <c r="CN44" s="62"/>
      <c r="CO44" s="62"/>
      <c r="CP44" s="62"/>
      <c r="CQ44" s="62"/>
      <c r="CR44" s="62"/>
      <c r="CS44" s="62"/>
      <c r="CT44" s="62"/>
      <c r="CU44" s="62"/>
      <c r="CV44" s="62"/>
      <c r="CW44" s="62"/>
      <c r="CX44" s="62"/>
      <c r="CY44" s="62"/>
    </row>
    <row r="45" spans="3:103" ht="13.5" customHeight="1">
      <c r="D45" s="4"/>
      <c r="E45" s="5"/>
      <c r="F45" s="37"/>
      <c r="G45" s="62"/>
      <c r="H45" s="62"/>
      <c r="N45" s="122"/>
      <c r="AD45" s="62"/>
      <c r="AE45" s="62"/>
      <c r="AF45" s="62"/>
      <c r="AG45" s="62"/>
      <c r="AH45" s="62"/>
      <c r="AI45" s="62"/>
      <c r="AJ45" s="62"/>
      <c r="AK45" s="62"/>
      <c r="AL45" s="62"/>
      <c r="AM45" s="62"/>
      <c r="AN45" s="62"/>
      <c r="AO45" s="62"/>
      <c r="AP45" s="62"/>
      <c r="AQ45" s="62"/>
      <c r="AR45" s="62"/>
      <c r="AS45" s="62"/>
      <c r="AT45" s="62"/>
      <c r="AU45" s="62"/>
      <c r="AV45" s="62"/>
      <c r="AW45" s="62"/>
      <c r="AX45" s="4"/>
      <c r="AY45" s="5"/>
      <c r="AZ45" s="5"/>
      <c r="BA45" s="62"/>
      <c r="BB45" s="62"/>
      <c r="BC45" s="62"/>
      <c r="BD45" s="62"/>
      <c r="BE45" s="62"/>
      <c r="BF45" s="62"/>
      <c r="BG45" s="62"/>
      <c r="BH45" s="62"/>
      <c r="BI45" s="62"/>
      <c r="BJ45" s="4"/>
      <c r="BK45" s="5"/>
      <c r="BL45" s="5"/>
      <c r="BM45" s="62"/>
      <c r="BN45" s="62"/>
      <c r="BO45" s="62"/>
      <c r="BP45" s="4"/>
      <c r="BQ45" s="5"/>
      <c r="BR45" s="5"/>
      <c r="BS45" s="62"/>
      <c r="BT45" s="62"/>
      <c r="BU45" s="62"/>
      <c r="BV45" s="62"/>
      <c r="BW45" s="62"/>
      <c r="BX45" s="62"/>
      <c r="BY45" s="62"/>
      <c r="BZ45" s="62"/>
      <c r="CA45" s="62"/>
      <c r="CB45" s="62"/>
      <c r="CC45" s="62"/>
      <c r="CD45" s="62"/>
      <c r="CE45" s="62"/>
      <c r="CF45" s="62"/>
      <c r="CG45" s="62"/>
      <c r="CH45" s="62"/>
      <c r="CI45" s="62"/>
      <c r="CJ45" s="62"/>
      <c r="CK45" s="62"/>
      <c r="CL45" s="62"/>
      <c r="CM45" s="62"/>
      <c r="CN45" s="62"/>
      <c r="CO45" s="62"/>
      <c r="CP45" s="62"/>
      <c r="CQ45" s="62"/>
      <c r="CR45" s="62"/>
      <c r="CS45" s="62"/>
      <c r="CT45" s="62"/>
      <c r="CU45" s="62"/>
      <c r="CV45" s="62"/>
      <c r="CW45" s="62"/>
      <c r="CX45" s="62"/>
      <c r="CY45" s="62"/>
    </row>
    <row r="46" spans="3:103" ht="13.5" customHeight="1">
      <c r="G46" s="62"/>
      <c r="H46" s="62"/>
      <c r="N46" s="34"/>
      <c r="AD46" s="62"/>
      <c r="AE46" s="483"/>
      <c r="AF46" s="483"/>
      <c r="AG46" s="483"/>
      <c r="AH46" s="483"/>
      <c r="AI46" s="483"/>
      <c r="AJ46" s="62"/>
      <c r="AK46" s="62"/>
      <c r="AL46" s="483"/>
      <c r="AM46" s="483"/>
      <c r="AN46" s="483"/>
      <c r="AO46" s="483"/>
      <c r="AP46" s="483"/>
      <c r="AQ46" s="62"/>
      <c r="AR46" s="62"/>
      <c r="AS46" s="62"/>
      <c r="AT46" s="62"/>
      <c r="AU46" s="62"/>
      <c r="AV46" s="62"/>
      <c r="AW46" s="62"/>
      <c r="AX46" s="62"/>
      <c r="AY46" s="62"/>
      <c r="AZ46" s="62"/>
      <c r="BA46" s="62"/>
      <c r="BB46" s="62"/>
      <c r="BC46" s="62"/>
      <c r="BD46" s="62"/>
      <c r="BE46" s="62"/>
      <c r="BF46" s="62"/>
      <c r="BG46" s="62"/>
      <c r="BH46" s="62"/>
      <c r="BI46" s="62"/>
      <c r="BJ46" s="62"/>
      <c r="BK46" s="62"/>
      <c r="BL46" s="62"/>
      <c r="BM46" s="62"/>
      <c r="BN46" s="62"/>
      <c r="BO46" s="62"/>
      <c r="BP46" s="62"/>
      <c r="BQ46" s="62"/>
      <c r="BR46" s="62"/>
      <c r="BS46" s="62"/>
      <c r="BT46" s="62"/>
      <c r="BU46" s="62"/>
      <c r="BV46" s="62"/>
      <c r="BW46" s="62"/>
      <c r="BX46" s="62"/>
      <c r="BY46" s="62"/>
      <c r="BZ46" s="62"/>
      <c r="CA46" s="62"/>
      <c r="CB46" s="62"/>
      <c r="CC46" s="62"/>
      <c r="CD46" s="62"/>
      <c r="CE46" s="62"/>
      <c r="CF46" s="62"/>
      <c r="CG46" s="62"/>
      <c r="CH46" s="62"/>
      <c r="CI46" s="62"/>
      <c r="CJ46" s="62"/>
      <c r="CK46" s="62"/>
      <c r="CL46" s="62"/>
      <c r="CM46" s="62"/>
      <c r="CN46" s="62"/>
      <c r="CO46" s="62"/>
      <c r="CP46" s="62"/>
      <c r="CQ46" s="62"/>
      <c r="CR46" s="62"/>
      <c r="CS46" s="62"/>
      <c r="CT46" s="62"/>
      <c r="CU46" s="62"/>
      <c r="CV46" s="62"/>
      <c r="CW46" s="62"/>
      <c r="CX46" s="62"/>
      <c r="CY46" s="62"/>
    </row>
    <row r="47" spans="3:103" ht="13.5" customHeight="1">
      <c r="D47" s="36" t="s">
        <v>3</v>
      </c>
      <c r="E47" s="36">
        <v>65</v>
      </c>
      <c r="G47" s="198"/>
      <c r="H47" s="198"/>
      <c r="J47" s="36" t="s">
        <v>3</v>
      </c>
      <c r="K47" s="36" t="s">
        <v>124</v>
      </c>
      <c r="N47" s="34"/>
      <c r="AD47" s="198"/>
      <c r="AE47" s="237"/>
      <c r="AF47" s="237"/>
      <c r="AG47" s="237"/>
      <c r="AH47" s="237"/>
      <c r="AI47" s="237"/>
      <c r="AJ47" s="62"/>
      <c r="AK47" s="198"/>
      <c r="AL47" s="237"/>
      <c r="AM47" s="237"/>
      <c r="AN47" s="237"/>
      <c r="AO47" s="237"/>
      <c r="AP47" s="237"/>
      <c r="AQ47" s="62"/>
      <c r="AR47" s="154"/>
      <c r="AS47" s="228"/>
      <c r="AT47" s="62"/>
      <c r="AU47" s="154"/>
      <c r="AV47" s="228"/>
      <c r="AW47" s="62"/>
      <c r="AX47" s="198"/>
      <c r="AY47" s="198"/>
      <c r="AZ47" s="198"/>
      <c r="BA47" s="198"/>
      <c r="BB47" s="198"/>
      <c r="BC47" s="198"/>
      <c r="BD47" s="154"/>
      <c r="BE47" s="228"/>
      <c r="BF47" s="62"/>
      <c r="BG47" s="154"/>
      <c r="BH47" s="228"/>
      <c r="BI47" s="228"/>
      <c r="BJ47" s="198"/>
      <c r="BK47" s="198"/>
      <c r="BL47" s="198"/>
      <c r="BM47" s="198"/>
      <c r="BN47" s="198"/>
      <c r="BO47" s="198"/>
      <c r="BP47" s="198"/>
      <c r="BQ47" s="198"/>
      <c r="BR47" s="198"/>
      <c r="BS47" s="198"/>
      <c r="BT47" s="198"/>
      <c r="BU47" s="62"/>
      <c r="BV47" s="62"/>
      <c r="BW47" s="62"/>
      <c r="BX47" s="62"/>
      <c r="BY47" s="62"/>
      <c r="BZ47" s="62"/>
      <c r="CA47" s="62"/>
      <c r="CB47" s="62"/>
      <c r="CC47" s="62"/>
      <c r="CD47" s="62"/>
      <c r="CE47" s="62"/>
      <c r="CF47" s="62"/>
      <c r="CG47" s="62"/>
      <c r="CH47" s="62"/>
      <c r="CI47" s="62"/>
      <c r="CJ47" s="62"/>
      <c r="CK47" s="62"/>
      <c r="CL47" s="62"/>
      <c r="CM47" s="62"/>
      <c r="CN47" s="62"/>
      <c r="CO47" s="62"/>
      <c r="CP47" s="62"/>
      <c r="CQ47" s="62"/>
      <c r="CR47" s="62"/>
      <c r="CS47" s="62"/>
      <c r="CT47" s="62"/>
      <c r="CU47" s="62"/>
      <c r="CV47" s="62"/>
      <c r="CW47" s="62"/>
      <c r="CX47" s="62"/>
      <c r="CY47" s="62"/>
    </row>
    <row r="48" spans="3:103" ht="13.5" customHeight="1">
      <c r="C48" s="34">
        <v>1</v>
      </c>
      <c r="D48" s="1" t="s">
        <v>7</v>
      </c>
      <c r="E48" s="3">
        <f t="shared" ref="E48:E62" si="4">VLOOKUP(D48,$C$7:$K$21,4,0)</f>
        <v>0.22749590718109972</v>
      </c>
      <c r="G48" s="4"/>
      <c r="H48" s="5"/>
      <c r="J48" s="1" t="s">
        <v>7</v>
      </c>
      <c r="K48" s="3">
        <f t="shared" ref="K48:K62" si="5">VLOOKUP(J48,$C$7:$K$21,9,0)</f>
        <v>0.30687584642687643</v>
      </c>
      <c r="N48" s="34"/>
      <c r="AD48" s="4"/>
      <c r="AE48" s="229"/>
      <c r="AF48" s="229"/>
      <c r="AG48" s="229"/>
      <c r="AH48" s="229"/>
      <c r="AI48" s="5"/>
      <c r="AJ48" s="183"/>
      <c r="AK48" s="4"/>
      <c r="AL48" s="229"/>
      <c r="AM48" s="229"/>
      <c r="AN48" s="229"/>
      <c r="AO48" s="5"/>
      <c r="AP48" s="5"/>
      <c r="AQ48" s="183"/>
      <c r="AR48" s="62"/>
      <c r="AS48" s="94"/>
      <c r="AT48" s="62"/>
      <c r="AU48" s="62"/>
      <c r="AV48" s="94"/>
      <c r="AW48" s="62"/>
      <c r="AX48" s="4"/>
      <c r="AY48" s="5"/>
      <c r="AZ48" s="5"/>
      <c r="BA48" s="4"/>
      <c r="BB48" s="5"/>
      <c r="BC48" s="5"/>
      <c r="BD48" s="62"/>
      <c r="BE48" s="94"/>
      <c r="BF48" s="62"/>
      <c r="BG48" s="62"/>
      <c r="BH48" s="94"/>
      <c r="BI48" s="94"/>
      <c r="BJ48" s="4"/>
      <c r="BK48" s="5"/>
      <c r="BL48" s="5"/>
      <c r="BM48" s="4"/>
      <c r="BN48" s="5"/>
      <c r="BO48" s="5"/>
      <c r="BP48" s="4"/>
      <c r="BQ48" s="5"/>
      <c r="BR48" s="5"/>
      <c r="BS48" s="4"/>
      <c r="BT48" s="5"/>
      <c r="BU48" s="62"/>
      <c r="BV48" s="62"/>
      <c r="BW48" s="62"/>
      <c r="BX48" s="62"/>
      <c r="BY48" s="62"/>
      <c r="BZ48" s="62"/>
      <c r="CA48" s="62"/>
      <c r="CB48" s="62"/>
      <c r="CC48" s="62"/>
      <c r="CD48" s="62"/>
      <c r="CE48" s="62"/>
      <c r="CF48" s="62"/>
      <c r="CG48" s="62"/>
      <c r="CH48" s="62"/>
      <c r="CI48" s="62"/>
      <c r="CJ48" s="62"/>
      <c r="CK48" s="62"/>
      <c r="CL48" s="62"/>
      <c r="CM48" s="62"/>
      <c r="CN48" s="62"/>
      <c r="CO48" s="62"/>
      <c r="CP48" s="62"/>
      <c r="CQ48" s="62"/>
      <c r="CR48" s="62"/>
      <c r="CS48" s="62"/>
      <c r="CT48" s="62"/>
      <c r="CU48" s="62"/>
      <c r="CV48" s="62"/>
      <c r="CW48" s="62"/>
      <c r="CX48" s="62"/>
      <c r="CY48" s="62"/>
    </row>
    <row r="49" spans="3:103" ht="13.5" customHeight="1">
      <c r="C49" s="34">
        <v>2</v>
      </c>
      <c r="D49" s="1" t="s">
        <v>9</v>
      </c>
      <c r="E49" s="3">
        <f t="shared" si="4"/>
        <v>1.208445753798606</v>
      </c>
      <c r="G49" s="4"/>
      <c r="H49" s="5"/>
      <c r="J49" s="1" t="s">
        <v>9</v>
      </c>
      <c r="K49" s="3">
        <f t="shared" si="5"/>
        <v>3.9754061685102871</v>
      </c>
      <c r="N49" s="34"/>
      <c r="AD49" s="4"/>
      <c r="AE49" s="229"/>
      <c r="AF49" s="229"/>
      <c r="AG49" s="229"/>
      <c r="AH49" s="229"/>
      <c r="AI49" s="5"/>
      <c r="AJ49" s="183"/>
      <c r="AK49" s="4"/>
      <c r="AL49" s="229"/>
      <c r="AM49" s="229"/>
      <c r="AN49" s="229"/>
      <c r="AO49" s="5"/>
      <c r="AP49" s="5"/>
      <c r="AQ49" s="183"/>
      <c r="AR49" s="62"/>
      <c r="AS49" s="94"/>
      <c r="AT49" s="62"/>
      <c r="AU49" s="62"/>
      <c r="AV49" s="94"/>
      <c r="AW49" s="62"/>
      <c r="AX49" s="4"/>
      <c r="AY49" s="5"/>
      <c r="AZ49" s="5"/>
      <c r="BA49" s="4"/>
      <c r="BB49" s="5"/>
      <c r="BC49" s="5"/>
      <c r="BD49" s="62"/>
      <c r="BE49" s="94"/>
      <c r="BF49" s="62"/>
      <c r="BG49" s="62"/>
      <c r="BH49" s="94"/>
      <c r="BI49" s="94"/>
      <c r="BJ49" s="4"/>
      <c r="BK49" s="5"/>
      <c r="BL49" s="5"/>
      <c r="BM49" s="4"/>
      <c r="BN49" s="5"/>
      <c r="BO49" s="5"/>
      <c r="BP49" s="4"/>
      <c r="BQ49" s="5"/>
      <c r="BR49" s="5"/>
      <c r="BS49" s="4"/>
      <c r="BT49" s="5"/>
      <c r="BU49" s="62"/>
      <c r="BV49" s="62"/>
      <c r="BW49" s="62"/>
      <c r="BX49" s="62"/>
      <c r="BY49" s="62"/>
      <c r="BZ49" s="62"/>
      <c r="CA49" s="62"/>
      <c r="CB49" s="62"/>
      <c r="CC49" s="62"/>
      <c r="CD49" s="62"/>
      <c r="CE49" s="62"/>
      <c r="CF49" s="62"/>
      <c r="CG49" s="62"/>
      <c r="CH49" s="62"/>
      <c r="CI49" s="62"/>
      <c r="CJ49" s="62"/>
      <c r="CK49" s="62"/>
      <c r="CL49" s="62"/>
      <c r="CM49" s="62"/>
      <c r="CN49" s="62"/>
      <c r="CO49" s="62"/>
      <c r="CP49" s="62"/>
      <c r="CQ49" s="62"/>
      <c r="CR49" s="62"/>
      <c r="CS49" s="62"/>
      <c r="CT49" s="62"/>
      <c r="CU49" s="62"/>
      <c r="CV49" s="62"/>
      <c r="CW49" s="62"/>
      <c r="CX49" s="62"/>
      <c r="CY49" s="62"/>
    </row>
    <row r="50" spans="3:103" ht="13.5" customHeight="1">
      <c r="C50" s="34">
        <v>3</v>
      </c>
      <c r="D50" s="1" t="s">
        <v>8</v>
      </c>
      <c r="E50" s="3">
        <f t="shared" si="4"/>
        <v>3.3876070972029688</v>
      </c>
      <c r="G50" s="4"/>
      <c r="H50" s="5"/>
      <c r="J50" s="1" t="s">
        <v>71</v>
      </c>
      <c r="K50" s="3">
        <f t="shared" si="5"/>
        <v>8.3425739805778338</v>
      </c>
      <c r="N50" s="34"/>
      <c r="AD50" s="4"/>
      <c r="AE50" s="229"/>
      <c r="AF50" s="229"/>
      <c r="AG50" s="229"/>
      <c r="AH50" s="229"/>
      <c r="AI50" s="5"/>
      <c r="AJ50" s="183"/>
      <c r="AK50" s="4"/>
      <c r="AL50" s="229"/>
      <c r="AM50" s="229"/>
      <c r="AN50" s="229"/>
      <c r="AO50" s="5"/>
      <c r="AP50" s="5"/>
      <c r="AQ50" s="183"/>
      <c r="AR50" s="62"/>
      <c r="AS50" s="94"/>
      <c r="AT50" s="62"/>
      <c r="AU50" s="62"/>
      <c r="AV50" s="94"/>
      <c r="AW50" s="62"/>
      <c r="AX50" s="4"/>
      <c r="AY50" s="5"/>
      <c r="AZ50" s="5"/>
      <c r="BA50" s="4"/>
      <c r="BB50" s="5"/>
      <c r="BC50" s="5"/>
      <c r="BD50" s="62"/>
      <c r="BE50" s="94"/>
      <c r="BF50" s="62"/>
      <c r="BG50" s="62"/>
      <c r="BH50" s="94"/>
      <c r="BI50" s="94"/>
      <c r="BJ50" s="4"/>
      <c r="BK50" s="5"/>
      <c r="BL50" s="5"/>
      <c r="BM50" s="4"/>
      <c r="BN50" s="5"/>
      <c r="BO50" s="5"/>
      <c r="BP50" s="4"/>
      <c r="BQ50" s="5"/>
      <c r="BR50" s="5"/>
      <c r="BS50" s="4"/>
      <c r="BT50" s="5"/>
      <c r="BU50" s="62"/>
      <c r="BV50" s="62"/>
      <c r="BW50" s="62"/>
      <c r="BX50" s="62"/>
      <c r="BY50" s="62"/>
      <c r="BZ50" s="62"/>
      <c r="CA50" s="62"/>
      <c r="CB50" s="62"/>
      <c r="CC50" s="62"/>
      <c r="CD50" s="62"/>
      <c r="CE50" s="62"/>
      <c r="CF50" s="62"/>
      <c r="CG50" s="62"/>
      <c r="CH50" s="62"/>
      <c r="CI50" s="62"/>
      <c r="CJ50" s="62"/>
      <c r="CK50" s="62"/>
      <c r="CL50" s="62"/>
      <c r="CM50" s="62"/>
      <c r="CN50" s="62"/>
      <c r="CO50" s="62"/>
      <c r="CP50" s="62"/>
      <c r="CQ50" s="62"/>
      <c r="CR50" s="62"/>
      <c r="CS50" s="62"/>
      <c r="CT50" s="62"/>
      <c r="CU50" s="62"/>
      <c r="CV50" s="62"/>
      <c r="CW50" s="62"/>
      <c r="CX50" s="62"/>
      <c r="CY50" s="62"/>
    </row>
    <row r="51" spans="3:103" ht="13.5" customHeight="1">
      <c r="C51" s="34">
        <v>6</v>
      </c>
      <c r="D51" s="1" t="s">
        <v>202</v>
      </c>
      <c r="E51" s="3">
        <f t="shared" si="4"/>
        <v>4.9141355547141226</v>
      </c>
      <c r="G51" s="4"/>
      <c r="H51" s="5"/>
      <c r="J51" s="1" t="s">
        <v>8</v>
      </c>
      <c r="K51" s="3">
        <f t="shared" si="5"/>
        <v>9.6834973897359742</v>
      </c>
      <c r="N51" s="34"/>
      <c r="AD51" s="4"/>
      <c r="AE51" s="229"/>
      <c r="AF51" s="229"/>
      <c r="AG51" s="229"/>
      <c r="AH51" s="229"/>
      <c r="AI51" s="5"/>
      <c r="AJ51" s="183"/>
      <c r="AK51" s="4"/>
      <c r="AL51" s="229"/>
      <c r="AM51" s="229"/>
      <c r="AN51" s="229"/>
      <c r="AO51" s="5"/>
      <c r="AP51" s="5"/>
      <c r="AQ51" s="183"/>
      <c r="AR51" s="62"/>
      <c r="AS51" s="94"/>
      <c r="AT51" s="62"/>
      <c r="AU51" s="62"/>
      <c r="AV51" s="94"/>
      <c r="AW51" s="62"/>
      <c r="AX51" s="4"/>
      <c r="AY51" s="5"/>
      <c r="AZ51" s="5"/>
      <c r="BA51" s="4"/>
      <c r="BB51" s="5"/>
      <c r="BC51" s="5"/>
      <c r="BD51" s="62"/>
      <c r="BE51" s="94"/>
      <c r="BF51" s="62"/>
      <c r="BG51" s="62"/>
      <c r="BH51" s="94"/>
      <c r="BI51" s="94"/>
      <c r="BJ51" s="4"/>
      <c r="BK51" s="5"/>
      <c r="BL51" s="5"/>
      <c r="BM51" s="4"/>
      <c r="BN51" s="5"/>
      <c r="BO51" s="5"/>
      <c r="BP51" s="4"/>
      <c r="BQ51" s="5"/>
      <c r="BR51" s="5"/>
      <c r="BS51" s="4"/>
      <c r="BT51" s="5"/>
      <c r="BU51" s="62"/>
      <c r="BV51" s="62"/>
      <c r="BW51" s="62"/>
      <c r="BX51" s="62"/>
      <c r="BY51" s="62"/>
      <c r="BZ51" s="62"/>
      <c r="CA51" s="62"/>
      <c r="CB51" s="62"/>
      <c r="CC51" s="62"/>
      <c r="CD51" s="62"/>
      <c r="CE51" s="62"/>
      <c r="CF51" s="62"/>
      <c r="CG51" s="62"/>
      <c r="CH51" s="62"/>
      <c r="CI51" s="62"/>
      <c r="CJ51" s="62"/>
      <c r="CK51" s="62"/>
      <c r="CL51" s="62"/>
      <c r="CM51" s="62"/>
      <c r="CN51" s="62"/>
      <c r="CO51" s="62"/>
      <c r="CP51" s="62"/>
      <c r="CQ51" s="62"/>
      <c r="CR51" s="62"/>
      <c r="CS51" s="62"/>
      <c r="CT51" s="62"/>
      <c r="CU51" s="62"/>
      <c r="CV51" s="62"/>
      <c r="CW51" s="62"/>
      <c r="CX51" s="62"/>
      <c r="CY51" s="62"/>
    </row>
    <row r="52" spans="3:103" ht="13.5" customHeight="1">
      <c r="C52" s="34">
        <v>4</v>
      </c>
      <c r="D52" s="1" t="s">
        <v>41</v>
      </c>
      <c r="E52" s="3">
        <f t="shared" si="4"/>
        <v>6.2721591687853557</v>
      </c>
      <c r="G52" s="4"/>
      <c r="H52" s="5"/>
      <c r="J52" s="1" t="s">
        <v>5</v>
      </c>
      <c r="K52" s="3">
        <f t="shared" si="5"/>
        <v>10.125178071182097</v>
      </c>
      <c r="N52" s="34"/>
      <c r="AD52" s="4"/>
      <c r="AE52" s="229"/>
      <c r="AF52" s="229"/>
      <c r="AG52" s="229"/>
      <c r="AH52" s="229"/>
      <c r="AI52" s="5"/>
      <c r="AJ52" s="183"/>
      <c r="AK52" s="4"/>
      <c r="AL52" s="229"/>
      <c r="AM52" s="229"/>
      <c r="AN52" s="229"/>
      <c r="AO52" s="5"/>
      <c r="AP52" s="5"/>
      <c r="AQ52" s="183"/>
      <c r="AR52" s="62"/>
      <c r="AS52" s="94"/>
      <c r="AT52" s="62"/>
      <c r="AU52" s="62"/>
      <c r="AV52" s="94"/>
      <c r="AW52" s="62"/>
      <c r="AX52" s="4"/>
      <c r="AY52" s="5"/>
      <c r="AZ52" s="5"/>
      <c r="BA52" s="4"/>
      <c r="BB52" s="5"/>
      <c r="BC52" s="5"/>
      <c r="BD52" s="62"/>
      <c r="BE52" s="94"/>
      <c r="BF52" s="62"/>
      <c r="BG52" s="62"/>
      <c r="BH52" s="94"/>
      <c r="BI52" s="94"/>
      <c r="BJ52" s="4"/>
      <c r="BK52" s="5"/>
      <c r="BL52" s="5"/>
      <c r="BM52" s="4"/>
      <c r="BN52" s="5"/>
      <c r="BO52" s="5"/>
      <c r="BP52" s="4"/>
      <c r="BQ52" s="5"/>
      <c r="BR52" s="5"/>
      <c r="BS52" s="4"/>
      <c r="BT52" s="5"/>
      <c r="BU52" s="62"/>
      <c r="BV52" s="62"/>
      <c r="BW52" s="62"/>
      <c r="BX52" s="62"/>
      <c r="BY52" s="62"/>
      <c r="BZ52" s="62"/>
      <c r="CA52" s="62"/>
      <c r="CB52" s="62"/>
      <c r="CC52" s="62"/>
      <c r="CD52" s="62"/>
      <c r="CE52" s="62"/>
      <c r="CF52" s="62"/>
      <c r="CG52" s="62"/>
      <c r="CH52" s="62"/>
      <c r="CI52" s="62"/>
      <c r="CJ52" s="62"/>
      <c r="CK52" s="62"/>
      <c r="CL52" s="62"/>
      <c r="CM52" s="62"/>
      <c r="CN52" s="62"/>
      <c r="CO52" s="62"/>
      <c r="CP52" s="62"/>
      <c r="CQ52" s="62"/>
      <c r="CR52" s="62"/>
      <c r="CS52" s="62"/>
      <c r="CT52" s="62"/>
      <c r="CU52" s="62"/>
      <c r="CV52" s="62"/>
      <c r="CW52" s="62"/>
      <c r="CX52" s="62"/>
      <c r="CY52" s="62"/>
    </row>
    <row r="53" spans="3:103" ht="13.5" customHeight="1">
      <c r="C53" s="34">
        <v>5</v>
      </c>
      <c r="D53" s="1" t="s">
        <v>6</v>
      </c>
      <c r="E53" s="3">
        <f t="shared" si="4"/>
        <v>6.3523076923076918</v>
      </c>
      <c r="G53" s="4"/>
      <c r="H53" s="5"/>
      <c r="J53" s="1" t="s">
        <v>6</v>
      </c>
      <c r="K53" s="3">
        <f t="shared" si="5"/>
        <v>10.910679439999999</v>
      </c>
      <c r="N53" s="34"/>
      <c r="AD53" s="4"/>
      <c r="AE53" s="229"/>
      <c r="AF53" s="229"/>
      <c r="AG53" s="229"/>
      <c r="AH53" s="229"/>
      <c r="AI53" s="5"/>
      <c r="AJ53" s="183"/>
      <c r="AK53" s="4"/>
      <c r="AL53" s="229"/>
      <c r="AM53" s="229"/>
      <c r="AN53" s="229"/>
      <c r="AO53" s="5"/>
      <c r="AP53" s="5"/>
      <c r="AQ53" s="183"/>
      <c r="AR53" s="62"/>
      <c r="AS53" s="94"/>
      <c r="AT53" s="62"/>
      <c r="AU53" s="62"/>
      <c r="AV53" s="94"/>
      <c r="AW53" s="62"/>
      <c r="AX53" s="4"/>
      <c r="AY53" s="5"/>
      <c r="AZ53" s="5"/>
      <c r="BA53" s="4"/>
      <c r="BB53" s="5"/>
      <c r="BC53" s="5"/>
      <c r="BD53" s="62"/>
      <c r="BE53" s="94"/>
      <c r="BF53" s="62"/>
      <c r="BG53" s="62"/>
      <c r="BH53" s="94"/>
      <c r="BI53" s="94"/>
      <c r="BJ53" s="4"/>
      <c r="BK53" s="5"/>
      <c r="BL53" s="5"/>
      <c r="BM53" s="4"/>
      <c r="BN53" s="5"/>
      <c r="BO53" s="5"/>
      <c r="BP53" s="4"/>
      <c r="BQ53" s="5"/>
      <c r="BR53" s="5"/>
      <c r="BS53" s="4"/>
      <c r="BT53" s="5"/>
      <c r="BU53" s="62"/>
      <c r="BV53" s="62"/>
      <c r="BW53" s="62"/>
      <c r="BX53" s="62"/>
      <c r="BY53" s="62"/>
      <c r="BZ53" s="62"/>
      <c r="CA53" s="62"/>
      <c r="CB53" s="62"/>
      <c r="CC53" s="62"/>
      <c r="CD53" s="62"/>
      <c r="CE53" s="62"/>
      <c r="CF53" s="62"/>
      <c r="CG53" s="62"/>
      <c r="CH53" s="62"/>
      <c r="CI53" s="62"/>
      <c r="CJ53" s="62"/>
      <c r="CK53" s="62"/>
      <c r="CL53" s="62"/>
      <c r="CM53" s="62"/>
      <c r="CN53" s="62"/>
      <c r="CO53" s="62"/>
      <c r="CP53" s="62"/>
      <c r="CQ53" s="62"/>
      <c r="CR53" s="62"/>
      <c r="CS53" s="62"/>
      <c r="CT53" s="62"/>
      <c r="CU53" s="62"/>
      <c r="CV53" s="62"/>
      <c r="CW53" s="62"/>
      <c r="CX53" s="62"/>
      <c r="CY53" s="62"/>
    </row>
    <row r="54" spans="3:103" ht="13.5" customHeight="1">
      <c r="C54" s="34">
        <v>7</v>
      </c>
      <c r="D54" s="1" t="s">
        <v>28</v>
      </c>
      <c r="E54" s="3">
        <f t="shared" si="4"/>
        <v>7.4948139924897212</v>
      </c>
      <c r="G54" s="4"/>
      <c r="H54" s="5"/>
      <c r="J54" s="1" t="s">
        <v>4</v>
      </c>
      <c r="K54" s="432">
        <f t="shared" si="5"/>
        <v>11.507391592215624</v>
      </c>
      <c r="N54" s="34"/>
      <c r="AD54" s="4"/>
      <c r="AE54" s="229"/>
      <c r="AF54" s="229"/>
      <c r="AG54" s="229"/>
      <c r="AH54" s="229"/>
      <c r="AI54" s="5"/>
      <c r="AJ54" s="183"/>
      <c r="AK54" s="4"/>
      <c r="AL54" s="229"/>
      <c r="AM54" s="229"/>
      <c r="AN54" s="229"/>
      <c r="AO54" s="5"/>
      <c r="AP54" s="5"/>
      <c r="AQ54" s="183"/>
      <c r="AR54" s="62"/>
      <c r="AS54" s="94"/>
      <c r="AT54" s="62"/>
      <c r="AU54" s="62"/>
      <c r="AV54" s="94"/>
      <c r="AW54" s="62"/>
      <c r="AX54" s="4"/>
      <c r="AY54" s="5"/>
      <c r="AZ54" s="5"/>
      <c r="BA54" s="4"/>
      <c r="BB54" s="5"/>
      <c r="BC54" s="5"/>
      <c r="BD54" s="62"/>
      <c r="BE54" s="94"/>
      <c r="BF54" s="62"/>
      <c r="BG54" s="62"/>
      <c r="BH54" s="94"/>
      <c r="BI54" s="94"/>
      <c r="BJ54" s="4"/>
      <c r="BK54" s="5"/>
      <c r="BL54" s="5"/>
      <c r="BM54" s="4"/>
      <c r="BN54" s="5"/>
      <c r="BO54" s="5"/>
      <c r="BP54" s="4"/>
      <c r="BQ54" s="5"/>
      <c r="BR54" s="5"/>
      <c r="BS54" s="4"/>
      <c r="BT54" s="5"/>
      <c r="BU54" s="62"/>
      <c r="BV54" s="62"/>
      <c r="BW54" s="62"/>
      <c r="BX54" s="62"/>
      <c r="BY54" s="62"/>
      <c r="BZ54" s="62"/>
      <c r="CA54" s="62"/>
      <c r="CB54" s="62"/>
      <c r="CC54" s="62"/>
      <c r="CD54" s="62"/>
      <c r="CE54" s="62"/>
      <c r="CF54" s="62"/>
      <c r="CG54" s="62"/>
      <c r="CH54" s="62"/>
      <c r="CI54" s="62"/>
      <c r="CJ54" s="62"/>
      <c r="CK54" s="62"/>
      <c r="CL54" s="62"/>
      <c r="CM54" s="62"/>
      <c r="CN54" s="62"/>
      <c r="CO54" s="62"/>
      <c r="CP54" s="62"/>
      <c r="CQ54" s="62"/>
      <c r="CR54" s="62"/>
      <c r="CS54" s="62"/>
      <c r="CT54" s="62"/>
      <c r="CU54" s="62"/>
      <c r="CV54" s="62"/>
      <c r="CW54" s="62"/>
      <c r="CX54" s="62"/>
      <c r="CY54" s="62"/>
    </row>
    <row r="55" spans="3:103" ht="13.5" customHeight="1">
      <c r="C55" s="34">
        <v>8</v>
      </c>
      <c r="D55" s="1" t="s">
        <v>2</v>
      </c>
      <c r="E55" s="3">
        <f t="shared" si="4"/>
        <v>8.9719420007961936</v>
      </c>
      <c r="G55" s="4"/>
      <c r="H55" s="5"/>
      <c r="J55" s="1" t="s">
        <v>10</v>
      </c>
      <c r="K55" s="3">
        <f t="shared" si="5"/>
        <v>11.571972364390168</v>
      </c>
      <c r="N55" s="34"/>
      <c r="AD55" s="4"/>
      <c r="AE55" s="229"/>
      <c r="AF55" s="229"/>
      <c r="AG55" s="229"/>
      <c r="AH55" s="229"/>
      <c r="AI55" s="5"/>
      <c r="AJ55" s="183"/>
      <c r="AK55" s="4"/>
      <c r="AL55" s="229"/>
      <c r="AM55" s="229"/>
      <c r="AN55" s="229"/>
      <c r="AO55" s="5"/>
      <c r="AP55" s="5"/>
      <c r="AQ55" s="233"/>
      <c r="AR55" s="62"/>
      <c r="AS55" s="94"/>
      <c r="AT55" s="62"/>
      <c r="AU55" s="62"/>
      <c r="AV55" s="94"/>
      <c r="AW55" s="62"/>
      <c r="AX55" s="4"/>
      <c r="AY55" s="5"/>
      <c r="AZ55" s="5"/>
      <c r="BA55" s="4"/>
      <c r="BB55" s="5"/>
      <c r="BC55" s="5"/>
      <c r="BD55" s="62"/>
      <c r="BE55" s="94"/>
      <c r="BF55" s="62"/>
      <c r="BG55" s="62"/>
      <c r="BH55" s="94"/>
      <c r="BI55" s="94"/>
      <c r="BJ55" s="4"/>
      <c r="BK55" s="5"/>
      <c r="BL55" s="5"/>
      <c r="BM55" s="4"/>
      <c r="BN55" s="5"/>
      <c r="BO55" s="5"/>
      <c r="BP55" s="4"/>
      <c r="BQ55" s="5"/>
      <c r="BR55" s="5"/>
      <c r="BS55" s="4"/>
      <c r="BT55" s="5"/>
      <c r="BU55" s="62"/>
      <c r="BV55" s="62"/>
      <c r="BW55" s="62"/>
      <c r="BX55" s="62"/>
      <c r="BY55" s="62"/>
      <c r="BZ55" s="62"/>
      <c r="CA55" s="62"/>
      <c r="CB55" s="62"/>
      <c r="CC55" s="62"/>
      <c r="CD55" s="62"/>
      <c r="CE55" s="62"/>
      <c r="CF55" s="62"/>
      <c r="CG55" s="62"/>
      <c r="CH55" s="62"/>
      <c r="CI55" s="62"/>
      <c r="CJ55" s="62"/>
      <c r="CK55" s="62"/>
      <c r="CL55" s="62"/>
      <c r="CM55" s="62"/>
      <c r="CN55" s="62"/>
      <c r="CO55" s="62"/>
      <c r="CP55" s="62"/>
      <c r="CQ55" s="62"/>
      <c r="CR55" s="62"/>
      <c r="CS55" s="62"/>
      <c r="CT55" s="62"/>
      <c r="CU55" s="62"/>
      <c r="CV55" s="62"/>
      <c r="CW55" s="62"/>
      <c r="CX55" s="62"/>
      <c r="CY55" s="62"/>
    </row>
    <row r="56" spans="3:103" ht="13.5" customHeight="1">
      <c r="C56" s="34">
        <v>10</v>
      </c>
      <c r="D56" s="1" t="s">
        <v>71</v>
      </c>
      <c r="E56" s="3">
        <f t="shared" si="4"/>
        <v>11.353189651509286</v>
      </c>
      <c r="G56" s="4"/>
      <c r="H56" s="5"/>
      <c r="J56" s="1" t="s">
        <v>41</v>
      </c>
      <c r="K56" s="3">
        <f t="shared" si="5"/>
        <v>11.826596214780686</v>
      </c>
      <c r="N56" s="34"/>
      <c r="AD56" s="4"/>
      <c r="AE56" s="229"/>
      <c r="AF56" s="229"/>
      <c r="AG56" s="229"/>
      <c r="AH56" s="229"/>
      <c r="AI56" s="5"/>
      <c r="AJ56" s="183"/>
      <c r="AK56" s="4"/>
      <c r="AL56" s="229"/>
      <c r="AM56" s="229"/>
      <c r="AN56" s="229"/>
      <c r="AO56" s="5"/>
      <c r="AP56" s="5"/>
      <c r="AQ56" s="183"/>
      <c r="AR56" s="62"/>
      <c r="AS56" s="94"/>
      <c r="AT56" s="62"/>
      <c r="AU56" s="62"/>
      <c r="AV56" s="94"/>
      <c r="AW56" s="62"/>
      <c r="AX56" s="4"/>
      <c r="AY56" s="5"/>
      <c r="AZ56" s="5"/>
      <c r="BA56" s="4"/>
      <c r="BB56" s="5"/>
      <c r="BC56" s="5"/>
      <c r="BD56" s="62"/>
      <c r="BE56" s="94"/>
      <c r="BF56" s="62"/>
      <c r="BG56" s="62"/>
      <c r="BH56" s="94"/>
      <c r="BI56" s="94"/>
      <c r="BJ56" s="4"/>
      <c r="BK56" s="5"/>
      <c r="BL56" s="5"/>
      <c r="BM56" s="4"/>
      <c r="BN56" s="5"/>
      <c r="BO56" s="5"/>
      <c r="BP56" s="4"/>
      <c r="BQ56" s="5"/>
      <c r="BR56" s="5"/>
      <c r="BS56" s="4"/>
      <c r="BT56" s="5"/>
      <c r="BU56" s="62"/>
      <c r="BV56" s="62"/>
      <c r="BW56" s="62"/>
      <c r="BX56" s="62"/>
      <c r="BY56" s="62"/>
      <c r="BZ56" s="62"/>
      <c r="CA56" s="62"/>
      <c r="CB56" s="62"/>
      <c r="CC56" s="62"/>
      <c r="CD56" s="62"/>
      <c r="CE56" s="62"/>
      <c r="CF56" s="62"/>
      <c r="CG56" s="62"/>
      <c r="CH56" s="62"/>
      <c r="CI56" s="62"/>
      <c r="CJ56" s="62"/>
      <c r="CK56" s="62"/>
      <c r="CL56" s="62"/>
      <c r="CM56" s="62"/>
      <c r="CN56" s="62"/>
      <c r="CO56" s="62"/>
      <c r="CP56" s="62"/>
      <c r="CQ56" s="62"/>
      <c r="CR56" s="62"/>
      <c r="CS56" s="62"/>
      <c r="CT56" s="62"/>
      <c r="CU56" s="62"/>
      <c r="CV56" s="62"/>
      <c r="CW56" s="62"/>
      <c r="CX56" s="62"/>
      <c r="CY56" s="62"/>
    </row>
    <row r="57" spans="3:103" ht="13.5" customHeight="1">
      <c r="C57" s="34">
        <v>9</v>
      </c>
      <c r="D57" s="1" t="s">
        <v>5</v>
      </c>
      <c r="E57" s="3">
        <f t="shared" si="4"/>
        <v>13.100026571085058</v>
      </c>
      <c r="G57" s="4"/>
      <c r="H57" s="5"/>
      <c r="J57" s="1" t="s">
        <v>28</v>
      </c>
      <c r="K57" s="3">
        <f t="shared" si="5"/>
        <v>12.052525060073236</v>
      </c>
      <c r="N57" s="34"/>
      <c r="AD57" s="4"/>
      <c r="AE57" s="229"/>
      <c r="AF57" s="229"/>
      <c r="AG57" s="229"/>
      <c r="AH57" s="229"/>
      <c r="AI57" s="5"/>
      <c r="AJ57" s="183"/>
      <c r="AK57" s="4"/>
      <c r="AL57" s="229"/>
      <c r="AM57" s="229"/>
      <c r="AN57" s="229"/>
      <c r="AO57" s="5"/>
      <c r="AP57" s="5"/>
      <c r="AQ57" s="183"/>
      <c r="AR57" s="62"/>
      <c r="AS57" s="94"/>
      <c r="AT57" s="62"/>
      <c r="AU57" s="62"/>
      <c r="AV57" s="94"/>
      <c r="AW57" s="62"/>
      <c r="AX57" s="4"/>
      <c r="AY57" s="5"/>
      <c r="AZ57" s="5"/>
      <c r="BA57" s="4"/>
      <c r="BB57" s="5"/>
      <c r="BC57" s="5"/>
      <c r="BD57" s="62"/>
      <c r="BE57" s="94"/>
      <c r="BF57" s="62"/>
      <c r="BG57" s="62"/>
      <c r="BH57" s="94"/>
      <c r="BI57" s="94"/>
      <c r="BJ57" s="4"/>
      <c r="BK57" s="5"/>
      <c r="BL57" s="5"/>
      <c r="BM57" s="4"/>
      <c r="BN57" s="5"/>
      <c r="BO57" s="5"/>
      <c r="BP57" s="4"/>
      <c r="BQ57" s="5"/>
      <c r="BR57" s="5"/>
      <c r="BS57" s="4"/>
      <c r="BT57" s="5"/>
      <c r="BU57" s="62"/>
      <c r="BV57" s="62"/>
      <c r="BW57" s="62"/>
      <c r="BX57" s="62"/>
      <c r="BY57" s="62"/>
      <c r="BZ57" s="62"/>
      <c r="CA57" s="62"/>
      <c r="CB57" s="62"/>
      <c r="CC57" s="62"/>
      <c r="CD57" s="62"/>
      <c r="CE57" s="62"/>
      <c r="CF57" s="62"/>
      <c r="CG57" s="62"/>
      <c r="CH57" s="62"/>
      <c r="CI57" s="62"/>
      <c r="CJ57" s="62"/>
      <c r="CK57" s="62"/>
      <c r="CL57" s="62"/>
      <c r="CM57" s="62"/>
      <c r="CN57" s="62"/>
      <c r="CO57" s="62"/>
      <c r="CP57" s="62"/>
      <c r="CQ57" s="62"/>
      <c r="CR57" s="62"/>
      <c r="CS57" s="62"/>
      <c r="CT57" s="62"/>
      <c r="CU57" s="62"/>
      <c r="CV57" s="62"/>
      <c r="CW57" s="62"/>
      <c r="CX57" s="62"/>
      <c r="CY57" s="62"/>
    </row>
    <row r="58" spans="3:103" ht="13.5" customHeight="1">
      <c r="C58" s="34">
        <v>11</v>
      </c>
      <c r="D58" s="1" t="s">
        <v>78</v>
      </c>
      <c r="E58" s="3">
        <f t="shared" si="4"/>
        <v>15.219523876923075</v>
      </c>
      <c r="G58" s="4"/>
      <c r="H58" s="5"/>
      <c r="J58" s="1" t="s">
        <v>202</v>
      </c>
      <c r="K58" s="3">
        <f t="shared" si="5"/>
        <v>13.62410291713341</v>
      </c>
      <c r="N58" s="34"/>
      <c r="AD58" s="4"/>
      <c r="AE58" s="229"/>
      <c r="AF58" s="229"/>
      <c r="AG58" s="229"/>
      <c r="AH58" s="229"/>
      <c r="AI58" s="5"/>
      <c r="AJ58" s="183"/>
      <c r="AK58" s="4"/>
      <c r="AL58" s="229"/>
      <c r="AM58" s="229"/>
      <c r="AN58" s="229"/>
      <c r="AO58" s="5"/>
      <c r="AP58" s="5"/>
      <c r="AQ58" s="183"/>
      <c r="AR58" s="62"/>
      <c r="AS58" s="94"/>
      <c r="AT58" s="62"/>
      <c r="AU58" s="62"/>
      <c r="AV58" s="94"/>
      <c r="AW58" s="62"/>
      <c r="AX58" s="4"/>
      <c r="AY58" s="5"/>
      <c r="AZ58" s="5"/>
      <c r="BA58" s="4"/>
      <c r="BB58" s="5"/>
      <c r="BC58" s="5"/>
      <c r="BD58" s="62"/>
      <c r="BE58" s="94"/>
      <c r="BF58" s="62"/>
      <c r="BG58" s="62"/>
      <c r="BH58" s="94"/>
      <c r="BI58" s="94"/>
      <c r="BJ58" s="4"/>
      <c r="BK58" s="5"/>
      <c r="BL58" s="5"/>
      <c r="BM58" s="4"/>
      <c r="BN58" s="5"/>
      <c r="BO58" s="5"/>
      <c r="BP58" s="4"/>
      <c r="BQ58" s="5"/>
      <c r="BR58" s="5"/>
      <c r="BS58" s="4"/>
      <c r="BT58" s="5"/>
      <c r="BU58" s="62"/>
      <c r="BV58" s="62"/>
      <c r="BW58" s="62"/>
      <c r="BX58" s="62"/>
      <c r="BY58" s="62"/>
      <c r="BZ58" s="62"/>
      <c r="CA58" s="62"/>
      <c r="CB58" s="62"/>
      <c r="CC58" s="62"/>
      <c r="CD58" s="62"/>
      <c r="CE58" s="62"/>
      <c r="CF58" s="62"/>
      <c r="CG58" s="62"/>
      <c r="CH58" s="62"/>
      <c r="CI58" s="62"/>
      <c r="CJ58" s="62"/>
      <c r="CK58" s="62"/>
      <c r="CL58" s="62"/>
      <c r="CM58" s="62"/>
      <c r="CN58" s="62"/>
      <c r="CO58" s="62"/>
      <c r="CP58" s="62"/>
      <c r="CQ58" s="62"/>
      <c r="CR58" s="62"/>
      <c r="CS58" s="62"/>
      <c r="CT58" s="62"/>
      <c r="CU58" s="62"/>
      <c r="CV58" s="62"/>
      <c r="CW58" s="62"/>
      <c r="CX58" s="62"/>
      <c r="CY58" s="62"/>
    </row>
    <row r="59" spans="3:103" ht="13.5" customHeight="1">
      <c r="C59" s="34">
        <v>13</v>
      </c>
      <c r="D59" s="1" t="s">
        <v>4</v>
      </c>
      <c r="E59" s="432">
        <f t="shared" si="4"/>
        <v>16.43285642945407</v>
      </c>
      <c r="G59" s="4"/>
      <c r="H59" s="5"/>
      <c r="J59" s="1" t="s">
        <v>74</v>
      </c>
      <c r="K59" s="3">
        <f t="shared" si="5"/>
        <v>14.083924498287212</v>
      </c>
      <c r="N59" s="34"/>
      <c r="AD59" s="4"/>
      <c r="AE59" s="229"/>
      <c r="AF59" s="229"/>
      <c r="AG59" s="229"/>
      <c r="AH59" s="229"/>
      <c r="AI59" s="5"/>
      <c r="AJ59" s="183"/>
      <c r="AK59" s="4"/>
      <c r="AL59" s="229"/>
      <c r="AM59" s="229"/>
      <c r="AN59" s="229"/>
      <c r="AO59" s="5"/>
      <c r="AP59" s="5"/>
      <c r="AQ59" s="183"/>
      <c r="AR59" s="62"/>
      <c r="AS59" s="94"/>
      <c r="AT59" s="62"/>
      <c r="AU59" s="62"/>
      <c r="AV59" s="94"/>
      <c r="AW59" s="62"/>
      <c r="AX59" s="4"/>
      <c r="AY59" s="5"/>
      <c r="AZ59" s="5"/>
      <c r="BA59" s="4"/>
      <c r="BB59" s="5"/>
      <c r="BC59" s="5"/>
      <c r="BD59" s="62"/>
      <c r="BE59" s="94"/>
      <c r="BF59" s="62"/>
      <c r="BG59" s="62"/>
      <c r="BH59" s="94"/>
      <c r="BI59" s="94"/>
      <c r="BJ59" s="4"/>
      <c r="BK59" s="5"/>
      <c r="BL59" s="5"/>
      <c r="BM59" s="4"/>
      <c r="BN59" s="5"/>
      <c r="BO59" s="5"/>
      <c r="BP59" s="4"/>
      <c r="BQ59" s="5"/>
      <c r="BR59" s="5"/>
      <c r="BS59" s="4"/>
      <c r="BT59" s="5"/>
      <c r="BU59" s="62"/>
      <c r="BV59" s="62"/>
      <c r="BW59" s="62"/>
      <c r="BX59" s="62"/>
      <c r="BY59" s="62"/>
      <c r="BZ59" s="62"/>
      <c r="CA59" s="62"/>
      <c r="CB59" s="62"/>
      <c r="CC59" s="62"/>
      <c r="CD59" s="62"/>
      <c r="CE59" s="62"/>
      <c r="CF59" s="62"/>
      <c r="CG59" s="62"/>
      <c r="CH59" s="62"/>
      <c r="CI59" s="62"/>
      <c r="CJ59" s="62"/>
      <c r="CK59" s="62"/>
      <c r="CL59" s="62"/>
      <c r="CM59" s="62"/>
      <c r="CN59" s="62"/>
      <c r="CO59" s="62"/>
      <c r="CP59" s="62"/>
      <c r="CQ59" s="62"/>
      <c r="CR59" s="62"/>
      <c r="CS59" s="62"/>
      <c r="CT59" s="62"/>
      <c r="CU59" s="62"/>
      <c r="CV59" s="62"/>
      <c r="CW59" s="62"/>
      <c r="CX59" s="62"/>
      <c r="CY59" s="62"/>
    </row>
    <row r="60" spans="3:103" ht="13.5" customHeight="1">
      <c r="C60" s="34">
        <v>12</v>
      </c>
      <c r="D60" s="1" t="s">
        <v>74</v>
      </c>
      <c r="E60" s="3">
        <f t="shared" si="4"/>
        <v>19.979131342534341</v>
      </c>
      <c r="G60" s="4"/>
      <c r="H60" s="5"/>
      <c r="J60" s="1" t="s">
        <v>83</v>
      </c>
      <c r="K60" s="3">
        <f t="shared" si="5"/>
        <v>18.195693311079999</v>
      </c>
      <c r="N60" s="34"/>
      <c r="AD60" s="4"/>
      <c r="AE60" s="229"/>
      <c r="AF60" s="229"/>
      <c r="AG60" s="229"/>
      <c r="AH60" s="229"/>
      <c r="AI60" s="5"/>
      <c r="AJ60" s="183"/>
      <c r="AK60" s="4"/>
      <c r="AL60" s="229"/>
      <c r="AM60" s="229"/>
      <c r="AN60" s="229"/>
      <c r="AO60" s="5"/>
      <c r="AP60" s="5"/>
      <c r="AQ60" s="183"/>
      <c r="AR60" s="62"/>
      <c r="AS60" s="94"/>
      <c r="AT60" s="62"/>
      <c r="AU60" s="62"/>
      <c r="AV60" s="94"/>
      <c r="AW60" s="62"/>
      <c r="AX60" s="4"/>
      <c r="AY60" s="5"/>
      <c r="AZ60" s="5"/>
      <c r="BA60" s="4"/>
      <c r="BB60" s="5"/>
      <c r="BC60" s="5"/>
      <c r="BD60" s="62"/>
      <c r="BE60" s="94"/>
      <c r="BF60" s="62"/>
      <c r="BG60" s="62"/>
      <c r="BH60" s="94"/>
      <c r="BI60" s="94"/>
      <c r="BJ60" s="4"/>
      <c r="BK60" s="5"/>
      <c r="BL60" s="5"/>
      <c r="BM60" s="4"/>
      <c r="BN60" s="5"/>
      <c r="BO60" s="5"/>
      <c r="BP60" s="4"/>
      <c r="BQ60" s="5"/>
      <c r="BR60" s="5"/>
      <c r="BS60" s="4"/>
      <c r="BT60" s="5"/>
      <c r="BU60" s="62"/>
      <c r="BV60" s="62"/>
      <c r="BW60" s="62"/>
      <c r="BX60" s="62"/>
      <c r="BY60" s="62"/>
      <c r="BZ60" s="62"/>
      <c r="CA60" s="62"/>
      <c r="CB60" s="62"/>
      <c r="CC60" s="62"/>
      <c r="CD60" s="62"/>
      <c r="CE60" s="62"/>
      <c r="CF60" s="62"/>
      <c r="CG60" s="62"/>
      <c r="CH60" s="62"/>
      <c r="CI60" s="62"/>
      <c r="CJ60" s="62"/>
      <c r="CK60" s="62"/>
      <c r="CL60" s="62"/>
      <c r="CM60" s="62"/>
      <c r="CN60" s="62"/>
      <c r="CO60" s="62"/>
      <c r="CP60" s="62"/>
      <c r="CQ60" s="62"/>
      <c r="CR60" s="62"/>
      <c r="CS60" s="62"/>
      <c r="CT60" s="62"/>
      <c r="CU60" s="62"/>
      <c r="CV60" s="62"/>
      <c r="CW60" s="62"/>
      <c r="CX60" s="62"/>
      <c r="CY60" s="62"/>
    </row>
    <row r="61" spans="3:103" ht="13.5" customHeight="1">
      <c r="C61" s="34">
        <v>14</v>
      </c>
      <c r="D61" s="1" t="s">
        <v>83</v>
      </c>
      <c r="E61" s="3">
        <f t="shared" si="4"/>
        <v>20.927092307692309</v>
      </c>
      <c r="G61" s="4"/>
      <c r="H61" s="5"/>
      <c r="J61" s="1" t="s">
        <v>2</v>
      </c>
      <c r="K61" s="3">
        <f t="shared" si="5"/>
        <v>18.464315512369133</v>
      </c>
      <c r="N61" s="34"/>
      <c r="AD61" s="4"/>
      <c r="AE61" s="229"/>
      <c r="AF61" s="229"/>
      <c r="AG61" s="229"/>
      <c r="AH61" s="229"/>
      <c r="AI61" s="5"/>
      <c r="AJ61" s="183"/>
      <c r="AK61" s="4"/>
      <c r="AL61" s="229"/>
      <c r="AM61" s="229"/>
      <c r="AN61" s="229"/>
      <c r="AO61" s="5"/>
      <c r="AP61" s="5"/>
      <c r="AQ61" s="183"/>
      <c r="AR61" s="62"/>
      <c r="AS61" s="94"/>
      <c r="AT61" s="62"/>
      <c r="AU61" s="62"/>
      <c r="AV61" s="94"/>
      <c r="AW61" s="62"/>
      <c r="AX61" s="4"/>
      <c r="AY61" s="5"/>
      <c r="AZ61" s="5"/>
      <c r="BA61" s="4"/>
      <c r="BB61" s="5"/>
      <c r="BC61" s="5"/>
      <c r="BD61" s="62"/>
      <c r="BE61" s="94"/>
      <c r="BF61" s="62"/>
      <c r="BG61" s="62"/>
      <c r="BH61" s="94"/>
      <c r="BI61" s="94"/>
      <c r="BJ61" s="4"/>
      <c r="BK61" s="5"/>
      <c r="BL61" s="5"/>
      <c r="BM61" s="4"/>
      <c r="BN61" s="5"/>
      <c r="BO61" s="5"/>
      <c r="BP61" s="4"/>
      <c r="BQ61" s="5"/>
      <c r="BR61" s="5"/>
      <c r="BS61" s="4"/>
      <c r="BT61" s="5"/>
      <c r="BU61" s="62"/>
      <c r="BV61" s="62"/>
      <c r="BW61" s="62"/>
      <c r="BX61" s="62"/>
      <c r="BY61" s="62"/>
      <c r="BZ61" s="62"/>
      <c r="CA61" s="62"/>
      <c r="CB61" s="62"/>
      <c r="CC61" s="62"/>
      <c r="CD61" s="62"/>
      <c r="CE61" s="62"/>
      <c r="CF61" s="62"/>
      <c r="CG61" s="62"/>
      <c r="CH61" s="62"/>
      <c r="CI61" s="62"/>
      <c r="CJ61" s="62"/>
      <c r="CK61" s="62"/>
      <c r="CL61" s="62"/>
      <c r="CM61" s="62"/>
      <c r="CN61" s="62"/>
      <c r="CO61" s="62"/>
      <c r="CP61" s="62"/>
      <c r="CQ61" s="62"/>
      <c r="CR61" s="62"/>
      <c r="CS61" s="62"/>
      <c r="CT61" s="62"/>
      <c r="CU61" s="62"/>
      <c r="CV61" s="62"/>
      <c r="CW61" s="62"/>
      <c r="CX61" s="62"/>
      <c r="CY61" s="62"/>
    </row>
    <row r="62" spans="3:103" ht="13.5" customHeight="1">
      <c r="C62" s="34">
        <v>15</v>
      </c>
      <c r="D62" s="1" t="s">
        <v>10</v>
      </c>
      <c r="E62" s="3">
        <f t="shared" si="4"/>
        <v>31.525584849391102</v>
      </c>
      <c r="G62" s="4"/>
      <c r="H62" s="5"/>
      <c r="J62" s="1" t="s">
        <v>78</v>
      </c>
      <c r="K62" s="3">
        <f t="shared" si="5"/>
        <v>22.522939200000003</v>
      </c>
      <c r="N62" s="34"/>
      <c r="AD62" s="4"/>
      <c r="AE62" s="229"/>
      <c r="AF62" s="229"/>
      <c r="AG62" s="229"/>
      <c r="AH62" s="229"/>
      <c r="AI62" s="5"/>
      <c r="AJ62" s="183"/>
      <c r="AK62" s="4"/>
      <c r="AL62" s="229"/>
      <c r="AM62" s="229"/>
      <c r="AN62" s="229"/>
      <c r="AO62" s="5"/>
      <c r="AP62" s="5"/>
      <c r="AQ62" s="183"/>
      <c r="AR62" s="62"/>
      <c r="AS62" s="94"/>
      <c r="AT62" s="62"/>
      <c r="AU62" s="62"/>
      <c r="AV62" s="94"/>
      <c r="AW62" s="62"/>
      <c r="AX62" s="4"/>
      <c r="AY62" s="5"/>
      <c r="AZ62" s="5"/>
      <c r="BA62" s="4"/>
      <c r="BB62" s="5"/>
      <c r="BC62" s="5"/>
      <c r="BD62" s="62"/>
      <c r="BE62" s="94"/>
      <c r="BF62" s="62"/>
      <c r="BG62" s="62"/>
      <c r="BH62" s="94"/>
      <c r="BI62" s="94"/>
      <c r="BJ62" s="4"/>
      <c r="BK62" s="5"/>
      <c r="BL62" s="5"/>
      <c r="BM62" s="4"/>
      <c r="BN62" s="5"/>
      <c r="BO62" s="5"/>
      <c r="BP62" s="4"/>
      <c r="BQ62" s="5"/>
      <c r="BR62" s="5"/>
      <c r="BS62" s="4"/>
      <c r="BT62" s="5"/>
      <c r="BU62" s="62"/>
      <c r="BV62" s="62"/>
      <c r="BW62" s="62"/>
      <c r="BX62" s="62"/>
      <c r="BY62" s="62"/>
      <c r="BZ62" s="62"/>
      <c r="CA62" s="62"/>
      <c r="CB62" s="62"/>
      <c r="CC62" s="62"/>
      <c r="CD62" s="62"/>
      <c r="CE62" s="62"/>
      <c r="CF62" s="62"/>
      <c r="CG62" s="62"/>
      <c r="CH62" s="62"/>
      <c r="CI62" s="62"/>
      <c r="CJ62" s="62"/>
      <c r="CK62" s="62"/>
      <c r="CL62" s="62"/>
      <c r="CM62" s="62"/>
      <c r="CN62" s="62"/>
      <c r="CO62" s="62"/>
      <c r="CP62" s="62"/>
      <c r="CQ62" s="62"/>
      <c r="CR62" s="62"/>
      <c r="CS62" s="62"/>
      <c r="CT62" s="62"/>
      <c r="CU62" s="62"/>
      <c r="CV62" s="62"/>
      <c r="CW62" s="62"/>
      <c r="CX62" s="62"/>
      <c r="CY62" s="62"/>
    </row>
    <row r="63" spans="3:103" ht="13.5" customHeight="1">
      <c r="D63" s="4"/>
      <c r="E63" s="5"/>
      <c r="G63" s="62"/>
      <c r="H63" s="62"/>
      <c r="N63" s="34"/>
      <c r="AD63" s="62"/>
      <c r="AE63" s="62"/>
      <c r="AF63" s="62"/>
      <c r="AG63" s="62"/>
      <c r="AH63" s="62"/>
      <c r="AI63" s="62"/>
      <c r="AJ63" s="62"/>
      <c r="AK63" s="62"/>
      <c r="AL63" s="62"/>
      <c r="AM63" s="62"/>
      <c r="AN63" s="62"/>
      <c r="AO63" s="62"/>
      <c r="AP63" s="62"/>
      <c r="AQ63" s="62"/>
      <c r="AR63" s="62"/>
      <c r="AS63" s="62"/>
      <c r="AT63" s="62"/>
      <c r="AU63" s="62"/>
      <c r="AV63" s="62"/>
      <c r="AW63" s="62"/>
      <c r="AX63" s="4"/>
      <c r="AY63" s="5"/>
      <c r="AZ63" s="5"/>
      <c r="BA63" s="62"/>
      <c r="BB63" s="62"/>
      <c r="BC63" s="62"/>
      <c r="BD63" s="62"/>
      <c r="BE63" s="62"/>
      <c r="BF63" s="62"/>
      <c r="BG63" s="62"/>
      <c r="BH63" s="62"/>
      <c r="BI63" s="62"/>
      <c r="BJ63" s="4"/>
      <c r="BK63" s="5"/>
      <c r="BL63" s="5"/>
      <c r="BM63" s="62"/>
      <c r="BN63" s="62"/>
      <c r="BO63" s="62"/>
      <c r="BP63" s="4"/>
      <c r="BQ63" s="5"/>
      <c r="BR63" s="5"/>
      <c r="BS63" s="62"/>
      <c r="BT63" s="62"/>
      <c r="BU63" s="62"/>
      <c r="BV63" s="62"/>
      <c r="BW63" s="62"/>
      <c r="BX63" s="62"/>
      <c r="BY63" s="62"/>
      <c r="BZ63" s="62"/>
      <c r="CA63" s="62"/>
      <c r="CB63" s="62"/>
      <c r="CC63" s="62"/>
      <c r="CD63" s="62"/>
      <c r="CE63" s="62"/>
      <c r="CF63" s="62"/>
      <c r="CG63" s="62"/>
      <c r="CH63" s="62"/>
      <c r="CI63" s="62"/>
      <c r="CJ63" s="62"/>
      <c r="CK63" s="62"/>
      <c r="CL63" s="62"/>
      <c r="CM63" s="62"/>
      <c r="CN63" s="62"/>
      <c r="CO63" s="62"/>
      <c r="CP63" s="62"/>
      <c r="CQ63" s="62"/>
      <c r="CR63" s="62"/>
      <c r="CS63" s="62"/>
      <c r="CT63" s="62"/>
      <c r="CU63" s="62"/>
      <c r="CV63" s="62"/>
      <c r="CW63" s="62"/>
      <c r="CX63" s="62"/>
      <c r="CY63" s="62"/>
    </row>
    <row r="64" spans="3:103" ht="13.5" customHeight="1">
      <c r="D64" s="246" t="s">
        <v>302</v>
      </c>
      <c r="E64" s="5">
        <f>+AVERAGE(E48:E62)</f>
        <v>11.157754146390999</v>
      </c>
      <c r="F64" s="123">
        <f>+_xlfn.QUARTILE.EXC(E48:E62,1)</f>
        <v>4.9141355547141226</v>
      </c>
      <c r="G64" s="62"/>
      <c r="H64" s="62"/>
      <c r="J64" s="34" t="s">
        <v>301</v>
      </c>
      <c r="K64" s="5">
        <f>+AVERAGE(K48:K62)</f>
        <v>11.81291143778417</v>
      </c>
      <c r="L64" s="123">
        <f>+_xlfn.QUARTILE.EXC(K48:K62,1)</f>
        <v>9.6834973897359742</v>
      </c>
      <c r="N64" s="123"/>
      <c r="AD64" s="62"/>
      <c r="AE64" s="62"/>
      <c r="AF64" s="62"/>
      <c r="AG64" s="62"/>
      <c r="AH64" s="62"/>
      <c r="AI64" s="62"/>
      <c r="AJ64" s="62"/>
      <c r="AK64" s="62"/>
      <c r="AL64" s="62"/>
      <c r="AM64" s="62"/>
      <c r="AN64" s="62"/>
      <c r="AO64" s="62"/>
      <c r="AP64" s="62"/>
      <c r="AQ64" s="62"/>
      <c r="AR64" s="62"/>
      <c r="AS64" s="62"/>
      <c r="AT64" s="62"/>
      <c r="AU64" s="62"/>
      <c r="AV64" s="62"/>
      <c r="AW64" s="62"/>
      <c r="AX64" s="4"/>
      <c r="AY64" s="5"/>
      <c r="AZ64" s="5"/>
      <c r="BA64" s="5"/>
      <c r="BB64" s="5"/>
      <c r="BC64" s="5"/>
      <c r="BD64" s="62"/>
      <c r="BE64" s="62"/>
      <c r="BF64" s="62"/>
      <c r="BG64" s="62"/>
      <c r="BH64" s="62"/>
      <c r="BI64" s="62"/>
      <c r="BJ64" s="4"/>
      <c r="BK64" s="5"/>
      <c r="BL64" s="5"/>
      <c r="BM64" s="5"/>
      <c r="BN64" s="5"/>
      <c r="BO64" s="5"/>
      <c r="BP64" s="4"/>
      <c r="BQ64" s="5"/>
      <c r="BR64" s="5"/>
      <c r="BS64" s="5"/>
      <c r="BT64" s="5"/>
      <c r="BU64" s="62"/>
      <c r="BV64" s="62"/>
      <c r="BW64" s="62"/>
      <c r="BX64" s="62"/>
      <c r="BY64" s="62"/>
      <c r="BZ64" s="62"/>
      <c r="CA64" s="62"/>
      <c r="CB64" s="62"/>
      <c r="CC64" s="62"/>
      <c r="CD64" s="62"/>
      <c r="CE64" s="62"/>
      <c r="CF64" s="62"/>
      <c r="CG64" s="62"/>
      <c r="CH64" s="62"/>
      <c r="CI64" s="62"/>
      <c r="CJ64" s="62"/>
      <c r="CK64" s="62"/>
      <c r="CL64" s="62"/>
      <c r="CM64" s="62"/>
      <c r="CN64" s="62"/>
      <c r="CO64" s="62"/>
      <c r="CP64" s="62"/>
      <c r="CQ64" s="62"/>
      <c r="CR64" s="62"/>
      <c r="CS64" s="62"/>
      <c r="CT64" s="62"/>
      <c r="CU64" s="62"/>
      <c r="CV64" s="62"/>
      <c r="CW64" s="62"/>
      <c r="CX64" s="62"/>
      <c r="CY64" s="62"/>
    </row>
    <row r="65" spans="3:103" ht="13.5" customHeight="1">
      <c r="D65" s="246" t="s">
        <v>4</v>
      </c>
      <c r="E65" s="135">
        <f>+VLOOKUP(D65,D48:E62,2,FALSE)</f>
        <v>16.43285642945407</v>
      </c>
      <c r="F65" s="123">
        <f>+_xlfn.QUARTILE.EXC(E48:E62,2)</f>
        <v>8.9719420007961936</v>
      </c>
      <c r="G65" s="62"/>
      <c r="H65" s="62"/>
      <c r="J65" s="34" t="s">
        <v>4</v>
      </c>
      <c r="K65" s="135">
        <f>+VLOOKUP(J65,J48:K62,2,FALSE)</f>
        <v>11.507391592215624</v>
      </c>
      <c r="L65" s="123">
        <f>+_xlfn.QUARTILE.EXC(K48:K62,2)</f>
        <v>11.571972364390168</v>
      </c>
      <c r="N65" s="123"/>
      <c r="AD65" s="62"/>
      <c r="AE65" s="62"/>
      <c r="AF65" s="62"/>
      <c r="AG65" s="62"/>
      <c r="AH65" s="62"/>
      <c r="AI65" s="62"/>
      <c r="AJ65" s="62"/>
      <c r="AK65" s="62"/>
      <c r="AL65" s="62"/>
      <c r="AM65" s="62"/>
      <c r="AN65" s="62"/>
      <c r="AO65" s="62"/>
      <c r="AP65" s="62"/>
      <c r="AQ65" s="62"/>
      <c r="AR65" s="62"/>
      <c r="AS65" s="62"/>
      <c r="AT65" s="62"/>
      <c r="AU65" s="62"/>
      <c r="AV65" s="62"/>
      <c r="AW65" s="62"/>
      <c r="AX65" s="4"/>
      <c r="AY65" s="231"/>
      <c r="AZ65" s="231"/>
      <c r="BA65" s="231"/>
      <c r="BB65" s="231"/>
      <c r="BC65" s="231"/>
      <c r="BD65" s="62"/>
      <c r="BE65" s="62"/>
      <c r="BF65" s="62"/>
      <c r="BG65" s="62"/>
      <c r="BH65" s="62"/>
      <c r="BI65" s="62"/>
      <c r="BJ65" s="4"/>
      <c r="BK65" s="231"/>
      <c r="BL65" s="231"/>
      <c r="BM65" s="231"/>
      <c r="BN65" s="231"/>
      <c r="BO65" s="231"/>
      <c r="BP65" s="4"/>
      <c r="BQ65" s="231"/>
      <c r="BR65" s="231"/>
      <c r="BS65" s="231"/>
      <c r="BT65" s="231"/>
      <c r="BU65" s="62"/>
      <c r="BV65" s="62"/>
      <c r="BW65" s="62"/>
      <c r="BX65" s="62"/>
      <c r="BY65" s="62"/>
      <c r="BZ65" s="62"/>
      <c r="CA65" s="62"/>
      <c r="CB65" s="62"/>
      <c r="CC65" s="62"/>
      <c r="CD65" s="62"/>
      <c r="CE65" s="62"/>
      <c r="CF65" s="62"/>
      <c r="CG65" s="62"/>
      <c r="CH65" s="62"/>
      <c r="CI65" s="62"/>
      <c r="CJ65" s="62"/>
      <c r="CK65" s="62"/>
      <c r="CL65" s="62"/>
      <c r="CM65" s="62"/>
      <c r="CN65" s="62"/>
      <c r="CO65" s="62"/>
      <c r="CP65" s="62"/>
      <c r="CQ65" s="62"/>
      <c r="CR65" s="62"/>
      <c r="CS65" s="62"/>
      <c r="CT65" s="62"/>
      <c r="CU65" s="62"/>
      <c r="CV65" s="62"/>
      <c r="CW65" s="62"/>
      <c r="CX65" s="62"/>
      <c r="CY65" s="62"/>
    </row>
    <row r="66" spans="3:103" ht="13.5" customHeight="1">
      <c r="D66" s="4"/>
      <c r="E66" s="134" t="s">
        <v>321</v>
      </c>
      <c r="F66" s="123">
        <f>+_xlfn.QUARTILE.EXC(E48:E62,3)</f>
        <v>16.43285642945407</v>
      </c>
      <c r="G66" s="62"/>
      <c r="H66" s="62"/>
      <c r="K66" s="134" t="s">
        <v>321</v>
      </c>
      <c r="L66" s="123">
        <f>+_xlfn.QUARTILE.EXC(K48:K62,3)</f>
        <v>14.083924498287212</v>
      </c>
      <c r="N66" s="123"/>
      <c r="AD66" s="62"/>
      <c r="AE66" s="62"/>
      <c r="AF66" s="62"/>
      <c r="AG66" s="62"/>
      <c r="AH66" s="62"/>
      <c r="AI66" s="62"/>
      <c r="AJ66" s="62"/>
      <c r="AK66" s="62"/>
      <c r="AL66" s="62"/>
      <c r="AM66" s="62"/>
      <c r="AN66" s="62"/>
      <c r="AO66" s="62"/>
      <c r="AP66" s="62"/>
      <c r="AQ66" s="62"/>
      <c r="AR66" s="62"/>
      <c r="AS66" s="62"/>
      <c r="AT66" s="62"/>
      <c r="AU66" s="62"/>
      <c r="AV66" s="62"/>
      <c r="AW66" s="62"/>
      <c r="AX66" s="4"/>
      <c r="AY66" s="232"/>
      <c r="AZ66" s="232"/>
      <c r="BA66" s="232"/>
      <c r="BB66" s="232"/>
      <c r="BC66" s="232"/>
      <c r="BD66" s="62"/>
      <c r="BE66" s="62"/>
      <c r="BF66" s="62"/>
      <c r="BG66" s="62"/>
      <c r="BH66" s="62"/>
      <c r="BI66" s="62"/>
      <c r="BJ66" s="4"/>
      <c r="BK66" s="232"/>
      <c r="BL66" s="232"/>
      <c r="BM66" s="232"/>
      <c r="BN66" s="232"/>
      <c r="BO66" s="232"/>
      <c r="BP66" s="4"/>
      <c r="BQ66" s="232"/>
      <c r="BR66" s="232"/>
      <c r="BS66" s="232"/>
      <c r="BT66" s="232"/>
      <c r="BU66" s="62"/>
      <c r="BV66" s="62"/>
      <c r="BW66" s="62"/>
      <c r="BX66" s="62"/>
      <c r="BY66" s="62"/>
      <c r="BZ66" s="62"/>
      <c r="CA66" s="62"/>
      <c r="CB66" s="62"/>
      <c r="CC66" s="62"/>
      <c r="CD66" s="62"/>
      <c r="CE66" s="62"/>
      <c r="CF66" s="62"/>
      <c r="CG66" s="62"/>
      <c r="CH66" s="62"/>
      <c r="CI66" s="62"/>
      <c r="CJ66" s="62"/>
      <c r="CK66" s="62"/>
      <c r="CL66" s="62"/>
      <c r="CM66" s="62"/>
      <c r="CN66" s="62"/>
      <c r="CO66" s="62"/>
      <c r="CP66" s="62"/>
      <c r="CQ66" s="62"/>
      <c r="CR66" s="62"/>
      <c r="CS66" s="62"/>
      <c r="CT66" s="62"/>
      <c r="CU66" s="62"/>
      <c r="CV66" s="62"/>
      <c r="CW66" s="62"/>
      <c r="CX66" s="62"/>
      <c r="CY66" s="62"/>
    </row>
    <row r="67" spans="3:103" ht="13.5" customHeight="1">
      <c r="D67" s="4"/>
      <c r="E67" s="5"/>
      <c r="G67" s="62"/>
      <c r="H67" s="62"/>
      <c r="N67" s="34"/>
      <c r="AD67" s="62"/>
      <c r="AE67" s="62"/>
      <c r="AF67" s="62"/>
      <c r="AG67" s="62"/>
      <c r="AH67" s="62"/>
      <c r="AI67" s="62"/>
      <c r="AJ67" s="62"/>
      <c r="AK67" s="62"/>
      <c r="AL67" s="62"/>
      <c r="AM67" s="62"/>
      <c r="AN67" s="62"/>
      <c r="AO67" s="62"/>
      <c r="AP67" s="62"/>
      <c r="AQ67" s="62"/>
      <c r="AR67" s="62"/>
      <c r="AS67" s="62"/>
      <c r="AT67" s="62"/>
      <c r="AU67" s="62"/>
      <c r="AV67" s="62"/>
      <c r="AW67" s="62"/>
      <c r="AX67" s="4"/>
      <c r="AY67" s="5"/>
      <c r="AZ67" s="5"/>
      <c r="BA67" s="5"/>
      <c r="BB67" s="5"/>
      <c r="BC67" s="5"/>
      <c r="BD67" s="62"/>
      <c r="BE67" s="62"/>
      <c r="BF67" s="62"/>
      <c r="BG67" s="62"/>
      <c r="BH67" s="62"/>
      <c r="BI67" s="62"/>
      <c r="BJ67" s="4"/>
      <c r="BK67" s="5"/>
      <c r="BL67" s="5"/>
      <c r="BM67" s="5"/>
      <c r="BN67" s="5"/>
      <c r="BO67" s="5"/>
      <c r="BP67" s="4"/>
      <c r="BQ67" s="5"/>
      <c r="BR67" s="5"/>
      <c r="BS67" s="5"/>
      <c r="BT67" s="5"/>
      <c r="BU67" s="62"/>
      <c r="BV67" s="62"/>
      <c r="BW67" s="62"/>
      <c r="BX67" s="62"/>
      <c r="BY67" s="62"/>
      <c r="BZ67" s="62"/>
      <c r="CA67" s="62"/>
      <c r="CB67" s="62"/>
      <c r="CC67" s="62"/>
      <c r="CD67" s="62"/>
      <c r="CE67" s="62"/>
      <c r="CF67" s="62"/>
      <c r="CG67" s="62"/>
      <c r="CH67" s="62"/>
      <c r="CI67" s="62"/>
      <c r="CJ67" s="62"/>
      <c r="CK67" s="62"/>
      <c r="CL67" s="62"/>
      <c r="CM67" s="62"/>
      <c r="CN67" s="62"/>
      <c r="CO67" s="62"/>
      <c r="CP67" s="62"/>
      <c r="CQ67" s="62"/>
      <c r="CR67" s="62"/>
      <c r="CS67" s="62"/>
      <c r="CT67" s="62"/>
      <c r="CU67" s="62"/>
      <c r="CV67" s="62"/>
      <c r="CW67" s="62"/>
      <c r="CX67" s="62"/>
      <c r="CY67" s="62"/>
    </row>
    <row r="68" spans="3:103" ht="13.5" customHeight="1">
      <c r="G68" s="62"/>
      <c r="H68" s="62"/>
      <c r="N68" s="34"/>
      <c r="AD68" s="62"/>
      <c r="AE68" s="483"/>
      <c r="AF68" s="483"/>
      <c r="AG68" s="483"/>
      <c r="AH68" s="483"/>
      <c r="AI68" s="483"/>
      <c r="AJ68" s="62"/>
      <c r="AK68" s="62"/>
      <c r="AL68" s="483"/>
      <c r="AM68" s="483"/>
      <c r="AN68" s="483"/>
      <c r="AO68" s="483"/>
      <c r="AP68" s="483"/>
      <c r="AQ68" s="62"/>
      <c r="AR68" s="62"/>
      <c r="AS68" s="62"/>
      <c r="AT68" s="62"/>
      <c r="AU68" s="62"/>
      <c r="AV68" s="62"/>
      <c r="AW68" s="62"/>
      <c r="AX68" s="62"/>
      <c r="AY68" s="62"/>
      <c r="AZ68" s="62"/>
      <c r="BA68" s="62"/>
      <c r="BB68" s="62"/>
      <c r="BC68" s="62"/>
      <c r="BD68" s="62"/>
      <c r="BE68" s="62"/>
      <c r="BF68" s="62"/>
      <c r="BG68" s="62"/>
      <c r="BH68" s="62"/>
      <c r="BI68" s="62"/>
      <c r="BJ68" s="62"/>
      <c r="BK68" s="62"/>
      <c r="BL68" s="62"/>
      <c r="BM68" s="62"/>
      <c r="BN68" s="62"/>
      <c r="BO68" s="62"/>
      <c r="BP68" s="62"/>
      <c r="BQ68" s="62"/>
      <c r="BR68" s="62"/>
      <c r="BS68" s="62"/>
      <c r="BT68" s="62"/>
      <c r="BU68" s="62"/>
      <c r="BV68" s="62"/>
      <c r="BW68" s="62"/>
      <c r="BX68" s="62"/>
      <c r="BY68" s="62"/>
      <c r="BZ68" s="62"/>
      <c r="CA68" s="62"/>
      <c r="CB68" s="62"/>
      <c r="CC68" s="62"/>
      <c r="CD68" s="62"/>
      <c r="CE68" s="62"/>
      <c r="CF68" s="62"/>
      <c r="CG68" s="62"/>
      <c r="CH68" s="62"/>
      <c r="CI68" s="62"/>
      <c r="CJ68" s="62"/>
      <c r="CK68" s="62"/>
      <c r="CL68" s="62"/>
      <c r="CM68" s="62"/>
      <c r="CN68" s="62"/>
      <c r="CO68" s="62"/>
      <c r="CP68" s="62"/>
      <c r="CQ68" s="62"/>
      <c r="CR68" s="62"/>
      <c r="CS68" s="62"/>
      <c r="CT68" s="62"/>
      <c r="CU68" s="62"/>
      <c r="CV68" s="62"/>
      <c r="CW68" s="62"/>
      <c r="CX68" s="62"/>
      <c r="CY68" s="62"/>
    </row>
    <row r="69" spans="3:103" ht="13.5" customHeight="1">
      <c r="D69" s="36" t="s">
        <v>3</v>
      </c>
      <c r="E69" s="36">
        <v>125</v>
      </c>
      <c r="N69" s="34"/>
      <c r="AD69" s="198"/>
      <c r="AE69" s="237"/>
      <c r="AF69" s="237"/>
      <c r="AG69" s="237"/>
      <c r="AH69" s="237"/>
      <c r="AI69" s="237"/>
      <c r="AJ69" s="62"/>
      <c r="AK69" s="198"/>
      <c r="AL69" s="237"/>
      <c r="AM69" s="237"/>
      <c r="AN69" s="237"/>
      <c r="AO69" s="237"/>
      <c r="AP69" s="237"/>
      <c r="AQ69" s="62"/>
      <c r="AR69" s="154"/>
      <c r="AS69" s="228"/>
      <c r="AT69" s="62"/>
      <c r="AU69" s="62"/>
      <c r="AV69" s="228"/>
      <c r="AW69" s="62"/>
      <c r="AX69" s="198"/>
      <c r="AY69" s="198"/>
      <c r="AZ69" s="198"/>
      <c r="BA69" s="198"/>
      <c r="BB69" s="198"/>
      <c r="BC69" s="198"/>
      <c r="BD69" s="154"/>
      <c r="BE69" s="228"/>
      <c r="BF69" s="62"/>
      <c r="BG69" s="62"/>
      <c r="BH69" s="228"/>
      <c r="BI69" s="228"/>
      <c r="BJ69" s="198"/>
      <c r="BK69" s="198"/>
      <c r="BL69" s="198"/>
      <c r="BM69" s="198"/>
      <c r="BN69" s="198"/>
      <c r="BO69" s="198"/>
      <c r="BP69" s="198"/>
      <c r="BQ69" s="198"/>
      <c r="BR69" s="198"/>
      <c r="BS69" s="198"/>
      <c r="BT69" s="198"/>
      <c r="BU69" s="62"/>
      <c r="BV69" s="62"/>
      <c r="BW69" s="62"/>
      <c r="BX69" s="62"/>
      <c r="BY69" s="62"/>
      <c r="BZ69" s="62"/>
      <c r="CA69" s="62"/>
      <c r="CB69" s="62"/>
      <c r="CC69" s="62"/>
      <c r="CD69" s="62"/>
      <c r="CE69" s="62"/>
      <c r="CF69" s="62"/>
      <c r="CG69" s="62"/>
      <c r="CH69" s="62"/>
      <c r="CI69" s="62"/>
      <c r="CJ69" s="62"/>
      <c r="CK69" s="62"/>
      <c r="CL69" s="62"/>
      <c r="CM69" s="62"/>
      <c r="CN69" s="62"/>
      <c r="CO69" s="62"/>
      <c r="CP69" s="62"/>
      <c r="CQ69" s="62"/>
      <c r="CR69" s="62"/>
      <c r="CS69" s="62"/>
      <c r="CT69" s="62"/>
      <c r="CU69" s="62"/>
      <c r="CV69" s="62"/>
      <c r="CW69" s="62"/>
      <c r="CX69" s="62"/>
      <c r="CY69" s="62"/>
    </row>
    <row r="70" spans="3:103" ht="13.5" customHeight="1">
      <c r="C70" s="34">
        <v>1</v>
      </c>
      <c r="D70" s="1" t="s">
        <v>7</v>
      </c>
      <c r="E70" s="3">
        <f t="shared" ref="E70:E84" si="6">VLOOKUP(D70,$C$7:$K$21,5,0)</f>
        <v>0.16267766119573746</v>
      </c>
      <c r="N70" s="34"/>
      <c r="AD70" s="4"/>
      <c r="AE70" s="229"/>
      <c r="AF70" s="229"/>
      <c r="AG70" s="229"/>
      <c r="AH70" s="229"/>
      <c r="AI70" s="5"/>
      <c r="AJ70" s="183"/>
      <c r="AK70" s="4"/>
      <c r="AL70" s="229"/>
      <c r="AM70" s="229"/>
      <c r="AN70" s="229"/>
      <c r="AO70" s="229"/>
      <c r="AP70" s="5"/>
      <c r="AQ70" s="183"/>
      <c r="AR70" s="62"/>
      <c r="AS70" s="94"/>
      <c r="AT70" s="62"/>
      <c r="AU70" s="62"/>
      <c r="AV70" s="94"/>
      <c r="AW70" s="62"/>
      <c r="AX70" s="4"/>
      <c r="AY70" s="5"/>
      <c r="AZ70" s="5"/>
      <c r="BA70" s="4"/>
      <c r="BB70" s="5"/>
      <c r="BC70" s="5"/>
      <c r="BD70" s="62"/>
      <c r="BE70" s="94"/>
      <c r="BF70" s="62"/>
      <c r="BG70" s="62"/>
      <c r="BH70" s="94"/>
      <c r="BI70" s="94"/>
      <c r="BJ70" s="4"/>
      <c r="BK70" s="5"/>
      <c r="BL70" s="5"/>
      <c r="BM70" s="4"/>
      <c r="BN70" s="5"/>
      <c r="BO70" s="5"/>
      <c r="BP70" s="4"/>
      <c r="BQ70" s="5"/>
      <c r="BR70" s="5"/>
      <c r="BS70" s="4"/>
      <c r="BT70" s="5"/>
      <c r="BU70" s="62"/>
      <c r="BV70" s="62"/>
      <c r="BW70" s="62"/>
      <c r="BX70" s="62"/>
      <c r="BY70" s="62"/>
      <c r="BZ70" s="62"/>
      <c r="CA70" s="62"/>
      <c r="CB70" s="62"/>
      <c r="CC70" s="62"/>
      <c r="CD70" s="62"/>
      <c r="CE70" s="62"/>
      <c r="CF70" s="62"/>
      <c r="CG70" s="62"/>
      <c r="CH70" s="62"/>
      <c r="CI70" s="62"/>
      <c r="CJ70" s="62"/>
      <c r="CK70" s="62"/>
      <c r="CL70" s="62"/>
      <c r="CM70" s="62"/>
      <c r="CN70" s="62"/>
      <c r="CO70" s="62"/>
      <c r="CP70" s="62"/>
      <c r="CQ70" s="62"/>
      <c r="CR70" s="62"/>
      <c r="CS70" s="62"/>
      <c r="CT70" s="62"/>
      <c r="CU70" s="62"/>
      <c r="CV70" s="62"/>
      <c r="CW70" s="62"/>
      <c r="CX70" s="62"/>
      <c r="CY70" s="62"/>
    </row>
    <row r="71" spans="3:103" ht="13.5" customHeight="1">
      <c r="C71" s="34">
        <v>2</v>
      </c>
      <c r="D71" s="1" t="s">
        <v>9</v>
      </c>
      <c r="E71" s="3">
        <f t="shared" si="6"/>
        <v>2.4168915075972119</v>
      </c>
      <c r="N71" s="34"/>
      <c r="AD71" s="4"/>
      <c r="AE71" s="229"/>
      <c r="AF71" s="229"/>
      <c r="AG71" s="229"/>
      <c r="AH71" s="229"/>
      <c r="AI71" s="5"/>
      <c r="AJ71" s="183"/>
      <c r="AK71" s="4"/>
      <c r="AL71" s="229"/>
      <c r="AM71" s="229"/>
      <c r="AN71" s="229"/>
      <c r="AO71" s="229"/>
      <c r="AP71" s="5"/>
      <c r="AQ71" s="183"/>
      <c r="AR71" s="62"/>
      <c r="AS71" s="94"/>
      <c r="AT71" s="62"/>
      <c r="AU71" s="62"/>
      <c r="AV71" s="94"/>
      <c r="AW71" s="62"/>
      <c r="AX71" s="4"/>
      <c r="AY71" s="5"/>
      <c r="AZ71" s="5"/>
      <c r="BA71" s="4"/>
      <c r="BB71" s="5"/>
      <c r="BC71" s="5"/>
      <c r="BD71" s="62"/>
      <c r="BE71" s="94"/>
      <c r="BF71" s="62"/>
      <c r="BG71" s="62"/>
      <c r="BH71" s="94"/>
      <c r="BI71" s="94"/>
      <c r="BJ71" s="4"/>
      <c r="BK71" s="5"/>
      <c r="BL71" s="5"/>
      <c r="BM71" s="4"/>
      <c r="BN71" s="5"/>
      <c r="BO71" s="5"/>
      <c r="BP71" s="4"/>
      <c r="BQ71" s="5"/>
      <c r="BR71" s="5"/>
      <c r="BS71" s="4"/>
      <c r="BT71" s="5"/>
      <c r="BU71" s="62"/>
      <c r="BV71" s="62"/>
      <c r="BW71" s="62"/>
      <c r="BX71" s="62"/>
      <c r="BY71" s="62"/>
      <c r="BZ71" s="62"/>
      <c r="CA71" s="62"/>
      <c r="CB71" s="62"/>
      <c r="CC71" s="62"/>
      <c r="CD71" s="62"/>
      <c r="CE71" s="62"/>
      <c r="CF71" s="62"/>
      <c r="CG71" s="62"/>
      <c r="CH71" s="62"/>
      <c r="CI71" s="62"/>
      <c r="CJ71" s="62"/>
      <c r="CK71" s="62"/>
      <c r="CL71" s="62"/>
      <c r="CM71" s="62"/>
      <c r="CN71" s="62"/>
      <c r="CO71" s="62"/>
      <c r="CP71" s="62"/>
      <c r="CQ71" s="62"/>
      <c r="CR71" s="62"/>
      <c r="CS71" s="62"/>
      <c r="CT71" s="62"/>
      <c r="CU71" s="62"/>
      <c r="CV71" s="62"/>
      <c r="CW71" s="62"/>
      <c r="CX71" s="62"/>
      <c r="CY71" s="62"/>
    </row>
    <row r="72" spans="3:103" ht="13.5" customHeight="1">
      <c r="C72" s="34">
        <v>3</v>
      </c>
      <c r="D72" s="1" t="s">
        <v>8</v>
      </c>
      <c r="E72" s="3">
        <f t="shared" si="6"/>
        <v>3.1100429494591308</v>
      </c>
      <c r="N72" s="34"/>
      <c r="AD72" s="4"/>
      <c r="AE72" s="229"/>
      <c r="AF72" s="229"/>
      <c r="AG72" s="229"/>
      <c r="AH72" s="229"/>
      <c r="AI72" s="5"/>
      <c r="AJ72" s="183"/>
      <c r="AK72" s="4"/>
      <c r="AL72" s="229"/>
      <c r="AM72" s="229"/>
      <c r="AN72" s="229"/>
      <c r="AO72" s="229"/>
      <c r="AP72" s="5"/>
      <c r="AQ72" s="183"/>
      <c r="AR72" s="62"/>
      <c r="AS72" s="94"/>
      <c r="AT72" s="62"/>
      <c r="AU72" s="62"/>
      <c r="AV72" s="94"/>
      <c r="AW72" s="62"/>
      <c r="AX72" s="4"/>
      <c r="AY72" s="5"/>
      <c r="AZ72" s="5"/>
      <c r="BA72" s="4"/>
      <c r="BB72" s="5"/>
      <c r="BC72" s="5"/>
      <c r="BD72" s="62"/>
      <c r="BE72" s="94"/>
      <c r="BF72" s="62"/>
      <c r="BG72" s="62"/>
      <c r="BH72" s="94"/>
      <c r="BI72" s="94"/>
      <c r="BJ72" s="4"/>
      <c r="BK72" s="5"/>
      <c r="BL72" s="5"/>
      <c r="BM72" s="4"/>
      <c r="BN72" s="5"/>
      <c r="BO72" s="5"/>
      <c r="BP72" s="4"/>
      <c r="BQ72" s="5"/>
      <c r="BR72" s="5"/>
      <c r="BS72" s="4"/>
      <c r="BT72" s="5"/>
      <c r="BU72" s="62"/>
      <c r="BV72" s="62"/>
      <c r="BW72" s="62"/>
      <c r="BX72" s="62"/>
      <c r="BY72" s="62"/>
      <c r="BZ72" s="62"/>
      <c r="CA72" s="62"/>
      <c r="CB72" s="62"/>
      <c r="CC72" s="62"/>
      <c r="CD72" s="62"/>
      <c r="CE72" s="62"/>
      <c r="CF72" s="62"/>
      <c r="CG72" s="62"/>
      <c r="CH72" s="62"/>
      <c r="CI72" s="62"/>
      <c r="CJ72" s="62"/>
      <c r="CK72" s="62"/>
      <c r="CL72" s="62"/>
      <c r="CM72" s="62"/>
      <c r="CN72" s="62"/>
      <c r="CO72" s="62"/>
      <c r="CP72" s="62"/>
      <c r="CQ72" s="62"/>
      <c r="CR72" s="62"/>
      <c r="CS72" s="62"/>
      <c r="CT72" s="62"/>
      <c r="CU72" s="62"/>
      <c r="CV72" s="62"/>
      <c r="CW72" s="62"/>
      <c r="CX72" s="62"/>
      <c r="CY72" s="62"/>
    </row>
    <row r="73" spans="3:103" ht="13.5" customHeight="1">
      <c r="C73" s="34">
        <v>4</v>
      </c>
      <c r="D73" s="1" t="s">
        <v>202</v>
      </c>
      <c r="E73" s="3">
        <f t="shared" si="6"/>
        <v>5.3474586898901926</v>
      </c>
      <c r="N73" s="34"/>
      <c r="AD73" s="4"/>
      <c r="AE73" s="229"/>
      <c r="AF73" s="229"/>
      <c r="AG73" s="229"/>
      <c r="AH73" s="229"/>
      <c r="AI73" s="5"/>
      <c r="AJ73" s="183"/>
      <c r="AK73" s="4"/>
      <c r="AL73" s="229"/>
      <c r="AM73" s="229"/>
      <c r="AN73" s="229"/>
      <c r="AO73" s="229"/>
      <c r="AP73" s="5"/>
      <c r="AQ73" s="183"/>
      <c r="AR73" s="62"/>
      <c r="AS73" s="94"/>
      <c r="AT73" s="62"/>
      <c r="AU73" s="62"/>
      <c r="AV73" s="94"/>
      <c r="AW73" s="62"/>
      <c r="AX73" s="4"/>
      <c r="AY73" s="5"/>
      <c r="AZ73" s="5"/>
      <c r="BA73" s="4"/>
      <c r="BB73" s="5"/>
      <c r="BC73" s="5"/>
      <c r="BD73" s="62"/>
      <c r="BE73" s="94"/>
      <c r="BF73" s="62"/>
      <c r="BG73" s="62"/>
      <c r="BH73" s="94"/>
      <c r="BI73" s="94"/>
      <c r="BJ73" s="4"/>
      <c r="BK73" s="5"/>
      <c r="BL73" s="5"/>
      <c r="BM73" s="4"/>
      <c r="BN73" s="5"/>
      <c r="BO73" s="5"/>
      <c r="BP73" s="4"/>
      <c r="BQ73" s="5"/>
      <c r="BR73" s="5"/>
      <c r="BS73" s="4"/>
      <c r="BT73" s="5"/>
      <c r="BU73" s="62"/>
      <c r="BV73" s="62"/>
      <c r="BW73" s="62"/>
      <c r="BX73" s="62"/>
      <c r="BY73" s="62"/>
      <c r="BZ73" s="62"/>
      <c r="CA73" s="62"/>
      <c r="CB73" s="62"/>
      <c r="CC73" s="62"/>
      <c r="CD73" s="62"/>
      <c r="CE73" s="62"/>
      <c r="CF73" s="62"/>
      <c r="CG73" s="62"/>
      <c r="CH73" s="62"/>
      <c r="CI73" s="62"/>
      <c r="CJ73" s="62"/>
      <c r="CK73" s="62"/>
      <c r="CL73" s="62"/>
      <c r="CM73" s="62"/>
      <c r="CN73" s="62"/>
      <c r="CO73" s="62"/>
      <c r="CP73" s="62"/>
      <c r="CQ73" s="62"/>
      <c r="CR73" s="62"/>
      <c r="CS73" s="62"/>
      <c r="CT73" s="62"/>
      <c r="CU73" s="62"/>
      <c r="CV73" s="62"/>
      <c r="CW73" s="62"/>
      <c r="CX73" s="62"/>
      <c r="CY73" s="62"/>
    </row>
    <row r="74" spans="3:103" ht="13.5" customHeight="1">
      <c r="C74" s="34">
        <v>5</v>
      </c>
      <c r="D74" s="1" t="s">
        <v>6</v>
      </c>
      <c r="E74" s="3">
        <f t="shared" si="6"/>
        <v>7.2312000000000003</v>
      </c>
      <c r="N74" s="34"/>
      <c r="AD74" s="4"/>
      <c r="AE74" s="229"/>
      <c r="AF74" s="229"/>
      <c r="AG74" s="229"/>
      <c r="AH74" s="229"/>
      <c r="AI74" s="5"/>
      <c r="AJ74" s="183"/>
      <c r="AK74" s="4"/>
      <c r="AL74" s="229"/>
      <c r="AM74" s="229"/>
      <c r="AN74" s="229"/>
      <c r="AO74" s="229"/>
      <c r="AP74" s="5"/>
      <c r="AQ74" s="183"/>
      <c r="AR74" s="62"/>
      <c r="AS74" s="94"/>
      <c r="AT74" s="62"/>
      <c r="AU74" s="62"/>
      <c r="AV74" s="94"/>
      <c r="AW74" s="62"/>
      <c r="AX74" s="4"/>
      <c r="AY74" s="5"/>
      <c r="AZ74" s="5"/>
      <c r="BA74" s="4"/>
      <c r="BB74" s="5"/>
      <c r="BC74" s="5"/>
      <c r="BD74" s="62"/>
      <c r="BE74" s="94"/>
      <c r="BF74" s="62"/>
      <c r="BG74" s="62"/>
      <c r="BH74" s="94"/>
      <c r="BI74" s="94"/>
      <c r="BJ74" s="4"/>
      <c r="BK74" s="5"/>
      <c r="BL74" s="5"/>
      <c r="BM74" s="4"/>
      <c r="BN74" s="5"/>
      <c r="BO74" s="5"/>
      <c r="BP74" s="4"/>
      <c r="BQ74" s="5"/>
      <c r="BR74" s="5"/>
      <c r="BS74" s="4"/>
      <c r="BT74" s="5"/>
      <c r="BU74" s="62"/>
      <c r="BV74" s="62"/>
      <c r="BW74" s="62"/>
      <c r="BX74" s="62"/>
      <c r="BY74" s="62"/>
      <c r="BZ74" s="62"/>
      <c r="CA74" s="62"/>
      <c r="CB74" s="62"/>
      <c r="CC74" s="62"/>
      <c r="CD74" s="62"/>
      <c r="CE74" s="62"/>
      <c r="CF74" s="62"/>
      <c r="CG74" s="62"/>
      <c r="CH74" s="62"/>
      <c r="CI74" s="62"/>
      <c r="CJ74" s="62"/>
      <c r="CK74" s="62"/>
      <c r="CL74" s="62"/>
      <c r="CM74" s="62"/>
      <c r="CN74" s="62"/>
      <c r="CO74" s="62"/>
      <c r="CP74" s="62"/>
      <c r="CQ74" s="62"/>
      <c r="CR74" s="62"/>
      <c r="CS74" s="62"/>
      <c r="CT74" s="62"/>
      <c r="CU74" s="62"/>
      <c r="CV74" s="62"/>
      <c r="CW74" s="62"/>
      <c r="CX74" s="62"/>
      <c r="CY74" s="62"/>
    </row>
    <row r="75" spans="3:103" ht="13.5" customHeight="1">
      <c r="C75" s="34">
        <v>6</v>
      </c>
      <c r="D75" s="1" t="s">
        <v>41</v>
      </c>
      <c r="E75" s="3">
        <f t="shared" si="6"/>
        <v>7.7655303994485347</v>
      </c>
      <c r="I75" s="37"/>
      <c r="J75" s="37"/>
      <c r="K75" s="37"/>
      <c r="N75" s="34"/>
      <c r="AD75" s="4"/>
      <c r="AE75" s="229"/>
      <c r="AF75" s="229"/>
      <c r="AG75" s="229"/>
      <c r="AH75" s="229"/>
      <c r="AI75" s="5"/>
      <c r="AJ75" s="183"/>
      <c r="AK75" s="4"/>
      <c r="AL75" s="229"/>
      <c r="AM75" s="229"/>
      <c r="AN75" s="229"/>
      <c r="AO75" s="229"/>
      <c r="AP75" s="5"/>
      <c r="AQ75" s="183"/>
      <c r="AR75" s="62"/>
      <c r="AS75" s="94"/>
      <c r="AT75" s="62"/>
      <c r="AU75" s="62"/>
      <c r="AV75" s="94"/>
      <c r="AW75" s="62"/>
      <c r="AX75" s="4"/>
      <c r="AY75" s="5"/>
      <c r="AZ75" s="5"/>
      <c r="BA75" s="4"/>
      <c r="BB75" s="5"/>
      <c r="BC75" s="5"/>
      <c r="BD75" s="62"/>
      <c r="BE75" s="94"/>
      <c r="BF75" s="62"/>
      <c r="BG75" s="62"/>
      <c r="BH75" s="94"/>
      <c r="BI75" s="94"/>
      <c r="BJ75" s="4"/>
      <c r="BK75" s="5"/>
      <c r="BL75" s="5"/>
      <c r="BM75" s="4"/>
      <c r="BN75" s="5"/>
      <c r="BO75" s="5"/>
      <c r="BP75" s="4"/>
      <c r="BQ75" s="5"/>
      <c r="BR75" s="5"/>
      <c r="BS75" s="4"/>
      <c r="BT75" s="5"/>
      <c r="BU75" s="62"/>
      <c r="BV75" s="62"/>
      <c r="BW75" s="62"/>
      <c r="BX75" s="62"/>
      <c r="BY75" s="62"/>
      <c r="BZ75" s="62"/>
      <c r="CA75" s="62"/>
      <c r="CB75" s="62"/>
      <c r="CC75" s="62"/>
      <c r="CD75" s="62"/>
      <c r="CE75" s="62"/>
      <c r="CF75" s="62"/>
      <c r="CG75" s="62"/>
      <c r="CH75" s="62"/>
      <c r="CI75" s="62"/>
      <c r="CJ75" s="62"/>
      <c r="CK75" s="62"/>
      <c r="CL75" s="62"/>
      <c r="CM75" s="62"/>
      <c r="CN75" s="62"/>
      <c r="CO75" s="62"/>
      <c r="CP75" s="62"/>
      <c r="CQ75" s="62"/>
      <c r="CR75" s="62"/>
      <c r="CS75" s="62"/>
      <c r="CT75" s="62"/>
      <c r="CU75" s="62"/>
      <c r="CV75" s="62"/>
      <c r="CW75" s="62"/>
      <c r="CX75" s="62"/>
      <c r="CY75" s="62"/>
    </row>
    <row r="76" spans="3:103" ht="13.5" customHeight="1">
      <c r="C76" s="34">
        <v>7</v>
      </c>
      <c r="D76" s="1" t="s">
        <v>71</v>
      </c>
      <c r="E76" s="3">
        <f t="shared" si="6"/>
        <v>10.049341015219662</v>
      </c>
      <c r="N76" s="34"/>
      <c r="AD76" s="4"/>
      <c r="AE76" s="229"/>
      <c r="AF76" s="229"/>
      <c r="AG76" s="229"/>
      <c r="AH76" s="229"/>
      <c r="AI76" s="5"/>
      <c r="AJ76" s="183"/>
      <c r="AK76" s="4"/>
      <c r="AL76" s="229"/>
      <c r="AM76" s="229"/>
      <c r="AN76" s="229"/>
      <c r="AO76" s="229"/>
      <c r="AP76" s="5"/>
      <c r="AQ76" s="183"/>
      <c r="AR76" s="62"/>
      <c r="AS76" s="94"/>
      <c r="AT76" s="62"/>
      <c r="AU76" s="62"/>
      <c r="AV76" s="94"/>
      <c r="AW76" s="62"/>
      <c r="AX76" s="4"/>
      <c r="AY76" s="5"/>
      <c r="AZ76" s="5"/>
      <c r="BA76" s="4"/>
      <c r="BB76" s="5"/>
      <c r="BC76" s="5"/>
      <c r="BD76" s="62"/>
      <c r="BE76" s="94"/>
      <c r="BF76" s="62"/>
      <c r="BG76" s="62"/>
      <c r="BH76" s="94"/>
      <c r="BI76" s="94"/>
      <c r="BJ76" s="4"/>
      <c r="BK76" s="5"/>
      <c r="BL76" s="5"/>
      <c r="BM76" s="4"/>
      <c r="BN76" s="5"/>
      <c r="BO76" s="5"/>
      <c r="BP76" s="4"/>
      <c r="BQ76" s="5"/>
      <c r="BR76" s="5"/>
      <c r="BS76" s="4"/>
      <c r="BT76" s="5"/>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row>
    <row r="77" spans="3:103" ht="13.5" customHeight="1">
      <c r="C77" s="34">
        <v>8</v>
      </c>
      <c r="D77" s="1" t="s">
        <v>2</v>
      </c>
      <c r="E77" s="3">
        <f t="shared" si="6"/>
        <v>10.881614762715152</v>
      </c>
      <c r="N77" s="34"/>
      <c r="AD77" s="4"/>
      <c r="AE77" s="229"/>
      <c r="AF77" s="229"/>
      <c r="AG77" s="229"/>
      <c r="AH77" s="229"/>
      <c r="AI77" s="5"/>
      <c r="AJ77" s="183"/>
      <c r="AK77" s="4"/>
      <c r="AL77" s="229"/>
      <c r="AM77" s="229"/>
      <c r="AN77" s="229"/>
      <c r="AO77" s="229"/>
      <c r="AP77" s="5"/>
      <c r="AQ77" s="183"/>
      <c r="AR77" s="62"/>
      <c r="AS77" s="94"/>
      <c r="AT77" s="62"/>
      <c r="AU77" s="62"/>
      <c r="AV77" s="94"/>
      <c r="AW77" s="62"/>
      <c r="AX77" s="4"/>
      <c r="AY77" s="5"/>
      <c r="AZ77" s="5"/>
      <c r="BA77" s="4"/>
      <c r="BB77" s="5"/>
      <c r="BC77" s="5"/>
      <c r="BD77" s="62"/>
      <c r="BE77" s="94"/>
      <c r="BF77" s="62"/>
      <c r="BG77" s="62"/>
      <c r="BH77" s="94"/>
      <c r="BI77" s="94"/>
      <c r="BJ77" s="4"/>
      <c r="BK77" s="5"/>
      <c r="BL77" s="5"/>
      <c r="BM77" s="4"/>
      <c r="BN77" s="5"/>
      <c r="BO77" s="5"/>
      <c r="BP77" s="4"/>
      <c r="BQ77" s="5"/>
      <c r="BR77" s="5"/>
      <c r="BS77" s="4"/>
      <c r="BT77" s="5"/>
      <c r="BU77" s="62"/>
      <c r="BV77" s="62"/>
      <c r="BW77" s="62"/>
      <c r="BX77" s="62"/>
      <c r="BY77" s="62"/>
      <c r="BZ77" s="62"/>
      <c r="CA77" s="62"/>
      <c r="CB77" s="62"/>
      <c r="CC77" s="62"/>
      <c r="CD77" s="62"/>
      <c r="CE77" s="62"/>
      <c r="CF77" s="62"/>
      <c r="CG77" s="62"/>
      <c r="CH77" s="62"/>
      <c r="CI77" s="62"/>
      <c r="CJ77" s="62"/>
      <c r="CK77" s="62"/>
      <c r="CL77" s="62"/>
      <c r="CM77" s="62"/>
      <c r="CN77" s="62"/>
      <c r="CO77" s="62"/>
      <c r="CP77" s="62"/>
      <c r="CQ77" s="62"/>
      <c r="CR77" s="62"/>
      <c r="CS77" s="62"/>
      <c r="CT77" s="62"/>
      <c r="CU77" s="62"/>
      <c r="CV77" s="62"/>
      <c r="CW77" s="62"/>
      <c r="CX77" s="62"/>
      <c r="CY77" s="62"/>
    </row>
    <row r="78" spans="3:103" ht="13.5" customHeight="1">
      <c r="C78" s="34">
        <v>9</v>
      </c>
      <c r="D78" s="1" t="s">
        <v>5</v>
      </c>
      <c r="E78" s="3">
        <f t="shared" si="6"/>
        <v>12.636051529509826</v>
      </c>
      <c r="N78" s="34"/>
      <c r="AD78" s="4"/>
      <c r="AE78" s="229"/>
      <c r="AF78" s="229"/>
      <c r="AG78" s="229"/>
      <c r="AH78" s="229"/>
      <c r="AI78" s="5"/>
      <c r="AJ78" s="183"/>
      <c r="AK78" s="4"/>
      <c r="AL78" s="229"/>
      <c r="AM78" s="229"/>
      <c r="AN78" s="229"/>
      <c r="AO78" s="229"/>
      <c r="AP78" s="5"/>
      <c r="AQ78" s="183"/>
      <c r="AR78" s="62"/>
      <c r="AS78" s="94"/>
      <c r="AT78" s="62"/>
      <c r="AU78" s="62"/>
      <c r="AV78" s="94"/>
      <c r="AW78" s="62"/>
      <c r="AX78" s="4"/>
      <c r="AY78" s="5"/>
      <c r="AZ78" s="5"/>
      <c r="BA78" s="4"/>
      <c r="BB78" s="5"/>
      <c r="BC78" s="5"/>
      <c r="BD78" s="62"/>
      <c r="BE78" s="94"/>
      <c r="BF78" s="62"/>
      <c r="BG78" s="62"/>
      <c r="BH78" s="94"/>
      <c r="BI78" s="94"/>
      <c r="BJ78" s="4"/>
      <c r="BK78" s="5"/>
      <c r="BL78" s="5"/>
      <c r="BM78" s="4"/>
      <c r="BN78" s="5"/>
      <c r="BO78" s="5"/>
      <c r="BP78" s="4"/>
      <c r="BQ78" s="5"/>
      <c r="BR78" s="5"/>
      <c r="BS78" s="4"/>
      <c r="BT78" s="5"/>
      <c r="BU78" s="62"/>
      <c r="BV78" s="62"/>
      <c r="BW78" s="62"/>
      <c r="BX78" s="62"/>
      <c r="BY78" s="62"/>
      <c r="BZ78" s="62"/>
      <c r="CA78" s="62"/>
      <c r="CB78" s="62"/>
      <c r="CC78" s="62"/>
      <c r="CD78" s="62"/>
      <c r="CE78" s="62"/>
      <c r="CF78" s="62"/>
      <c r="CG78" s="62"/>
      <c r="CH78" s="62"/>
      <c r="CI78" s="62"/>
      <c r="CJ78" s="62"/>
      <c r="CK78" s="62"/>
      <c r="CL78" s="62"/>
      <c r="CM78" s="62"/>
      <c r="CN78" s="62"/>
      <c r="CO78" s="62"/>
      <c r="CP78" s="62"/>
      <c r="CQ78" s="62"/>
      <c r="CR78" s="62"/>
      <c r="CS78" s="62"/>
      <c r="CT78" s="62"/>
      <c r="CU78" s="62"/>
      <c r="CV78" s="62"/>
      <c r="CW78" s="62"/>
      <c r="CX78" s="62"/>
      <c r="CY78" s="62"/>
    </row>
    <row r="79" spans="3:103" ht="13.5" customHeight="1">
      <c r="C79" s="34">
        <v>10</v>
      </c>
      <c r="D79" s="1" t="s">
        <v>28</v>
      </c>
      <c r="E79" s="3">
        <f t="shared" si="6"/>
        <v>12.729526909413408</v>
      </c>
      <c r="N79" s="34"/>
      <c r="AD79" s="4"/>
      <c r="AE79" s="229"/>
      <c r="AF79" s="229"/>
      <c r="AG79" s="229"/>
      <c r="AH79" s="229"/>
      <c r="AI79" s="5"/>
      <c r="AJ79" s="183"/>
      <c r="AK79" s="4"/>
      <c r="AL79" s="229"/>
      <c r="AM79" s="229"/>
      <c r="AN79" s="229"/>
      <c r="AO79" s="229"/>
      <c r="AP79" s="5"/>
      <c r="AQ79" s="183"/>
      <c r="AR79" s="62"/>
      <c r="AS79" s="94"/>
      <c r="AT79" s="62"/>
      <c r="AU79" s="62"/>
      <c r="AV79" s="94"/>
      <c r="AW79" s="62"/>
      <c r="AX79" s="4"/>
      <c r="AY79" s="5"/>
      <c r="AZ79" s="5"/>
      <c r="BA79" s="4"/>
      <c r="BB79" s="5"/>
      <c r="BC79" s="5"/>
      <c r="BD79" s="62"/>
      <c r="BE79" s="94"/>
      <c r="BF79" s="62"/>
      <c r="BG79" s="62"/>
      <c r="BH79" s="94"/>
      <c r="BI79" s="94"/>
      <c r="BJ79" s="4"/>
      <c r="BK79" s="5"/>
      <c r="BL79" s="5"/>
      <c r="BM79" s="4"/>
      <c r="BN79" s="5"/>
      <c r="BO79" s="5"/>
      <c r="BP79" s="4"/>
      <c r="BQ79" s="5"/>
      <c r="BR79" s="5"/>
      <c r="BS79" s="4"/>
      <c r="BT79" s="5"/>
      <c r="BU79" s="62"/>
      <c r="BV79" s="62"/>
      <c r="BW79" s="62"/>
      <c r="BX79" s="62"/>
      <c r="BY79" s="62"/>
      <c r="BZ79" s="62"/>
      <c r="CA79" s="62"/>
      <c r="CB79" s="62"/>
      <c r="CC79" s="62"/>
      <c r="CD79" s="62"/>
      <c r="CE79" s="62"/>
      <c r="CF79" s="62"/>
      <c r="CG79" s="62"/>
      <c r="CH79" s="62"/>
      <c r="CI79" s="62"/>
      <c r="CJ79" s="62"/>
      <c r="CK79" s="62"/>
      <c r="CL79" s="62"/>
      <c r="CM79" s="62"/>
      <c r="CN79" s="62"/>
      <c r="CO79" s="62"/>
      <c r="CP79" s="62"/>
      <c r="CQ79" s="62"/>
      <c r="CR79" s="62"/>
      <c r="CS79" s="62"/>
      <c r="CT79" s="62"/>
      <c r="CU79" s="62"/>
      <c r="CV79" s="62"/>
      <c r="CW79" s="62"/>
      <c r="CX79" s="62"/>
      <c r="CY79" s="62"/>
    </row>
    <row r="80" spans="3:103" ht="13.5" customHeight="1">
      <c r="C80" s="34">
        <v>12</v>
      </c>
      <c r="D80" s="1" t="s">
        <v>78</v>
      </c>
      <c r="E80" s="3">
        <f t="shared" si="6"/>
        <v>13.973086775999999</v>
      </c>
      <c r="N80" s="34"/>
      <c r="AD80" s="4"/>
      <c r="AE80" s="229"/>
      <c r="AF80" s="229"/>
      <c r="AG80" s="229"/>
      <c r="AH80" s="229"/>
      <c r="AI80" s="5"/>
      <c r="AJ80" s="183"/>
      <c r="AK80" s="4"/>
      <c r="AL80" s="229"/>
      <c r="AM80" s="229"/>
      <c r="AN80" s="229"/>
      <c r="AO80" s="229"/>
      <c r="AP80" s="5"/>
      <c r="AQ80" s="183"/>
      <c r="AR80" s="62"/>
      <c r="AS80" s="94"/>
      <c r="AT80" s="62"/>
      <c r="AU80" s="62"/>
      <c r="AV80" s="94"/>
      <c r="AW80" s="62"/>
      <c r="AX80" s="4"/>
      <c r="AY80" s="5"/>
      <c r="AZ80" s="5"/>
      <c r="BA80" s="4"/>
      <c r="BB80" s="5"/>
      <c r="BC80" s="5"/>
      <c r="BD80" s="62"/>
      <c r="BE80" s="94"/>
      <c r="BF80" s="62"/>
      <c r="BG80" s="62"/>
      <c r="BH80" s="94"/>
      <c r="BI80" s="94"/>
      <c r="BJ80" s="4"/>
      <c r="BK80" s="5"/>
      <c r="BL80" s="5"/>
      <c r="BM80" s="4"/>
      <c r="BN80" s="5"/>
      <c r="BO80" s="5"/>
      <c r="BP80" s="4"/>
      <c r="BQ80" s="5"/>
      <c r="BR80" s="5"/>
      <c r="BS80" s="4"/>
      <c r="BT80" s="5"/>
      <c r="BU80" s="62"/>
      <c r="BV80" s="62"/>
      <c r="BW80" s="62"/>
      <c r="BX80" s="62"/>
      <c r="BY80" s="62"/>
      <c r="BZ80" s="62"/>
      <c r="CA80" s="62"/>
      <c r="CB80" s="62"/>
      <c r="CC80" s="62"/>
      <c r="CD80" s="62"/>
      <c r="CE80" s="62"/>
      <c r="CF80" s="62"/>
      <c r="CG80" s="62"/>
      <c r="CH80" s="62"/>
      <c r="CI80" s="62"/>
      <c r="CJ80" s="62"/>
      <c r="CK80" s="62"/>
      <c r="CL80" s="62"/>
      <c r="CM80" s="62"/>
      <c r="CN80" s="62"/>
      <c r="CO80" s="62"/>
      <c r="CP80" s="62"/>
      <c r="CQ80" s="62"/>
      <c r="CR80" s="62"/>
      <c r="CS80" s="62"/>
      <c r="CT80" s="62"/>
      <c r="CU80" s="62"/>
      <c r="CV80" s="62"/>
      <c r="CW80" s="62"/>
      <c r="CX80" s="62"/>
      <c r="CY80" s="62"/>
    </row>
    <row r="81" spans="3:103" ht="13.5" customHeight="1">
      <c r="C81" s="34">
        <v>11</v>
      </c>
      <c r="D81" s="1" t="s">
        <v>4</v>
      </c>
      <c r="E81" s="432">
        <f t="shared" si="6"/>
        <v>15.894514374359341</v>
      </c>
      <c r="N81" s="34"/>
      <c r="AD81" s="4"/>
      <c r="AE81" s="229"/>
      <c r="AF81" s="229"/>
      <c r="AG81" s="229"/>
      <c r="AH81" s="229"/>
      <c r="AI81" s="5"/>
      <c r="AJ81" s="183"/>
      <c r="AK81" s="4"/>
      <c r="AL81" s="229"/>
      <c r="AM81" s="229"/>
      <c r="AN81" s="229"/>
      <c r="AO81" s="229"/>
      <c r="AP81" s="5"/>
      <c r="AQ81" s="183"/>
      <c r="AR81" s="62"/>
      <c r="AS81" s="94"/>
      <c r="AT81" s="62"/>
      <c r="AU81" s="62"/>
      <c r="AV81" s="94"/>
      <c r="AW81" s="62"/>
      <c r="AX81" s="4"/>
      <c r="AY81" s="5"/>
      <c r="AZ81" s="5"/>
      <c r="BA81" s="4"/>
      <c r="BB81" s="5"/>
      <c r="BC81" s="5"/>
      <c r="BD81" s="62"/>
      <c r="BE81" s="94"/>
      <c r="BF81" s="62"/>
      <c r="BG81" s="62"/>
      <c r="BH81" s="94"/>
      <c r="BI81" s="94"/>
      <c r="BJ81" s="4"/>
      <c r="BK81" s="5"/>
      <c r="BL81" s="5"/>
      <c r="BM81" s="4"/>
      <c r="BN81" s="5"/>
      <c r="BO81" s="5"/>
      <c r="BP81" s="4"/>
      <c r="BQ81" s="5"/>
      <c r="BR81" s="5"/>
      <c r="BS81" s="4"/>
      <c r="BT81" s="5"/>
      <c r="BU81" s="62"/>
      <c r="BV81" s="62"/>
      <c r="BW81" s="62"/>
      <c r="BX81" s="62"/>
      <c r="BY81" s="62"/>
      <c r="BZ81" s="62"/>
      <c r="CA81" s="62"/>
      <c r="CB81" s="62"/>
      <c r="CC81" s="62"/>
      <c r="CD81" s="62"/>
      <c r="CE81" s="62"/>
      <c r="CF81" s="62"/>
      <c r="CG81" s="62"/>
      <c r="CH81" s="62"/>
      <c r="CI81" s="62"/>
      <c r="CJ81" s="62"/>
      <c r="CK81" s="62"/>
      <c r="CL81" s="62"/>
      <c r="CM81" s="62"/>
      <c r="CN81" s="62"/>
      <c r="CO81" s="62"/>
      <c r="CP81" s="62"/>
      <c r="CQ81" s="62"/>
      <c r="CR81" s="62"/>
      <c r="CS81" s="62"/>
      <c r="CT81" s="62"/>
      <c r="CU81" s="62"/>
      <c r="CV81" s="62"/>
      <c r="CW81" s="62"/>
      <c r="CX81" s="62"/>
      <c r="CY81" s="62"/>
    </row>
    <row r="82" spans="3:103" ht="13.5" customHeight="1">
      <c r="C82" s="34">
        <v>13</v>
      </c>
      <c r="D82" s="1" t="s">
        <v>74</v>
      </c>
      <c r="E82" s="3">
        <f t="shared" si="6"/>
        <v>20.0222429842281</v>
      </c>
      <c r="N82" s="34"/>
      <c r="AD82" s="4"/>
      <c r="AE82" s="229"/>
      <c r="AF82" s="229"/>
      <c r="AG82" s="229"/>
      <c r="AH82" s="229"/>
      <c r="AI82" s="5"/>
      <c r="AJ82" s="183"/>
      <c r="AK82" s="4"/>
      <c r="AL82" s="229"/>
      <c r="AM82" s="229"/>
      <c r="AN82" s="229"/>
      <c r="AO82" s="229"/>
      <c r="AP82" s="5"/>
      <c r="AQ82" s="183"/>
      <c r="AR82" s="62"/>
      <c r="AS82" s="94"/>
      <c r="AT82" s="62"/>
      <c r="AU82" s="62"/>
      <c r="AV82" s="94"/>
      <c r="AW82" s="62"/>
      <c r="AX82" s="4"/>
      <c r="AY82" s="5"/>
      <c r="AZ82" s="5"/>
      <c r="BA82" s="4"/>
      <c r="BB82" s="5"/>
      <c r="BC82" s="5"/>
      <c r="BD82" s="62"/>
      <c r="BE82" s="94"/>
      <c r="BF82" s="62"/>
      <c r="BG82" s="62"/>
      <c r="BH82" s="94"/>
      <c r="BI82" s="94"/>
      <c r="BJ82" s="4"/>
      <c r="BK82" s="5"/>
      <c r="BL82" s="5"/>
      <c r="BM82" s="4"/>
      <c r="BN82" s="5"/>
      <c r="BO82" s="5"/>
      <c r="BP82" s="4"/>
      <c r="BQ82" s="5"/>
      <c r="BR82" s="5"/>
      <c r="BS82" s="4"/>
      <c r="BT82" s="5"/>
      <c r="BU82" s="62"/>
      <c r="BV82" s="62"/>
      <c r="BW82" s="62"/>
      <c r="BX82" s="62"/>
      <c r="BY82" s="62"/>
      <c r="BZ82" s="62"/>
      <c r="CA82" s="62"/>
      <c r="CB82" s="62"/>
      <c r="CC82" s="62"/>
      <c r="CD82" s="62"/>
      <c r="CE82" s="62"/>
      <c r="CF82" s="62"/>
      <c r="CG82" s="62"/>
      <c r="CH82" s="62"/>
      <c r="CI82" s="62"/>
      <c r="CJ82" s="62"/>
      <c r="CK82" s="62"/>
      <c r="CL82" s="62"/>
      <c r="CM82" s="62"/>
      <c r="CN82" s="62"/>
      <c r="CO82" s="62"/>
      <c r="CP82" s="62"/>
      <c r="CQ82" s="62"/>
      <c r="CR82" s="62"/>
      <c r="CS82" s="62"/>
      <c r="CT82" s="62"/>
      <c r="CU82" s="62"/>
      <c r="CV82" s="62"/>
      <c r="CW82" s="62"/>
      <c r="CX82" s="62"/>
      <c r="CY82" s="62"/>
    </row>
    <row r="83" spans="3:103" ht="13.5" customHeight="1">
      <c r="C83" s="34">
        <v>14</v>
      </c>
      <c r="D83" s="1" t="s">
        <v>83</v>
      </c>
      <c r="E83" s="3">
        <f t="shared" si="6"/>
        <v>20.391235200000001</v>
      </c>
      <c r="N83" s="34"/>
      <c r="AD83" s="4"/>
      <c r="AE83" s="229"/>
      <c r="AF83" s="229"/>
      <c r="AG83" s="229"/>
      <c r="AH83" s="229"/>
      <c r="AI83" s="5"/>
      <c r="AJ83" s="183"/>
      <c r="AK83" s="4"/>
      <c r="AL83" s="229"/>
      <c r="AM83" s="229"/>
      <c r="AN83" s="229"/>
      <c r="AO83" s="229"/>
      <c r="AP83" s="5"/>
      <c r="AQ83" s="183"/>
      <c r="AR83" s="62"/>
      <c r="AS83" s="94"/>
      <c r="AT83" s="62"/>
      <c r="AU83" s="62"/>
      <c r="AV83" s="94"/>
      <c r="AW83" s="62"/>
      <c r="AX83" s="4"/>
      <c r="AY83" s="5"/>
      <c r="AZ83" s="5"/>
      <c r="BA83" s="4"/>
      <c r="BB83" s="5"/>
      <c r="BC83" s="5"/>
      <c r="BD83" s="62"/>
      <c r="BE83" s="94"/>
      <c r="BF83" s="62"/>
      <c r="BG83" s="62"/>
      <c r="BH83" s="94"/>
      <c r="BI83" s="94"/>
      <c r="BJ83" s="4"/>
      <c r="BK83" s="5"/>
      <c r="BL83" s="5"/>
      <c r="BM83" s="4"/>
      <c r="BN83" s="5"/>
      <c r="BO83" s="5"/>
      <c r="BP83" s="4"/>
      <c r="BQ83" s="5"/>
      <c r="BR83" s="5"/>
      <c r="BS83" s="4"/>
      <c r="BT83" s="5"/>
      <c r="BU83" s="62"/>
      <c r="BV83" s="62"/>
      <c r="BW83" s="62"/>
      <c r="BX83" s="62"/>
      <c r="BY83" s="62"/>
      <c r="BZ83" s="62"/>
      <c r="CA83" s="62"/>
      <c r="CB83" s="62"/>
      <c r="CC83" s="62"/>
      <c r="CD83" s="62"/>
      <c r="CE83" s="62"/>
      <c r="CF83" s="62"/>
      <c r="CG83" s="62"/>
      <c r="CH83" s="62"/>
      <c r="CI83" s="62"/>
      <c r="CJ83" s="62"/>
      <c r="CK83" s="62"/>
      <c r="CL83" s="62"/>
      <c r="CM83" s="62"/>
      <c r="CN83" s="62"/>
      <c r="CO83" s="62"/>
      <c r="CP83" s="62"/>
      <c r="CQ83" s="62"/>
      <c r="CR83" s="62"/>
      <c r="CS83" s="62"/>
      <c r="CT83" s="62"/>
      <c r="CU83" s="62"/>
      <c r="CV83" s="62"/>
      <c r="CW83" s="62"/>
      <c r="CX83" s="62"/>
      <c r="CY83" s="62"/>
    </row>
    <row r="84" spans="3:103" ht="13.5" customHeight="1">
      <c r="C84" s="34">
        <v>15</v>
      </c>
      <c r="D84" s="1" t="s">
        <v>10</v>
      </c>
      <c r="E84" s="3">
        <f t="shared" si="6"/>
        <v>24.769083455198714</v>
      </c>
      <c r="N84" s="34"/>
      <c r="AD84" s="4"/>
      <c r="AE84" s="229"/>
      <c r="AF84" s="229"/>
      <c r="AG84" s="229"/>
      <c r="AH84" s="229"/>
      <c r="AI84" s="5"/>
      <c r="AJ84" s="183"/>
      <c r="AK84" s="4"/>
      <c r="AL84" s="229"/>
      <c r="AM84" s="229"/>
      <c r="AN84" s="229"/>
      <c r="AO84" s="229"/>
      <c r="AP84" s="5"/>
      <c r="AQ84" s="183"/>
      <c r="AR84" s="62"/>
      <c r="AS84" s="94"/>
      <c r="AT84" s="62"/>
      <c r="AU84" s="62"/>
      <c r="AV84" s="94"/>
      <c r="AW84" s="62"/>
      <c r="AX84" s="4"/>
      <c r="AY84" s="5"/>
      <c r="AZ84" s="5"/>
      <c r="BA84" s="4"/>
      <c r="BB84" s="5"/>
      <c r="BC84" s="5"/>
      <c r="BD84" s="62"/>
      <c r="BE84" s="94"/>
      <c r="BF84" s="62"/>
      <c r="BG84" s="62"/>
      <c r="BH84" s="94"/>
      <c r="BI84" s="94"/>
      <c r="BJ84" s="4"/>
      <c r="BK84" s="5"/>
      <c r="BL84" s="5"/>
      <c r="BM84" s="4"/>
      <c r="BN84" s="5"/>
      <c r="BO84" s="5"/>
      <c r="BP84" s="4"/>
      <c r="BQ84" s="5"/>
      <c r="BR84" s="5"/>
      <c r="BS84" s="4"/>
      <c r="BT84" s="5"/>
      <c r="BU84" s="62"/>
      <c r="BV84" s="62"/>
      <c r="BW84" s="62"/>
      <c r="BX84" s="62"/>
      <c r="BY84" s="62"/>
      <c r="BZ84" s="62"/>
      <c r="CA84" s="62"/>
      <c r="CB84" s="62"/>
      <c r="CC84" s="62"/>
      <c r="CD84" s="62"/>
      <c r="CE84" s="62"/>
      <c r="CF84" s="62"/>
      <c r="CG84" s="62"/>
      <c r="CH84" s="62"/>
      <c r="CI84" s="62"/>
      <c r="CJ84" s="62"/>
      <c r="CK84" s="62"/>
      <c r="CL84" s="62"/>
      <c r="CM84" s="62"/>
      <c r="CN84" s="62"/>
      <c r="CO84" s="62"/>
      <c r="CP84" s="62"/>
      <c r="CQ84" s="62"/>
      <c r="CR84" s="62"/>
      <c r="CS84" s="62"/>
      <c r="CT84" s="62"/>
      <c r="CU84" s="62"/>
      <c r="CV84" s="62"/>
      <c r="CW84" s="62"/>
      <c r="CX84" s="62"/>
      <c r="CY84" s="62"/>
    </row>
    <row r="85" spans="3:103" ht="13.5" customHeight="1">
      <c r="N85" s="34"/>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62"/>
      <c r="BG85" s="62"/>
      <c r="BH85" s="62"/>
      <c r="BI85" s="62"/>
      <c r="BJ85" s="62"/>
      <c r="BK85" s="62"/>
      <c r="BL85" s="62"/>
      <c r="BM85" s="62"/>
      <c r="BN85" s="62"/>
      <c r="BO85" s="62"/>
      <c r="BP85" s="62"/>
      <c r="BQ85" s="62"/>
      <c r="BR85" s="62"/>
      <c r="BS85" s="62"/>
      <c r="BT85" s="62"/>
      <c r="BU85" s="62"/>
      <c r="BV85" s="62"/>
      <c r="BW85" s="62"/>
      <c r="BX85" s="62"/>
      <c r="BY85" s="62"/>
      <c r="BZ85" s="62"/>
      <c r="CA85" s="62"/>
      <c r="CB85" s="62"/>
      <c r="CC85" s="62"/>
      <c r="CD85" s="62"/>
      <c r="CE85" s="62"/>
      <c r="CF85" s="62"/>
      <c r="CG85" s="62"/>
      <c r="CH85" s="62"/>
      <c r="CI85" s="62"/>
      <c r="CJ85" s="62"/>
      <c r="CK85" s="62"/>
      <c r="CL85" s="62"/>
      <c r="CM85" s="62"/>
      <c r="CN85" s="62"/>
      <c r="CO85" s="62"/>
      <c r="CP85" s="62"/>
      <c r="CQ85" s="62"/>
      <c r="CR85" s="62"/>
      <c r="CS85" s="62"/>
      <c r="CT85" s="62"/>
      <c r="CU85" s="62"/>
      <c r="CV85" s="62"/>
      <c r="CW85" s="62"/>
      <c r="CX85" s="62"/>
      <c r="CY85" s="62"/>
    </row>
    <row r="86" spans="3:103" ht="13.5" customHeight="1">
      <c r="D86" s="34" t="s">
        <v>301</v>
      </c>
      <c r="E86" s="5">
        <f>+AVERAGE(E70:E84)</f>
        <v>11.158699880949001</v>
      </c>
      <c r="F86" s="123">
        <f>+_xlfn.QUARTILE.EXC(E70:E84,1)</f>
        <v>5.3474586898901926</v>
      </c>
      <c r="N86" s="34"/>
      <c r="AD86" s="62"/>
      <c r="AE86" s="62"/>
      <c r="AF86" s="62"/>
      <c r="AG86" s="62"/>
      <c r="AH86" s="62"/>
      <c r="AI86" s="62"/>
      <c r="AJ86" s="62"/>
      <c r="AK86" s="62"/>
      <c r="AL86" s="62"/>
      <c r="AM86" s="62"/>
      <c r="AN86" s="62"/>
      <c r="AO86" s="62"/>
      <c r="AP86" s="62"/>
      <c r="AQ86" s="62"/>
      <c r="AR86" s="62"/>
      <c r="AS86" s="62"/>
      <c r="AT86" s="62"/>
      <c r="AU86" s="62"/>
      <c r="AV86" s="62"/>
      <c r="AW86" s="62"/>
      <c r="AX86" s="62"/>
      <c r="AY86" s="5"/>
      <c r="AZ86" s="5"/>
      <c r="BA86" s="5"/>
      <c r="BB86" s="5"/>
      <c r="BC86" s="5"/>
      <c r="BD86" s="62"/>
      <c r="BE86" s="62"/>
      <c r="BF86" s="62"/>
      <c r="BG86" s="62"/>
      <c r="BH86" s="62"/>
      <c r="BI86" s="62"/>
      <c r="BJ86" s="62"/>
      <c r="BK86" s="5"/>
      <c r="BL86" s="5"/>
      <c r="BM86" s="5"/>
      <c r="BN86" s="5"/>
      <c r="BO86" s="5"/>
      <c r="BP86" s="62"/>
      <c r="BQ86" s="5"/>
      <c r="BR86" s="5"/>
      <c r="BS86" s="5"/>
      <c r="BT86" s="5"/>
      <c r="BU86" s="62"/>
      <c r="BV86" s="62"/>
      <c r="BW86" s="62"/>
      <c r="BX86" s="62"/>
      <c r="BY86" s="62"/>
      <c r="BZ86" s="62"/>
      <c r="CA86" s="62"/>
      <c r="CB86" s="62"/>
      <c r="CC86" s="62"/>
      <c r="CD86" s="62"/>
      <c r="CE86" s="62"/>
      <c r="CF86" s="62"/>
      <c r="CG86" s="62"/>
      <c r="CH86" s="62"/>
      <c r="CI86" s="62"/>
      <c r="CJ86" s="62"/>
      <c r="CK86" s="62"/>
      <c r="CL86" s="62"/>
      <c r="CM86" s="62"/>
      <c r="CN86" s="62"/>
      <c r="CO86" s="62"/>
      <c r="CP86" s="62"/>
      <c r="CQ86" s="62"/>
      <c r="CR86" s="62"/>
      <c r="CS86" s="62"/>
      <c r="CT86" s="62"/>
      <c r="CU86" s="62"/>
      <c r="CV86" s="62"/>
      <c r="CW86" s="62"/>
      <c r="CX86" s="62"/>
      <c r="CY86" s="62"/>
    </row>
    <row r="87" spans="3:103" ht="13.5" customHeight="1">
      <c r="D87" s="34" t="s">
        <v>4</v>
      </c>
      <c r="E87" s="135">
        <f>+VLOOKUP(D87,D70:E84,2,FALSE)</f>
        <v>15.894514374359341</v>
      </c>
      <c r="F87" s="123">
        <f>+_xlfn.QUARTILE.EXC(E70:E84,2)</f>
        <v>10.881614762715152</v>
      </c>
      <c r="N87" s="34"/>
      <c r="AD87" s="62"/>
      <c r="AE87" s="62"/>
      <c r="AF87" s="62"/>
      <c r="AG87" s="62"/>
      <c r="AH87" s="62"/>
      <c r="AI87" s="62"/>
      <c r="AJ87" s="62"/>
      <c r="AK87" s="62"/>
      <c r="AL87" s="62"/>
      <c r="AM87" s="62"/>
      <c r="AN87" s="62"/>
      <c r="AO87" s="62"/>
      <c r="AP87" s="62"/>
      <c r="AQ87" s="62"/>
      <c r="AR87" s="62"/>
      <c r="AS87" s="62"/>
      <c r="AT87" s="62"/>
      <c r="AU87" s="62"/>
      <c r="AV87" s="62"/>
      <c r="AW87" s="62"/>
      <c r="AX87" s="62"/>
      <c r="AY87" s="231"/>
      <c r="AZ87" s="231"/>
      <c r="BA87" s="231"/>
      <c r="BB87" s="231"/>
      <c r="BC87" s="231"/>
      <c r="BD87" s="62"/>
      <c r="BE87" s="62"/>
      <c r="BF87" s="62"/>
      <c r="BG87" s="62"/>
      <c r="BH87" s="62"/>
      <c r="BI87" s="62"/>
      <c r="BJ87" s="62"/>
      <c r="BK87" s="231"/>
      <c r="BL87" s="231"/>
      <c r="BM87" s="231"/>
      <c r="BN87" s="231"/>
      <c r="BO87" s="231"/>
      <c r="BP87" s="62"/>
      <c r="BQ87" s="231"/>
      <c r="BR87" s="231"/>
      <c r="BS87" s="231"/>
      <c r="BT87" s="231"/>
      <c r="BU87" s="62"/>
      <c r="BV87" s="62"/>
      <c r="BW87" s="62"/>
      <c r="BX87" s="62"/>
      <c r="BY87" s="62"/>
      <c r="BZ87" s="62"/>
      <c r="CA87" s="62"/>
      <c r="CB87" s="62"/>
      <c r="CC87" s="62"/>
      <c r="CD87" s="62"/>
      <c r="CE87" s="62"/>
      <c r="CF87" s="62"/>
      <c r="CG87" s="62"/>
      <c r="CH87" s="62"/>
      <c r="CI87" s="62"/>
      <c r="CJ87" s="62"/>
      <c r="CK87" s="62"/>
      <c r="CL87" s="62"/>
      <c r="CM87" s="62"/>
      <c r="CN87" s="62"/>
      <c r="CO87" s="62"/>
      <c r="CP87" s="62"/>
      <c r="CQ87" s="62"/>
      <c r="CR87" s="62"/>
      <c r="CS87" s="62"/>
      <c r="CT87" s="62"/>
      <c r="CU87" s="62"/>
      <c r="CV87" s="62"/>
      <c r="CW87" s="62"/>
      <c r="CX87" s="62"/>
      <c r="CY87" s="62"/>
    </row>
    <row r="88" spans="3:103" ht="13.5" customHeight="1">
      <c r="E88" s="134" t="s">
        <v>321</v>
      </c>
      <c r="F88" s="123">
        <f>+_xlfn.QUARTILE.EXC(E70:E84,3)</f>
        <v>15.894514374359341</v>
      </c>
      <c r="N88" s="34"/>
      <c r="AD88" s="62"/>
      <c r="AE88" s="62"/>
      <c r="AF88" s="62"/>
      <c r="AG88" s="62"/>
      <c r="AH88" s="62"/>
      <c r="AI88" s="62"/>
      <c r="AJ88" s="62"/>
      <c r="AK88" s="62"/>
      <c r="AL88" s="62"/>
      <c r="AM88" s="62"/>
      <c r="AN88" s="62"/>
      <c r="AO88" s="62"/>
      <c r="AP88" s="62"/>
      <c r="AQ88" s="62"/>
      <c r="AR88" s="62"/>
      <c r="AS88" s="62"/>
      <c r="AT88" s="62"/>
      <c r="AU88" s="62"/>
      <c r="AV88" s="62"/>
      <c r="AW88" s="62"/>
      <c r="AX88" s="62"/>
      <c r="AY88" s="232"/>
      <c r="AZ88" s="232"/>
      <c r="BA88" s="232"/>
      <c r="BB88" s="232"/>
      <c r="BC88" s="232"/>
      <c r="BD88" s="62"/>
      <c r="BE88" s="62"/>
      <c r="BF88" s="62"/>
      <c r="BG88" s="62"/>
      <c r="BH88" s="62"/>
      <c r="BI88" s="62"/>
      <c r="BJ88" s="62"/>
      <c r="BK88" s="232"/>
      <c r="BL88" s="232"/>
      <c r="BM88" s="232"/>
      <c r="BN88" s="232"/>
      <c r="BO88" s="232"/>
      <c r="BP88" s="62"/>
      <c r="BQ88" s="232"/>
      <c r="BR88" s="232"/>
      <c r="BS88" s="232"/>
      <c r="BT88" s="232"/>
      <c r="BU88" s="62"/>
      <c r="BV88" s="62"/>
      <c r="BW88" s="62"/>
      <c r="BX88" s="62"/>
      <c r="BY88" s="62"/>
      <c r="BZ88" s="62"/>
      <c r="CA88" s="62"/>
      <c r="CB88" s="62"/>
      <c r="CC88" s="62"/>
      <c r="CD88" s="62"/>
      <c r="CE88" s="62"/>
      <c r="CF88" s="62"/>
      <c r="CG88" s="62"/>
      <c r="CH88" s="62"/>
      <c r="CI88" s="62"/>
      <c r="CJ88" s="62"/>
      <c r="CK88" s="62"/>
      <c r="CL88" s="62"/>
      <c r="CM88" s="62"/>
      <c r="CN88" s="62"/>
      <c r="CO88" s="62"/>
      <c r="CP88" s="62"/>
      <c r="CQ88" s="62"/>
      <c r="CR88" s="62"/>
      <c r="CS88" s="62"/>
      <c r="CT88" s="62"/>
      <c r="CU88" s="62"/>
      <c r="CV88" s="62"/>
      <c r="CW88" s="62"/>
      <c r="CX88" s="62"/>
      <c r="CY88" s="62"/>
    </row>
    <row r="89" spans="3:103" ht="13.5" customHeight="1">
      <c r="N89" s="34"/>
      <c r="AD89" s="62"/>
      <c r="AE89" s="62"/>
      <c r="AF89" s="62"/>
      <c r="AG89" s="62"/>
      <c r="AH89" s="62"/>
      <c r="AI89" s="62"/>
      <c r="AJ89" s="62"/>
      <c r="AK89" s="62"/>
      <c r="AL89" s="62"/>
      <c r="AM89" s="62"/>
      <c r="AN89" s="62"/>
      <c r="AO89" s="62"/>
      <c r="AP89" s="62"/>
      <c r="AQ89" s="62"/>
      <c r="AR89" s="62"/>
      <c r="AS89" s="62"/>
      <c r="AT89" s="62"/>
      <c r="AU89" s="62"/>
      <c r="AV89" s="62"/>
      <c r="AW89" s="62"/>
      <c r="AX89" s="62"/>
      <c r="AY89" s="62"/>
      <c r="AZ89" s="62"/>
      <c r="BA89" s="62"/>
      <c r="BB89" s="62"/>
      <c r="BC89" s="62"/>
      <c r="BD89" s="62"/>
      <c r="BE89" s="62"/>
      <c r="BF89" s="62"/>
      <c r="BG89" s="62"/>
      <c r="BH89" s="62"/>
      <c r="BI89" s="62"/>
      <c r="BJ89" s="62"/>
      <c r="BK89" s="62"/>
      <c r="BL89" s="62"/>
      <c r="BM89" s="62"/>
      <c r="BN89" s="62"/>
      <c r="BO89" s="62"/>
      <c r="BP89" s="62"/>
      <c r="BQ89" s="62"/>
      <c r="BR89" s="62"/>
      <c r="BS89" s="62"/>
      <c r="BT89" s="62"/>
      <c r="BU89" s="62"/>
      <c r="BV89" s="62"/>
      <c r="BW89" s="62"/>
      <c r="BX89" s="62"/>
      <c r="BY89" s="62"/>
      <c r="BZ89" s="62"/>
      <c r="CA89" s="62"/>
      <c r="CB89" s="62"/>
      <c r="CC89" s="62"/>
      <c r="CD89" s="62"/>
      <c r="CE89" s="62"/>
      <c r="CF89" s="62"/>
      <c r="CG89" s="62"/>
      <c r="CH89" s="62"/>
      <c r="CI89" s="62"/>
      <c r="CJ89" s="62"/>
      <c r="CK89" s="62"/>
      <c r="CL89" s="62"/>
      <c r="CM89" s="62"/>
      <c r="CN89" s="62"/>
      <c r="CO89" s="62"/>
      <c r="CP89" s="62"/>
      <c r="CQ89" s="62"/>
      <c r="CR89" s="62"/>
      <c r="CS89" s="62"/>
      <c r="CT89" s="62"/>
      <c r="CU89" s="62"/>
      <c r="CV89" s="62"/>
      <c r="CW89" s="62"/>
      <c r="CX89" s="62"/>
      <c r="CY89" s="62"/>
    </row>
    <row r="90" spans="3:103" ht="13.5" customHeight="1">
      <c r="D90" s="36" t="s">
        <v>3</v>
      </c>
      <c r="E90" s="36">
        <v>300</v>
      </c>
      <c r="N90" s="34"/>
      <c r="AD90" s="62"/>
      <c r="AE90" s="62"/>
      <c r="AF90" s="62"/>
      <c r="AG90" s="62"/>
      <c r="AH90" s="62"/>
      <c r="AI90" s="62"/>
      <c r="AJ90" s="62"/>
      <c r="AK90" s="62"/>
      <c r="AL90" s="62"/>
      <c r="AM90" s="62"/>
      <c r="AN90" s="62"/>
      <c r="AO90" s="62"/>
      <c r="AP90" s="62"/>
      <c r="AQ90" s="62"/>
      <c r="AR90" s="62"/>
      <c r="AS90" s="62"/>
      <c r="AT90" s="62"/>
      <c r="AU90" s="62"/>
      <c r="AV90" s="62"/>
      <c r="AW90" s="62"/>
      <c r="AX90" s="62"/>
      <c r="AY90" s="62"/>
      <c r="AZ90" s="62"/>
      <c r="BA90" s="62"/>
      <c r="BB90" s="62"/>
      <c r="BC90" s="62"/>
      <c r="BD90" s="62"/>
      <c r="BE90" s="62"/>
      <c r="BF90" s="62"/>
      <c r="BG90" s="62"/>
      <c r="BH90" s="62"/>
      <c r="BI90" s="62"/>
      <c r="BJ90" s="62"/>
      <c r="BK90" s="62"/>
      <c r="BL90" s="62"/>
      <c r="BM90" s="62"/>
      <c r="BN90" s="62"/>
      <c r="BO90" s="62"/>
      <c r="BP90" s="62"/>
      <c r="BQ90" s="62"/>
      <c r="BR90" s="62"/>
      <c r="BS90" s="62"/>
      <c r="BT90" s="62"/>
      <c r="BU90" s="62"/>
      <c r="BV90" s="62"/>
      <c r="BW90" s="62"/>
      <c r="BX90" s="62"/>
      <c r="BY90" s="62"/>
      <c r="BZ90" s="62"/>
      <c r="CA90" s="62"/>
      <c r="CB90" s="62"/>
      <c r="CC90" s="62"/>
      <c r="CD90" s="62"/>
      <c r="CE90" s="62"/>
      <c r="CF90" s="62"/>
      <c r="CG90" s="62"/>
      <c r="CH90" s="62"/>
      <c r="CI90" s="62"/>
      <c r="CJ90" s="62"/>
      <c r="CK90" s="62"/>
      <c r="CL90" s="62"/>
      <c r="CM90" s="62"/>
      <c r="CN90" s="62"/>
      <c r="CO90" s="62"/>
      <c r="CP90" s="62"/>
      <c r="CQ90" s="62"/>
      <c r="CR90" s="62"/>
      <c r="CS90" s="62"/>
      <c r="CT90" s="62"/>
      <c r="CU90" s="62"/>
      <c r="CV90" s="62"/>
      <c r="CW90" s="62"/>
      <c r="CX90" s="62"/>
      <c r="CY90" s="62"/>
    </row>
    <row r="91" spans="3:103" ht="13.5" customHeight="1">
      <c r="C91" s="34">
        <v>1</v>
      </c>
      <c r="D91" s="1" t="s">
        <v>7</v>
      </c>
      <c r="E91" s="3">
        <f t="shared" ref="E91:E105" si="7">VLOOKUP(D91,$C$7:$K$21,6,0)</f>
        <v>0.55019439967284767</v>
      </c>
      <c r="N91" s="34"/>
      <c r="AD91" s="62"/>
      <c r="AE91" s="62"/>
      <c r="AF91" s="62"/>
      <c r="AG91" s="62"/>
      <c r="AH91" s="62"/>
      <c r="AI91" s="62"/>
      <c r="AJ91" s="62"/>
      <c r="AK91" s="62"/>
      <c r="AL91" s="62"/>
      <c r="AM91" s="62"/>
      <c r="AN91" s="62"/>
      <c r="AO91" s="62"/>
      <c r="AP91" s="62"/>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row>
    <row r="92" spans="3:103" ht="13.5" customHeight="1">
      <c r="C92" s="34">
        <v>3</v>
      </c>
      <c r="D92" s="1" t="s">
        <v>9</v>
      </c>
      <c r="E92" s="3">
        <f t="shared" si="7"/>
        <v>5.0487467572745786</v>
      </c>
      <c r="N92" s="34"/>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c r="BE92" s="62"/>
      <c r="BF92" s="62"/>
      <c r="BG92" s="62"/>
      <c r="BH92" s="62"/>
      <c r="BI92" s="62"/>
      <c r="BJ92" s="62"/>
      <c r="BK92" s="62"/>
      <c r="BL92" s="62"/>
      <c r="BM92" s="62"/>
      <c r="BN92" s="62"/>
      <c r="BO92" s="62"/>
      <c r="BP92" s="62"/>
      <c r="BQ92" s="62"/>
      <c r="BR92" s="62"/>
      <c r="BS92" s="62"/>
      <c r="BT92" s="62"/>
      <c r="BU92" s="62"/>
      <c r="BV92" s="62"/>
      <c r="BW92" s="62"/>
      <c r="BX92" s="62"/>
      <c r="BY92" s="62"/>
      <c r="BZ92" s="62"/>
      <c r="CA92" s="62"/>
      <c r="CB92" s="62"/>
      <c r="CC92" s="62"/>
      <c r="CD92" s="62"/>
      <c r="CE92" s="62"/>
      <c r="CF92" s="62"/>
      <c r="CG92" s="62"/>
      <c r="CH92" s="62"/>
      <c r="CI92" s="62"/>
      <c r="CJ92" s="62"/>
      <c r="CK92" s="62"/>
      <c r="CL92" s="62"/>
      <c r="CM92" s="62"/>
      <c r="CN92" s="62"/>
      <c r="CO92" s="62"/>
      <c r="CP92" s="62"/>
      <c r="CQ92" s="62"/>
      <c r="CR92" s="62"/>
      <c r="CS92" s="62"/>
      <c r="CT92" s="62"/>
      <c r="CU92" s="62"/>
      <c r="CV92" s="62"/>
      <c r="CW92" s="62"/>
      <c r="CX92" s="62"/>
      <c r="CY92" s="62"/>
    </row>
    <row r="93" spans="3:103" ht="13.5" customHeight="1">
      <c r="C93" s="34">
        <v>2</v>
      </c>
      <c r="D93" s="1" t="s">
        <v>8</v>
      </c>
      <c r="E93" s="3">
        <f t="shared" si="7"/>
        <v>5.6642310638139959</v>
      </c>
      <c r="N93" s="34"/>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c r="BE93" s="62"/>
      <c r="BF93" s="62"/>
      <c r="BG93" s="62"/>
      <c r="BH93" s="62"/>
      <c r="BI93" s="62"/>
      <c r="BJ93" s="62"/>
      <c r="BK93" s="62"/>
      <c r="BL93" s="62"/>
      <c r="BM93" s="62"/>
      <c r="BN93" s="62"/>
      <c r="BO93" s="62"/>
      <c r="BP93" s="62"/>
      <c r="BQ93" s="62"/>
      <c r="BR93" s="62"/>
      <c r="BS93" s="62"/>
      <c r="BT93" s="62"/>
      <c r="BU93" s="62"/>
      <c r="BV93" s="62"/>
      <c r="BW93" s="62"/>
      <c r="BX93" s="62"/>
      <c r="BY93" s="62"/>
      <c r="BZ93" s="62"/>
      <c r="CA93" s="62"/>
      <c r="CB93" s="62"/>
      <c r="CC93" s="62"/>
      <c r="CD93" s="62"/>
      <c r="CE93" s="62"/>
      <c r="CF93" s="62"/>
      <c r="CG93" s="62"/>
      <c r="CH93" s="62"/>
      <c r="CI93" s="62"/>
      <c r="CJ93" s="62"/>
      <c r="CK93" s="62"/>
      <c r="CL93" s="62"/>
      <c r="CM93" s="62"/>
      <c r="CN93" s="62"/>
      <c r="CO93" s="62"/>
      <c r="CP93" s="62"/>
      <c r="CQ93" s="62"/>
      <c r="CR93" s="62"/>
      <c r="CS93" s="62"/>
      <c r="CT93" s="62"/>
      <c r="CU93" s="62"/>
      <c r="CV93" s="62"/>
      <c r="CW93" s="62"/>
      <c r="CX93" s="62"/>
      <c r="CY93" s="62"/>
    </row>
    <row r="94" spans="3:103" ht="13.5" customHeight="1">
      <c r="C94" s="34">
        <v>4</v>
      </c>
      <c r="D94" s="1" t="s">
        <v>2</v>
      </c>
      <c r="E94" s="3">
        <f t="shared" si="7"/>
        <v>10.198257691357284</v>
      </c>
      <c r="I94" s="37"/>
      <c r="J94" s="37"/>
      <c r="K94" s="37"/>
      <c r="N94" s="34"/>
      <c r="AD94" s="62"/>
      <c r="AE94" s="62"/>
      <c r="AF94" s="62"/>
      <c r="AG94" s="62"/>
      <c r="AH94" s="62"/>
      <c r="AI94" s="62"/>
      <c r="AJ94" s="62"/>
      <c r="AK94" s="62"/>
      <c r="AL94" s="62"/>
      <c r="AM94" s="62"/>
      <c r="AN94" s="62"/>
      <c r="AO94" s="62"/>
      <c r="AP94" s="62"/>
      <c r="AQ94" s="62"/>
      <c r="AR94" s="62"/>
      <c r="AS94" s="62"/>
      <c r="AT94" s="62"/>
      <c r="AU94" s="62"/>
      <c r="AV94" s="62"/>
      <c r="AW94" s="62"/>
      <c r="AX94" s="62"/>
      <c r="AY94" s="62"/>
      <c r="AZ94" s="62"/>
      <c r="BA94" s="62"/>
      <c r="BB94" s="62"/>
      <c r="BC94" s="62"/>
      <c r="BD94" s="62"/>
      <c r="BE94" s="62"/>
      <c r="BF94" s="62"/>
      <c r="BG94" s="62"/>
      <c r="BH94" s="62"/>
      <c r="BI94" s="62"/>
      <c r="BJ94" s="62"/>
      <c r="BK94" s="62"/>
      <c r="BL94" s="62"/>
      <c r="BM94" s="62"/>
      <c r="BN94" s="62"/>
      <c r="BO94" s="62"/>
      <c r="BP94" s="62"/>
      <c r="BQ94" s="62"/>
      <c r="BR94" s="62"/>
      <c r="BS94" s="62"/>
      <c r="BT94" s="62"/>
      <c r="BU94" s="62"/>
      <c r="BV94" s="62"/>
      <c r="BW94" s="62"/>
      <c r="BX94" s="62"/>
      <c r="BY94" s="62"/>
      <c r="BZ94" s="62"/>
      <c r="CA94" s="62"/>
      <c r="CB94" s="62"/>
      <c r="CC94" s="62"/>
      <c r="CD94" s="62"/>
      <c r="CE94" s="62"/>
      <c r="CF94" s="62"/>
      <c r="CG94" s="62"/>
      <c r="CH94" s="62"/>
      <c r="CI94" s="62"/>
      <c r="CJ94" s="62"/>
      <c r="CK94" s="62"/>
      <c r="CL94" s="62"/>
      <c r="CM94" s="62"/>
      <c r="CN94" s="62"/>
      <c r="CO94" s="62"/>
      <c r="CP94" s="62"/>
      <c r="CQ94" s="62"/>
      <c r="CR94" s="62"/>
      <c r="CS94" s="62"/>
      <c r="CT94" s="62"/>
      <c r="CU94" s="62"/>
      <c r="CV94" s="62"/>
      <c r="CW94" s="62"/>
      <c r="CX94" s="62"/>
      <c r="CY94" s="62"/>
    </row>
    <row r="95" spans="3:103" ht="13.5" customHeight="1">
      <c r="C95" s="34">
        <v>5</v>
      </c>
      <c r="D95" s="1" t="s">
        <v>41</v>
      </c>
      <c r="E95" s="3">
        <f t="shared" si="7"/>
        <v>10.375611450374295</v>
      </c>
      <c r="N95" s="34"/>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c r="BE95" s="62"/>
      <c r="BF95" s="62"/>
      <c r="BG95" s="62"/>
      <c r="BH95" s="62"/>
      <c r="BI95" s="62"/>
      <c r="BJ95" s="62"/>
      <c r="BK95" s="62"/>
      <c r="BL95" s="62"/>
      <c r="BM95" s="62"/>
      <c r="BN95" s="62"/>
      <c r="BO95" s="62"/>
      <c r="BP95" s="62"/>
      <c r="BQ95" s="62"/>
      <c r="BR95" s="62"/>
      <c r="BS95" s="62"/>
      <c r="BT95" s="62"/>
      <c r="BU95" s="62"/>
      <c r="BV95" s="62"/>
      <c r="BW95" s="62"/>
      <c r="BX95" s="62"/>
      <c r="BY95" s="62"/>
      <c r="BZ95" s="62"/>
      <c r="CA95" s="62"/>
      <c r="CB95" s="62"/>
      <c r="CC95" s="62"/>
      <c r="CD95" s="62"/>
      <c r="CE95" s="62"/>
      <c r="CF95" s="62"/>
      <c r="CG95" s="62"/>
      <c r="CH95" s="62"/>
      <c r="CI95" s="62"/>
      <c r="CJ95" s="62"/>
      <c r="CK95" s="62"/>
      <c r="CL95" s="62"/>
      <c r="CM95" s="62"/>
      <c r="CN95" s="62"/>
      <c r="CO95" s="62"/>
      <c r="CP95" s="62"/>
      <c r="CQ95" s="62"/>
      <c r="CR95" s="62"/>
      <c r="CS95" s="62"/>
      <c r="CT95" s="62"/>
      <c r="CU95" s="62"/>
      <c r="CV95" s="62"/>
      <c r="CW95" s="62"/>
      <c r="CX95" s="62"/>
      <c r="CY95" s="62"/>
    </row>
    <row r="96" spans="3:103" ht="13.5" customHeight="1">
      <c r="C96" s="34">
        <v>7</v>
      </c>
      <c r="D96" s="1" t="s">
        <v>6</v>
      </c>
      <c r="E96" s="3">
        <f t="shared" si="7"/>
        <v>10.473466666666669</v>
      </c>
      <c r="N96" s="53"/>
      <c r="AD96" s="62"/>
      <c r="AE96" s="62"/>
      <c r="AF96" s="62"/>
      <c r="AG96" s="62"/>
      <c r="AH96" s="62"/>
      <c r="AI96" s="62"/>
      <c r="AJ96" s="62"/>
      <c r="AK96" s="62"/>
      <c r="AL96" s="62"/>
      <c r="AM96" s="62"/>
      <c r="AN96" s="62"/>
      <c r="AO96" s="62"/>
      <c r="AP96" s="62"/>
      <c r="AQ96" s="62"/>
      <c r="AR96" s="62"/>
      <c r="AS96" s="62"/>
      <c r="AT96" s="62"/>
      <c r="AU96" s="62"/>
      <c r="AV96" s="62"/>
      <c r="AW96" s="62"/>
      <c r="AX96" s="62"/>
      <c r="AY96" s="62"/>
      <c r="AZ96" s="62"/>
      <c r="BA96" s="62"/>
      <c r="BB96" s="62"/>
      <c r="BC96" s="62"/>
      <c r="BD96" s="62"/>
      <c r="BE96" s="62"/>
      <c r="BF96" s="62"/>
      <c r="BG96" s="62"/>
      <c r="BH96" s="62"/>
      <c r="BI96" s="62"/>
      <c r="BJ96" s="62"/>
      <c r="BK96" s="62"/>
      <c r="BL96" s="62"/>
      <c r="BM96" s="62"/>
      <c r="BN96" s="62"/>
      <c r="BO96" s="62"/>
      <c r="BP96" s="62"/>
      <c r="BQ96" s="62"/>
      <c r="BR96" s="62"/>
      <c r="BS96" s="62"/>
      <c r="BT96" s="62"/>
      <c r="BU96" s="62"/>
      <c r="BV96" s="62"/>
      <c r="BW96" s="62"/>
      <c r="BX96" s="62"/>
      <c r="BY96" s="62"/>
      <c r="BZ96" s="62"/>
      <c r="CA96" s="62"/>
      <c r="CB96" s="62"/>
      <c r="CC96" s="62"/>
      <c r="CD96" s="62"/>
      <c r="CE96" s="62"/>
      <c r="CF96" s="62"/>
      <c r="CG96" s="62"/>
      <c r="CH96" s="62"/>
      <c r="CI96" s="62"/>
      <c r="CJ96" s="62"/>
      <c r="CK96" s="62"/>
      <c r="CL96" s="62"/>
      <c r="CM96" s="62"/>
      <c r="CN96" s="62"/>
      <c r="CO96" s="62"/>
      <c r="CP96" s="62"/>
      <c r="CQ96" s="62"/>
      <c r="CR96" s="62"/>
      <c r="CS96" s="62"/>
      <c r="CT96" s="62"/>
      <c r="CU96" s="62"/>
      <c r="CV96" s="62"/>
      <c r="CW96" s="62"/>
      <c r="CX96" s="62"/>
      <c r="CY96" s="62"/>
    </row>
    <row r="97" spans="3:103" ht="13.5" customHeight="1">
      <c r="C97" s="34">
        <v>8</v>
      </c>
      <c r="D97" s="1" t="s">
        <v>202</v>
      </c>
      <c r="E97" s="3">
        <f t="shared" si="7"/>
        <v>11.575257638100044</v>
      </c>
      <c r="N97" s="53"/>
      <c r="AD97" s="62"/>
      <c r="AE97" s="62"/>
      <c r="AF97" s="62"/>
      <c r="AG97" s="62"/>
      <c r="AH97" s="62"/>
      <c r="AI97" s="62"/>
      <c r="AJ97" s="62"/>
      <c r="AK97" s="62"/>
      <c r="AL97" s="62"/>
      <c r="AM97" s="62"/>
      <c r="AN97" s="62"/>
      <c r="AO97" s="62"/>
      <c r="AP97" s="62"/>
      <c r="AQ97" s="62"/>
      <c r="AR97" s="62"/>
      <c r="AS97" s="62"/>
      <c r="AT97" s="62"/>
      <c r="AU97" s="62"/>
      <c r="AV97" s="62"/>
      <c r="AW97" s="62"/>
      <c r="AX97" s="62"/>
      <c r="AY97" s="62"/>
      <c r="AZ97" s="62"/>
      <c r="BA97" s="62"/>
      <c r="BB97" s="62"/>
      <c r="BC97" s="62"/>
      <c r="BD97" s="62"/>
      <c r="BE97" s="62"/>
      <c r="BF97" s="62"/>
      <c r="BG97" s="62"/>
      <c r="BH97" s="62"/>
      <c r="BI97" s="62"/>
      <c r="BJ97" s="62"/>
      <c r="BK97" s="62"/>
      <c r="BL97" s="62"/>
      <c r="BM97" s="62"/>
      <c r="BN97" s="62"/>
      <c r="BO97" s="62"/>
      <c r="BP97" s="62"/>
      <c r="BQ97" s="62"/>
      <c r="BR97" s="62"/>
      <c r="BS97" s="62"/>
      <c r="BT97" s="62"/>
      <c r="BU97" s="62"/>
      <c r="BV97" s="62"/>
      <c r="BW97" s="62"/>
      <c r="BX97" s="62"/>
      <c r="BY97" s="62"/>
      <c r="BZ97" s="62"/>
      <c r="CA97" s="62"/>
      <c r="CB97" s="62"/>
      <c r="CC97" s="62"/>
      <c r="CD97" s="62"/>
      <c r="CE97" s="62"/>
      <c r="CF97" s="62"/>
      <c r="CG97" s="62"/>
      <c r="CH97" s="62"/>
      <c r="CI97" s="62"/>
      <c r="CJ97" s="62"/>
      <c r="CK97" s="62"/>
      <c r="CL97" s="62"/>
      <c r="CM97" s="62"/>
      <c r="CN97" s="62"/>
      <c r="CO97" s="62"/>
      <c r="CP97" s="62"/>
      <c r="CQ97" s="62"/>
      <c r="CR97" s="62"/>
      <c r="CS97" s="62"/>
      <c r="CT97" s="62"/>
      <c r="CU97" s="62"/>
      <c r="CV97" s="62"/>
      <c r="CW97" s="62"/>
      <c r="CX97" s="62"/>
      <c r="CY97" s="62"/>
    </row>
    <row r="98" spans="3:103" ht="13.5" customHeight="1">
      <c r="C98" s="34">
        <v>6</v>
      </c>
      <c r="D98" s="1" t="s">
        <v>5</v>
      </c>
      <c r="E98" s="3">
        <f t="shared" si="7"/>
        <v>12.65459096446736</v>
      </c>
      <c r="N98" s="53"/>
      <c r="AD98" s="62"/>
      <c r="AE98" s="62"/>
      <c r="AF98" s="62"/>
      <c r="AG98" s="62"/>
      <c r="AH98" s="62"/>
      <c r="AI98" s="62"/>
      <c r="AJ98" s="62"/>
      <c r="AK98" s="62"/>
      <c r="AL98" s="62"/>
      <c r="AM98" s="62"/>
      <c r="AN98" s="62"/>
      <c r="AO98" s="62"/>
      <c r="AP98" s="62"/>
      <c r="AQ98" s="62"/>
      <c r="AR98" s="62"/>
      <c r="AS98" s="62"/>
      <c r="AT98" s="62"/>
      <c r="AU98" s="62"/>
      <c r="AV98" s="62"/>
      <c r="AW98" s="62"/>
      <c r="AX98" s="62"/>
      <c r="AY98" s="62"/>
      <c r="AZ98" s="62"/>
      <c r="BA98" s="62"/>
      <c r="BB98" s="62"/>
      <c r="BC98" s="62"/>
      <c r="BD98" s="62"/>
      <c r="BE98" s="62"/>
      <c r="BF98" s="62"/>
      <c r="BG98" s="62"/>
      <c r="BH98" s="62"/>
      <c r="BI98" s="62"/>
      <c r="BJ98" s="62"/>
      <c r="BK98" s="62"/>
      <c r="BL98" s="62"/>
      <c r="BM98" s="62"/>
      <c r="BN98" s="62"/>
      <c r="BO98" s="62"/>
      <c r="BP98" s="62"/>
      <c r="BQ98" s="62"/>
      <c r="BR98" s="62"/>
      <c r="BS98" s="62"/>
      <c r="BT98" s="62"/>
      <c r="BU98" s="62"/>
      <c r="BV98" s="62"/>
      <c r="BW98" s="62"/>
      <c r="BX98" s="62"/>
      <c r="BY98" s="62"/>
      <c r="BZ98" s="62"/>
      <c r="CA98" s="62"/>
      <c r="CB98" s="62"/>
      <c r="CC98" s="62"/>
      <c r="CD98" s="62"/>
      <c r="CE98" s="62"/>
      <c r="CF98" s="62"/>
      <c r="CG98" s="62"/>
      <c r="CH98" s="62"/>
      <c r="CI98" s="62"/>
      <c r="CJ98" s="62"/>
      <c r="CK98" s="62"/>
      <c r="CL98" s="62"/>
      <c r="CM98" s="62"/>
      <c r="CN98" s="62"/>
      <c r="CO98" s="62"/>
      <c r="CP98" s="62"/>
      <c r="CQ98" s="62"/>
      <c r="CR98" s="62"/>
      <c r="CS98" s="62"/>
      <c r="CT98" s="62"/>
      <c r="CU98" s="62"/>
      <c r="CV98" s="62"/>
      <c r="CW98" s="62"/>
      <c r="CX98" s="62"/>
      <c r="CY98" s="62"/>
    </row>
    <row r="99" spans="3:103" ht="13.5" customHeight="1">
      <c r="C99" s="34">
        <v>9</v>
      </c>
      <c r="D99" s="1" t="s">
        <v>28</v>
      </c>
      <c r="E99" s="3">
        <f t="shared" si="7"/>
        <v>14.975914734105803</v>
      </c>
      <c r="N99" s="53"/>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c r="BM99" s="62"/>
      <c r="BN99" s="62"/>
      <c r="BO99" s="62"/>
      <c r="BP99" s="62"/>
      <c r="BQ99" s="62"/>
      <c r="BR99" s="62"/>
      <c r="BS99" s="62"/>
      <c r="BT99" s="62"/>
      <c r="BU99" s="62"/>
      <c r="BV99" s="62"/>
      <c r="BW99" s="62"/>
      <c r="BX99" s="62"/>
      <c r="BY99" s="62"/>
      <c r="BZ99" s="62"/>
      <c r="CA99" s="62"/>
      <c r="CB99" s="62"/>
      <c r="CC99" s="62"/>
      <c r="CD99" s="62"/>
      <c r="CE99" s="62"/>
      <c r="CF99" s="62"/>
      <c r="CG99" s="62"/>
      <c r="CH99" s="62"/>
      <c r="CI99" s="62"/>
      <c r="CJ99" s="62"/>
      <c r="CK99" s="62"/>
      <c r="CL99" s="62"/>
      <c r="CM99" s="62"/>
      <c r="CN99" s="62"/>
      <c r="CO99" s="62"/>
      <c r="CP99" s="62"/>
      <c r="CQ99" s="62"/>
      <c r="CR99" s="62"/>
      <c r="CS99" s="62"/>
      <c r="CT99" s="62"/>
      <c r="CU99" s="62"/>
      <c r="CV99" s="62"/>
      <c r="CW99" s="62"/>
      <c r="CX99" s="62"/>
      <c r="CY99" s="62"/>
    </row>
    <row r="100" spans="3:103" ht="13.5" customHeight="1">
      <c r="C100" s="34">
        <v>11</v>
      </c>
      <c r="D100" s="1" t="s">
        <v>71</v>
      </c>
      <c r="E100" s="3">
        <f t="shared" si="7"/>
        <v>15.219954750208359</v>
      </c>
      <c r="N100" s="53"/>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c r="BE100" s="62"/>
      <c r="BF100" s="62"/>
      <c r="BG100" s="62"/>
      <c r="BH100" s="62"/>
      <c r="BI100" s="62"/>
      <c r="BJ100" s="62"/>
      <c r="BK100" s="62"/>
      <c r="BL100" s="62"/>
      <c r="BM100" s="62"/>
      <c r="BN100" s="62"/>
      <c r="BO100" s="62"/>
      <c r="BP100" s="62"/>
      <c r="BQ100" s="62"/>
      <c r="BR100" s="62"/>
      <c r="BS100" s="62"/>
      <c r="BT100" s="62"/>
      <c r="BU100" s="62"/>
      <c r="BV100" s="62"/>
      <c r="BW100" s="62"/>
      <c r="BX100" s="62"/>
      <c r="BY100" s="62"/>
      <c r="BZ100" s="62"/>
      <c r="CA100" s="62"/>
      <c r="CB100" s="62"/>
      <c r="CC100" s="62"/>
      <c r="CD100" s="62"/>
      <c r="CE100" s="62"/>
      <c r="CF100" s="62"/>
      <c r="CG100" s="62"/>
      <c r="CH100" s="62"/>
      <c r="CI100" s="62"/>
      <c r="CJ100" s="62"/>
      <c r="CK100" s="62"/>
      <c r="CL100" s="62"/>
      <c r="CM100" s="62"/>
      <c r="CN100" s="62"/>
      <c r="CO100" s="62"/>
      <c r="CP100" s="62"/>
      <c r="CQ100" s="62"/>
      <c r="CR100" s="62"/>
      <c r="CS100" s="62"/>
      <c r="CT100" s="62"/>
      <c r="CU100" s="62"/>
      <c r="CV100" s="62"/>
      <c r="CW100" s="62"/>
      <c r="CX100" s="62"/>
      <c r="CY100" s="62"/>
    </row>
    <row r="101" spans="3:103" ht="13.5" customHeight="1">
      <c r="C101" s="34">
        <v>10</v>
      </c>
      <c r="D101" s="1" t="s">
        <v>78</v>
      </c>
      <c r="E101" s="3">
        <f t="shared" si="7"/>
        <v>15.513346140000001</v>
      </c>
      <c r="N101" s="53"/>
      <c r="AD101" s="62"/>
      <c r="AE101" s="62"/>
      <c r="AF101" s="62"/>
      <c r="AG101" s="62"/>
      <c r="AH101" s="62"/>
      <c r="AI101" s="62"/>
      <c r="AJ101" s="62"/>
      <c r="AK101" s="62"/>
      <c r="AL101" s="62"/>
      <c r="AM101" s="62"/>
      <c r="AN101" s="62"/>
      <c r="AO101" s="62"/>
      <c r="AP101" s="62"/>
      <c r="AQ101" s="62"/>
      <c r="AR101" s="62"/>
      <c r="AS101" s="62"/>
      <c r="AT101" s="62"/>
      <c r="AU101" s="62"/>
      <c r="AV101" s="62"/>
      <c r="AW101" s="62"/>
      <c r="AX101" s="62"/>
      <c r="AY101" s="62"/>
      <c r="AZ101" s="62"/>
      <c r="BA101" s="62"/>
      <c r="BB101" s="62"/>
      <c r="BC101" s="62"/>
      <c r="BD101" s="62"/>
      <c r="BE101" s="62"/>
      <c r="BF101" s="62"/>
      <c r="BG101" s="62"/>
      <c r="BH101" s="62"/>
      <c r="BI101" s="62"/>
      <c r="BJ101" s="62"/>
      <c r="BK101" s="62"/>
      <c r="BL101" s="62"/>
      <c r="BM101" s="62"/>
      <c r="BN101" s="62"/>
      <c r="BO101" s="62"/>
      <c r="BP101" s="62"/>
      <c r="BQ101" s="62"/>
      <c r="BR101" s="62"/>
      <c r="BS101" s="62"/>
      <c r="BT101" s="62"/>
      <c r="BU101" s="62"/>
      <c r="BV101" s="62"/>
      <c r="BW101" s="62"/>
      <c r="BX101" s="62"/>
      <c r="BY101" s="62"/>
      <c r="BZ101" s="62"/>
      <c r="CA101" s="62"/>
      <c r="CB101" s="62"/>
      <c r="CC101" s="62"/>
      <c r="CD101" s="62"/>
      <c r="CE101" s="62"/>
      <c r="CF101" s="62"/>
      <c r="CG101" s="62"/>
      <c r="CH101" s="62"/>
      <c r="CI101" s="62"/>
      <c r="CJ101" s="62"/>
      <c r="CK101" s="62"/>
      <c r="CL101" s="62"/>
      <c r="CM101" s="62"/>
      <c r="CN101" s="62"/>
      <c r="CO101" s="62"/>
      <c r="CP101" s="62"/>
      <c r="CQ101" s="62"/>
      <c r="CR101" s="62"/>
      <c r="CS101" s="62"/>
      <c r="CT101" s="62"/>
      <c r="CU101" s="62"/>
      <c r="CV101" s="62"/>
      <c r="CW101" s="62"/>
      <c r="CX101" s="62"/>
      <c r="CY101" s="62"/>
    </row>
    <row r="102" spans="3:103" ht="13.5" customHeight="1">
      <c r="C102" s="34">
        <v>12</v>
      </c>
      <c r="D102" s="1" t="s">
        <v>4</v>
      </c>
      <c r="E102" s="432">
        <f t="shared" si="7"/>
        <v>15.592894333640098</v>
      </c>
      <c r="N102" s="53"/>
      <c r="AD102" s="62"/>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c r="BC102" s="62"/>
      <c r="BD102" s="62"/>
      <c r="BE102" s="62"/>
      <c r="BF102" s="62"/>
      <c r="BG102" s="62"/>
      <c r="BH102" s="62"/>
      <c r="BI102" s="62"/>
      <c r="BJ102" s="62"/>
      <c r="BK102" s="62"/>
      <c r="BL102" s="62"/>
      <c r="BM102" s="62"/>
      <c r="BN102" s="62"/>
      <c r="BO102" s="62"/>
      <c r="BP102" s="62"/>
      <c r="BQ102" s="62"/>
      <c r="BR102" s="62"/>
      <c r="BS102" s="62"/>
      <c r="BT102" s="62"/>
      <c r="BU102" s="62"/>
      <c r="BV102" s="62"/>
      <c r="BW102" s="62"/>
      <c r="BX102" s="62"/>
      <c r="BY102" s="62"/>
      <c r="BZ102" s="62"/>
      <c r="CA102" s="62"/>
      <c r="CB102" s="62"/>
      <c r="CC102" s="62"/>
      <c r="CD102" s="62"/>
      <c r="CE102" s="62"/>
      <c r="CF102" s="62"/>
      <c r="CG102" s="62"/>
      <c r="CH102" s="62"/>
      <c r="CI102" s="62"/>
      <c r="CJ102" s="62"/>
      <c r="CK102" s="62"/>
      <c r="CL102" s="62"/>
      <c r="CM102" s="62"/>
      <c r="CN102" s="62"/>
      <c r="CO102" s="62"/>
      <c r="CP102" s="62"/>
      <c r="CQ102" s="62"/>
      <c r="CR102" s="62"/>
      <c r="CS102" s="62"/>
      <c r="CT102" s="62"/>
      <c r="CU102" s="62"/>
      <c r="CV102" s="62"/>
      <c r="CW102" s="62"/>
      <c r="CX102" s="62"/>
      <c r="CY102" s="62"/>
    </row>
    <row r="103" spans="3:103" ht="13.5" customHeight="1">
      <c r="C103" s="34">
        <v>13</v>
      </c>
      <c r="D103" s="1" t="s">
        <v>74</v>
      </c>
      <c r="E103" s="3">
        <f t="shared" si="7"/>
        <v>19.338240633408951</v>
      </c>
      <c r="N103" s="53"/>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c r="BE103" s="62"/>
      <c r="BF103" s="62"/>
      <c r="BG103" s="62"/>
      <c r="BH103" s="62"/>
      <c r="BI103" s="62"/>
      <c r="BJ103" s="62"/>
      <c r="BK103" s="62"/>
      <c r="BL103" s="62"/>
      <c r="BM103" s="62"/>
      <c r="BN103" s="62"/>
      <c r="BO103" s="62"/>
      <c r="BP103" s="62"/>
      <c r="BQ103" s="62"/>
      <c r="BR103" s="62"/>
      <c r="BS103" s="62"/>
      <c r="BT103" s="62"/>
      <c r="BU103" s="62"/>
      <c r="BV103" s="62"/>
      <c r="BW103" s="62"/>
      <c r="BX103" s="62"/>
      <c r="BY103" s="62"/>
      <c r="BZ103" s="62"/>
      <c r="CA103" s="62"/>
      <c r="CB103" s="62"/>
      <c r="CC103" s="62"/>
      <c r="CD103" s="62"/>
      <c r="CE103" s="62"/>
      <c r="CF103" s="62"/>
      <c r="CG103" s="62"/>
      <c r="CH103" s="62"/>
      <c r="CI103" s="62"/>
      <c r="CJ103" s="62"/>
      <c r="CK103" s="62"/>
      <c r="CL103" s="62"/>
      <c r="CM103" s="62"/>
      <c r="CN103" s="62"/>
      <c r="CO103" s="62"/>
      <c r="CP103" s="62"/>
      <c r="CQ103" s="62"/>
      <c r="CR103" s="62"/>
      <c r="CS103" s="62"/>
      <c r="CT103" s="62"/>
      <c r="CU103" s="62"/>
      <c r="CV103" s="62"/>
      <c r="CW103" s="62"/>
      <c r="CX103" s="62"/>
      <c r="CY103" s="62"/>
    </row>
    <row r="104" spans="3:103" ht="13.5" customHeight="1">
      <c r="C104" s="34">
        <v>14</v>
      </c>
      <c r="D104" s="1" t="s">
        <v>83</v>
      </c>
      <c r="E104" s="3">
        <f t="shared" si="7"/>
        <v>20.523727000000001</v>
      </c>
      <c r="N104" s="53"/>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c r="BC104" s="62"/>
      <c r="BD104" s="62"/>
      <c r="BE104" s="62"/>
      <c r="BF104" s="62"/>
      <c r="BG104" s="62"/>
      <c r="BH104" s="62"/>
      <c r="BI104" s="62"/>
      <c r="BJ104" s="62"/>
      <c r="BK104" s="62"/>
      <c r="BL104" s="62"/>
      <c r="BM104" s="62"/>
      <c r="BN104" s="62"/>
      <c r="BO104" s="62"/>
      <c r="BP104" s="62"/>
      <c r="BQ104" s="62"/>
      <c r="BR104" s="62"/>
      <c r="BS104" s="62"/>
      <c r="BT104" s="62"/>
      <c r="BU104" s="62"/>
      <c r="BV104" s="62"/>
      <c r="BW104" s="62"/>
      <c r="BX104" s="62"/>
      <c r="BY104" s="62"/>
      <c r="BZ104" s="62"/>
      <c r="CA104" s="62"/>
      <c r="CB104" s="62"/>
      <c r="CC104" s="62"/>
      <c r="CD104" s="62"/>
      <c r="CE104" s="62"/>
      <c r="CF104" s="62"/>
      <c r="CG104" s="62"/>
      <c r="CH104" s="62"/>
      <c r="CI104" s="62"/>
      <c r="CJ104" s="62"/>
      <c r="CK104" s="62"/>
      <c r="CL104" s="62"/>
      <c r="CM104" s="62"/>
      <c r="CN104" s="62"/>
      <c r="CO104" s="62"/>
      <c r="CP104" s="62"/>
      <c r="CQ104" s="62"/>
      <c r="CR104" s="62"/>
      <c r="CS104" s="62"/>
      <c r="CT104" s="62"/>
      <c r="CU104" s="62"/>
      <c r="CV104" s="62"/>
      <c r="CW104" s="62"/>
      <c r="CX104" s="62"/>
      <c r="CY104" s="62"/>
    </row>
    <row r="105" spans="3:103" ht="13.5" customHeight="1">
      <c r="C105" s="34">
        <v>15</v>
      </c>
      <c r="D105" s="1" t="s">
        <v>10</v>
      </c>
      <c r="E105" s="3">
        <f t="shared" si="7"/>
        <v>21.860218216644416</v>
      </c>
      <c r="N105" s="53"/>
      <c r="AD105" s="62"/>
      <c r="AE105" s="62"/>
      <c r="AF105" s="62"/>
      <c r="AG105" s="62"/>
      <c r="AH105" s="62"/>
      <c r="AI105" s="62"/>
      <c r="AJ105" s="62"/>
      <c r="AK105" s="62"/>
      <c r="AL105" s="62"/>
      <c r="AM105" s="62"/>
      <c r="AN105" s="62"/>
      <c r="AO105" s="62"/>
      <c r="AP105" s="62"/>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row>
    <row r="106" spans="3:103" ht="13.5" customHeight="1">
      <c r="N106" s="53"/>
      <c r="AD106" s="62"/>
      <c r="AE106" s="62"/>
      <c r="AF106" s="62"/>
      <c r="AG106" s="62"/>
      <c r="AH106" s="62"/>
      <c r="AI106" s="62"/>
      <c r="AJ106" s="62"/>
      <c r="AK106" s="62"/>
      <c r="AL106" s="62"/>
      <c r="AM106" s="62"/>
      <c r="AN106" s="62"/>
      <c r="AO106" s="62"/>
      <c r="AP106" s="62"/>
      <c r="AQ106" s="62"/>
      <c r="AR106" s="62"/>
      <c r="AS106" s="62"/>
      <c r="AT106" s="62"/>
      <c r="AU106" s="62"/>
      <c r="AV106" s="62"/>
      <c r="AW106" s="62"/>
      <c r="AX106" s="62"/>
      <c r="AY106" s="62"/>
      <c r="AZ106" s="62"/>
      <c r="BA106" s="62"/>
      <c r="BB106" s="62"/>
      <c r="BC106" s="62"/>
      <c r="BD106" s="62"/>
      <c r="BE106" s="62"/>
      <c r="BF106" s="62"/>
      <c r="BG106" s="62"/>
      <c r="BH106" s="62"/>
      <c r="BI106" s="62"/>
      <c r="BJ106" s="62"/>
      <c r="BK106" s="62"/>
      <c r="BL106" s="62"/>
      <c r="BM106" s="62"/>
      <c r="BN106" s="62"/>
      <c r="BO106" s="62"/>
      <c r="BP106" s="62"/>
      <c r="BQ106" s="62"/>
      <c r="BR106" s="62"/>
      <c r="BS106" s="62"/>
      <c r="BT106" s="62"/>
      <c r="BU106" s="62"/>
      <c r="BV106" s="62"/>
      <c r="BW106" s="62"/>
      <c r="BX106" s="62"/>
      <c r="BY106" s="62"/>
      <c r="BZ106" s="62"/>
      <c r="CA106" s="62"/>
      <c r="CB106" s="62"/>
      <c r="CC106" s="62"/>
      <c r="CD106" s="62"/>
      <c r="CE106" s="62"/>
      <c r="CF106" s="62"/>
      <c r="CG106" s="62"/>
      <c r="CH106" s="62"/>
      <c r="CI106" s="62"/>
      <c r="CJ106" s="62"/>
      <c r="CK106" s="62"/>
      <c r="CL106" s="62"/>
      <c r="CM106" s="62"/>
      <c r="CN106" s="62"/>
      <c r="CO106" s="62"/>
      <c r="CP106" s="62"/>
      <c r="CQ106" s="62"/>
      <c r="CR106" s="62"/>
      <c r="CS106" s="62"/>
      <c r="CT106" s="62"/>
      <c r="CU106" s="62"/>
      <c r="CV106" s="62"/>
      <c r="CW106" s="62"/>
      <c r="CX106" s="62"/>
      <c r="CY106" s="62"/>
    </row>
    <row r="107" spans="3:103" ht="13.5" customHeight="1">
      <c r="D107" s="34" t="s">
        <v>301</v>
      </c>
      <c r="E107" s="5">
        <f>+AVERAGE(E91:E105)</f>
        <v>12.637643495982314</v>
      </c>
      <c r="F107" s="123">
        <f>+_xlfn.QUARTILE.EXC(E91:E105,1)</f>
        <v>10.198257691357284</v>
      </c>
      <c r="N107" s="53"/>
      <c r="AD107" s="62"/>
      <c r="AE107" s="62"/>
      <c r="AF107" s="62"/>
      <c r="AG107" s="62"/>
      <c r="AH107" s="62"/>
      <c r="AI107" s="62"/>
      <c r="AJ107" s="62"/>
      <c r="AK107" s="62"/>
      <c r="AL107" s="62"/>
      <c r="AM107" s="62"/>
      <c r="AN107" s="62"/>
      <c r="AO107" s="62"/>
      <c r="AP107" s="62"/>
      <c r="AQ107" s="62"/>
      <c r="AR107" s="62"/>
      <c r="AS107" s="62"/>
      <c r="AT107" s="62"/>
      <c r="AU107" s="62"/>
      <c r="AV107" s="62"/>
      <c r="AW107" s="62"/>
      <c r="AX107" s="62"/>
      <c r="AY107" s="62"/>
      <c r="AZ107" s="62"/>
      <c r="BA107" s="62"/>
      <c r="BB107" s="62"/>
      <c r="BC107" s="62"/>
      <c r="BD107" s="62"/>
      <c r="BE107" s="62"/>
      <c r="BF107" s="62"/>
      <c r="BG107" s="62"/>
      <c r="BH107" s="62"/>
      <c r="BI107" s="62"/>
      <c r="BJ107" s="62"/>
      <c r="BK107" s="62"/>
      <c r="BL107" s="62"/>
      <c r="BM107" s="62"/>
      <c r="BN107" s="62"/>
      <c r="BO107" s="62"/>
      <c r="BP107" s="62"/>
      <c r="BQ107" s="62"/>
      <c r="BR107" s="62"/>
      <c r="BS107" s="62"/>
      <c r="BT107" s="62"/>
      <c r="BU107" s="62"/>
      <c r="BV107" s="62"/>
      <c r="BW107" s="62"/>
      <c r="BX107" s="62"/>
      <c r="BY107" s="62"/>
      <c r="BZ107" s="62"/>
      <c r="CA107" s="62"/>
      <c r="CB107" s="62"/>
      <c r="CC107" s="62"/>
      <c r="CD107" s="62"/>
      <c r="CE107" s="62"/>
      <c r="CF107" s="62"/>
      <c r="CG107" s="62"/>
      <c r="CH107" s="62"/>
      <c r="CI107" s="62"/>
      <c r="CJ107" s="62"/>
      <c r="CK107" s="62"/>
      <c r="CL107" s="62"/>
      <c r="CM107" s="62"/>
      <c r="CN107" s="62"/>
      <c r="CO107" s="62"/>
      <c r="CP107" s="62"/>
      <c r="CQ107" s="62"/>
      <c r="CR107" s="62"/>
      <c r="CS107" s="62"/>
      <c r="CT107" s="62"/>
      <c r="CU107" s="62"/>
      <c r="CV107" s="62"/>
      <c r="CW107" s="62"/>
      <c r="CX107" s="62"/>
      <c r="CY107" s="62"/>
    </row>
    <row r="108" spans="3:103" ht="13.5" customHeight="1">
      <c r="D108" s="34" t="s">
        <v>4</v>
      </c>
      <c r="E108" s="135">
        <f>+VLOOKUP(D108,D91:E105,2,FALSE)</f>
        <v>15.592894333640098</v>
      </c>
      <c r="F108" s="123">
        <f>+_xlfn.QUARTILE.EXC(E91:E105,2)</f>
        <v>12.65459096446736</v>
      </c>
      <c r="N108" s="53"/>
      <c r="AD108" s="62"/>
      <c r="AE108" s="62"/>
      <c r="AF108" s="62"/>
      <c r="AG108" s="62"/>
      <c r="AH108" s="62"/>
      <c r="AI108" s="62"/>
      <c r="AJ108" s="62"/>
      <c r="AK108" s="62"/>
      <c r="AL108" s="62"/>
      <c r="AM108" s="62"/>
      <c r="AN108" s="62"/>
      <c r="AO108" s="62"/>
      <c r="AP108" s="62"/>
      <c r="AQ108" s="62"/>
      <c r="AR108" s="62"/>
      <c r="AS108" s="62"/>
      <c r="AT108" s="62"/>
      <c r="AU108" s="62"/>
      <c r="AV108" s="62"/>
      <c r="AW108" s="62"/>
      <c r="AX108" s="62"/>
      <c r="AY108" s="62"/>
      <c r="AZ108" s="62"/>
      <c r="BA108" s="62"/>
      <c r="BB108" s="62"/>
      <c r="BC108" s="62"/>
      <c r="BD108" s="62"/>
      <c r="BE108" s="62"/>
      <c r="BF108" s="62"/>
      <c r="BG108" s="62"/>
      <c r="BH108" s="62"/>
      <c r="BI108" s="62"/>
      <c r="BJ108" s="62"/>
      <c r="BK108" s="62"/>
      <c r="BL108" s="62"/>
      <c r="BM108" s="62"/>
      <c r="BN108" s="62"/>
      <c r="BO108" s="62"/>
      <c r="BP108" s="62"/>
      <c r="BQ108" s="62"/>
      <c r="BR108" s="62"/>
      <c r="BS108" s="62"/>
      <c r="BT108" s="62"/>
      <c r="BU108" s="62"/>
      <c r="BV108" s="62"/>
      <c r="BW108" s="62"/>
      <c r="BX108" s="62"/>
      <c r="BY108" s="62"/>
      <c r="BZ108" s="62"/>
      <c r="CA108" s="62"/>
      <c r="CB108" s="62"/>
      <c r="CC108" s="62"/>
      <c r="CD108" s="62"/>
      <c r="CE108" s="62"/>
      <c r="CF108" s="62"/>
      <c r="CG108" s="62"/>
      <c r="CH108" s="62"/>
      <c r="CI108" s="62"/>
      <c r="CJ108" s="62"/>
      <c r="CK108" s="62"/>
      <c r="CL108" s="62"/>
      <c r="CM108" s="62"/>
      <c r="CN108" s="62"/>
      <c r="CO108" s="62"/>
      <c r="CP108" s="62"/>
      <c r="CQ108" s="62"/>
      <c r="CR108" s="62"/>
      <c r="CS108" s="62"/>
      <c r="CT108" s="62"/>
      <c r="CU108" s="62"/>
      <c r="CV108" s="62"/>
      <c r="CW108" s="62"/>
      <c r="CX108" s="62"/>
      <c r="CY108" s="62"/>
    </row>
    <row r="109" spans="3:103" ht="13.5" customHeight="1">
      <c r="E109" s="134" t="s">
        <v>321</v>
      </c>
      <c r="F109" s="123">
        <f>+_xlfn.QUARTILE.EXC(E91:E105,3)</f>
        <v>15.592894333640098</v>
      </c>
      <c r="N109" s="53"/>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c r="BT109" s="62"/>
      <c r="BU109" s="62"/>
      <c r="BV109" s="62"/>
      <c r="BW109" s="62"/>
      <c r="BX109" s="62"/>
      <c r="BY109" s="62"/>
      <c r="BZ109" s="62"/>
      <c r="CA109" s="62"/>
      <c r="CB109" s="62"/>
      <c r="CC109" s="62"/>
      <c r="CD109" s="62"/>
      <c r="CE109" s="62"/>
      <c r="CF109" s="62"/>
      <c r="CG109" s="62"/>
      <c r="CH109" s="62"/>
      <c r="CI109" s="62"/>
      <c r="CJ109" s="62"/>
      <c r="CK109" s="62"/>
      <c r="CL109" s="62"/>
      <c r="CM109" s="62"/>
      <c r="CN109" s="62"/>
      <c r="CO109" s="62"/>
      <c r="CP109" s="62"/>
      <c r="CQ109" s="62"/>
      <c r="CR109" s="62"/>
      <c r="CS109" s="62"/>
      <c r="CT109" s="62"/>
      <c r="CU109" s="62"/>
      <c r="CV109" s="62"/>
      <c r="CW109" s="62"/>
      <c r="CX109" s="62"/>
      <c r="CY109" s="62"/>
    </row>
    <row r="110" spans="3:103" ht="13.5" customHeight="1">
      <c r="F110" s="123"/>
      <c r="N110" s="53"/>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c r="BE110" s="62"/>
      <c r="BF110" s="62"/>
      <c r="BG110" s="62"/>
      <c r="BH110" s="62"/>
      <c r="BI110" s="62"/>
      <c r="BJ110" s="62"/>
      <c r="BK110" s="62"/>
      <c r="BL110" s="62"/>
      <c r="BM110" s="62"/>
      <c r="BN110" s="62"/>
      <c r="BO110" s="62"/>
      <c r="BP110" s="62"/>
      <c r="BQ110" s="62"/>
      <c r="BR110" s="62"/>
      <c r="BS110" s="62"/>
      <c r="BT110" s="62"/>
      <c r="BU110" s="62"/>
      <c r="BV110" s="62"/>
      <c r="BW110" s="62"/>
      <c r="BX110" s="62"/>
      <c r="BY110" s="62"/>
      <c r="BZ110" s="62"/>
      <c r="CA110" s="62"/>
      <c r="CB110" s="62"/>
      <c r="CC110" s="62"/>
      <c r="CD110" s="62"/>
      <c r="CE110" s="62"/>
      <c r="CF110" s="62"/>
      <c r="CG110" s="62"/>
      <c r="CH110" s="62"/>
      <c r="CI110" s="62"/>
      <c r="CJ110" s="62"/>
      <c r="CK110" s="62"/>
      <c r="CL110" s="62"/>
      <c r="CM110" s="62"/>
      <c r="CN110" s="62"/>
      <c r="CO110" s="62"/>
      <c r="CP110" s="62"/>
      <c r="CQ110" s="62"/>
      <c r="CR110" s="62"/>
      <c r="CS110" s="62"/>
      <c r="CT110" s="62"/>
      <c r="CU110" s="62"/>
      <c r="CV110" s="62"/>
      <c r="CW110" s="62"/>
      <c r="CX110" s="62"/>
      <c r="CY110" s="62"/>
    </row>
    <row r="111" spans="3:103" ht="13.5" customHeight="1">
      <c r="N111" s="53"/>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2"/>
      <c r="CM111" s="62"/>
      <c r="CN111" s="62"/>
      <c r="CO111" s="62"/>
      <c r="CP111" s="62"/>
      <c r="CQ111" s="62"/>
      <c r="CR111" s="62"/>
      <c r="CS111" s="62"/>
      <c r="CT111" s="62"/>
      <c r="CU111" s="62"/>
      <c r="CV111" s="62"/>
      <c r="CW111" s="62"/>
      <c r="CX111" s="62"/>
      <c r="CY111" s="62"/>
    </row>
    <row r="112" spans="3:103" ht="13.5" customHeight="1">
      <c r="N112" s="53"/>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c r="BM112" s="62"/>
      <c r="BN112" s="62"/>
      <c r="BO112" s="62"/>
      <c r="BP112" s="62"/>
      <c r="BQ112" s="62"/>
      <c r="BR112" s="62"/>
      <c r="BS112" s="62"/>
      <c r="BT112" s="62"/>
      <c r="BU112" s="62"/>
      <c r="BV112" s="62"/>
      <c r="BW112" s="62"/>
      <c r="BX112" s="62"/>
      <c r="BY112" s="62"/>
      <c r="BZ112" s="62"/>
      <c r="CA112" s="62"/>
      <c r="CB112" s="62"/>
      <c r="CC112" s="62"/>
      <c r="CD112" s="62"/>
      <c r="CE112" s="62"/>
      <c r="CF112" s="62"/>
      <c r="CG112" s="62"/>
      <c r="CH112" s="62"/>
      <c r="CI112" s="62"/>
      <c r="CJ112" s="62"/>
      <c r="CK112" s="62"/>
      <c r="CL112" s="62"/>
      <c r="CM112" s="62"/>
      <c r="CN112" s="62"/>
      <c r="CO112" s="62"/>
      <c r="CP112" s="62"/>
      <c r="CQ112" s="62"/>
      <c r="CR112" s="62"/>
      <c r="CS112" s="62"/>
      <c r="CT112" s="62"/>
      <c r="CU112" s="62"/>
      <c r="CV112" s="62"/>
      <c r="CW112" s="62"/>
      <c r="CX112" s="62"/>
      <c r="CY112" s="62"/>
    </row>
    <row r="113" spans="14:103" ht="13.5" customHeight="1">
      <c r="N113" s="53"/>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row>
    <row r="114" spans="14:103" ht="13.5" customHeight="1">
      <c r="N114" s="53"/>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row>
    <row r="115" spans="14:103" ht="13.5" customHeight="1">
      <c r="N115" s="53"/>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row>
    <row r="116" spans="14:103" ht="13.5" customHeight="1">
      <c r="N116" s="53"/>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row>
    <row r="117" spans="14:103" ht="13.5" customHeight="1">
      <c r="N117" s="53"/>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row>
    <row r="118" spans="14:103" ht="13.5" customHeight="1">
      <c r="N118" s="53"/>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row>
    <row r="119" spans="14:103" ht="13.5" customHeight="1">
      <c r="N119" s="53"/>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c r="BE119" s="62"/>
      <c r="BF119" s="62"/>
      <c r="BG119" s="62"/>
      <c r="BH119" s="62"/>
      <c r="BI119" s="62"/>
      <c r="BJ119" s="62"/>
      <c r="BK119" s="62"/>
      <c r="BL119" s="62"/>
      <c r="BM119" s="62"/>
      <c r="BN119" s="62"/>
      <c r="BO119" s="62"/>
      <c r="BP119" s="62"/>
      <c r="BQ119" s="62"/>
      <c r="BR119" s="62"/>
      <c r="BS119" s="62"/>
      <c r="BT119" s="62"/>
      <c r="BU119" s="62"/>
      <c r="BV119" s="62"/>
      <c r="BW119" s="62"/>
      <c r="BX119" s="62"/>
      <c r="BY119" s="62"/>
      <c r="BZ119" s="62"/>
      <c r="CA119" s="62"/>
      <c r="CB119" s="62"/>
      <c r="CC119" s="62"/>
      <c r="CD119" s="62"/>
      <c r="CE119" s="62"/>
      <c r="CF119" s="62"/>
      <c r="CG119" s="62"/>
      <c r="CH119" s="62"/>
      <c r="CI119" s="62"/>
      <c r="CJ119" s="62"/>
      <c r="CK119" s="62"/>
      <c r="CL119" s="62"/>
      <c r="CM119" s="62"/>
      <c r="CN119" s="62"/>
      <c r="CO119" s="62"/>
      <c r="CP119" s="62"/>
      <c r="CQ119" s="62"/>
      <c r="CR119" s="62"/>
      <c r="CS119" s="62"/>
      <c r="CT119" s="62"/>
      <c r="CU119" s="62"/>
      <c r="CV119" s="62"/>
      <c r="CW119" s="62"/>
      <c r="CX119" s="62"/>
      <c r="CY119" s="62"/>
    </row>
    <row r="120" spans="14:103" ht="13.5" customHeight="1">
      <c r="N120" s="53"/>
      <c r="AD120" s="62"/>
      <c r="AE120" s="62"/>
      <c r="AF120" s="62"/>
      <c r="AG120" s="62"/>
      <c r="AH120" s="62"/>
      <c r="AI120" s="62"/>
      <c r="AJ120" s="62"/>
      <c r="AK120" s="62"/>
      <c r="AL120" s="62"/>
      <c r="AM120" s="62"/>
      <c r="AN120" s="62"/>
      <c r="AO120" s="62"/>
      <c r="AP120" s="62"/>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row>
    <row r="121" spans="14:103" ht="13.5" customHeight="1">
      <c r="N121" s="53"/>
      <c r="AD121" s="62"/>
      <c r="AE121" s="62"/>
      <c r="AF121" s="62"/>
      <c r="AG121" s="62"/>
      <c r="AH121" s="62"/>
      <c r="AI121" s="62"/>
      <c r="AJ121" s="62"/>
      <c r="AK121" s="62"/>
      <c r="AL121" s="62"/>
      <c r="AM121" s="62"/>
      <c r="AN121" s="62"/>
      <c r="AO121" s="62"/>
      <c r="AP121" s="62"/>
      <c r="AQ121" s="62"/>
      <c r="AR121" s="62"/>
      <c r="AS121" s="62"/>
      <c r="AT121" s="62"/>
      <c r="AU121" s="62"/>
      <c r="AV121" s="62"/>
      <c r="AW121" s="62"/>
      <c r="AX121" s="62"/>
      <c r="AY121" s="62"/>
      <c r="AZ121" s="62"/>
      <c r="BA121" s="62"/>
      <c r="BB121" s="62"/>
      <c r="BC121" s="62"/>
      <c r="BD121" s="62"/>
      <c r="BE121" s="62"/>
      <c r="BF121" s="62"/>
      <c r="BG121" s="62"/>
      <c r="BH121" s="62"/>
      <c r="BI121" s="62"/>
      <c r="BJ121" s="62"/>
      <c r="BK121" s="62"/>
      <c r="BL121" s="62"/>
      <c r="BM121" s="62"/>
      <c r="BN121" s="62"/>
      <c r="BO121" s="62"/>
      <c r="BP121" s="62"/>
      <c r="BQ121" s="62"/>
      <c r="BR121" s="62"/>
      <c r="BS121" s="62"/>
      <c r="BT121" s="62"/>
      <c r="BU121" s="62"/>
      <c r="BV121" s="62"/>
      <c r="BW121" s="62"/>
      <c r="BX121" s="62"/>
      <c r="BY121" s="62"/>
      <c r="BZ121" s="62"/>
      <c r="CA121" s="62"/>
      <c r="CB121" s="62"/>
      <c r="CC121" s="62"/>
      <c r="CD121" s="62"/>
      <c r="CE121" s="62"/>
      <c r="CF121" s="62"/>
      <c r="CG121" s="62"/>
      <c r="CH121" s="62"/>
      <c r="CI121" s="62"/>
      <c r="CJ121" s="62"/>
      <c r="CK121" s="62"/>
      <c r="CL121" s="62"/>
      <c r="CM121" s="62"/>
      <c r="CN121" s="62"/>
      <c r="CO121" s="62"/>
      <c r="CP121" s="62"/>
      <c r="CQ121" s="62"/>
      <c r="CR121" s="62"/>
      <c r="CS121" s="62"/>
      <c r="CT121" s="62"/>
      <c r="CU121" s="62"/>
      <c r="CV121" s="62"/>
      <c r="CW121" s="62"/>
      <c r="CX121" s="62"/>
      <c r="CY121" s="62"/>
    </row>
    <row r="122" spans="14:103">
      <c r="N122" s="53"/>
    </row>
    <row r="123" spans="14:103">
      <c r="N123" s="53"/>
    </row>
    <row r="124" spans="14:103">
      <c r="N124" s="53"/>
    </row>
    <row r="125" spans="14:103">
      <c r="N125" s="53"/>
    </row>
    <row r="126" spans="14:103">
      <c r="N126" s="53"/>
    </row>
    <row r="127" spans="14:103">
      <c r="N127" s="53"/>
    </row>
    <row r="128" spans="14:103">
      <c r="N128" s="53"/>
    </row>
  </sheetData>
  <sortState ref="D91:E105">
    <sortCondition ref="E91:E105"/>
  </sortState>
  <mergeCells count="12">
    <mergeCell ref="CF22:CN22"/>
    <mergeCell ref="CF24:CN24"/>
    <mergeCell ref="BV24:CD24"/>
    <mergeCell ref="E4:K4"/>
    <mergeCell ref="E5:I5"/>
    <mergeCell ref="AE68:AI68"/>
    <mergeCell ref="AL46:AP46"/>
    <mergeCell ref="AL68:AP68"/>
    <mergeCell ref="BV22:CD22"/>
    <mergeCell ref="AE24:AI24"/>
    <mergeCell ref="AL24:AP24"/>
    <mergeCell ref="AE46:AI46"/>
  </mergeCells>
  <phoneticPr fontId="0" type="noConversion"/>
  <conditionalFormatting sqref="AX48:AX62 AX70:AX84 AX26:AX40 D48:D62 G48:G62 D70:D84 D26:D40 G26:G40 J26:J40 J48:J62 AD26:AD40 AK26:AK40 AD48:AD62 AK48:AK62 AD70:AD84 BA26:BA40 BA48:BA62 D91:D105 BA70:BA84 AK70:AK84 BP48:BP62 BP70:BP84 BP26:BP40 BS26:BS40 BS48:BS62 BS70:BS84 BJ48:BJ62 BJ70:BJ84 BJ26:BJ40 BM26:BM40 BM48:BM62 BM70:BM84">
    <cfRule type="cellIs" dxfId="0" priority="1" stopIfTrue="1" operator="equal">
      <formula>"Perú"</formula>
    </cfRule>
  </conditionalFormatting>
  <printOptions horizontalCentered="1" verticalCentered="1"/>
  <pageMargins left="0.78740157480314965" right="0.78740157480314965" top="0.65" bottom="0.59055118110236227" header="0" footer="0.39370078740157483"/>
  <pageSetup paperSize="9" scale="96" fitToHeight="25" orientation="landscape" r:id="rId1"/>
  <headerFooter alignWithMargins="0"/>
  <rowBreaks count="6" manualBreakCount="6">
    <brk id="11" min="14" max="22" man="1"/>
    <brk id="17" min="14" max="22" man="1"/>
    <brk id="29" min="14" max="22" man="1"/>
    <brk id="55" min="14" max="22" man="1"/>
    <brk id="82" min="14" max="22" man="1"/>
    <brk id="110" min="14" max="22"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1:AO300"/>
  <sheetViews>
    <sheetView showGridLines="0" topLeftCell="A106" zoomScale="80" zoomScaleNormal="80" zoomScaleSheetLayoutView="85" workbookViewId="0">
      <selection activeCell="L282" sqref="L282"/>
    </sheetView>
  </sheetViews>
  <sheetFormatPr baseColWidth="10" defaultColWidth="11.42578125" defaultRowHeight="12.75"/>
  <cols>
    <col min="1" max="1" width="11.42578125" style="6"/>
    <col min="2" max="2" width="16.28515625" style="6" customWidth="1"/>
    <col min="3" max="3" width="24.140625" style="6" customWidth="1"/>
    <col min="4" max="9" width="10.7109375" style="6" customWidth="1"/>
    <col min="10" max="10" width="4" style="6" customWidth="1"/>
    <col min="11" max="11" width="37.28515625" style="6" customWidth="1"/>
    <col min="12" max="12" width="13.85546875" style="6" customWidth="1"/>
    <col min="13" max="13" width="15.7109375" style="6" customWidth="1"/>
    <col min="14" max="14" width="15.28515625" style="6" customWidth="1"/>
    <col min="15" max="15" width="18.140625" style="6" customWidth="1"/>
    <col min="16" max="16" width="2.140625" style="6" customWidth="1"/>
    <col min="17" max="17" width="28.85546875" style="6" customWidth="1"/>
    <col min="18" max="18" width="14.7109375" style="6" customWidth="1"/>
    <col min="19" max="19" width="15.42578125" style="6" customWidth="1"/>
    <col min="20" max="20" width="15.7109375" style="6" customWidth="1"/>
    <col min="21" max="21" width="30.5703125" style="6" customWidth="1"/>
    <col min="22" max="22" width="12.85546875" style="6" customWidth="1"/>
    <col min="23" max="23" width="22.28515625" style="6" customWidth="1"/>
    <col min="24" max="24" width="11.7109375" style="6" customWidth="1"/>
    <col min="25" max="25" width="11.85546875" style="6" bestFit="1" customWidth="1"/>
    <col min="26" max="26" width="20.85546875" style="6" hidden="1" customWidth="1"/>
    <col min="27" max="27" width="63.140625" style="6" hidden="1" customWidth="1"/>
    <col min="28" max="28" width="22.5703125" style="6" hidden="1" customWidth="1"/>
    <col min="29" max="30" width="22.28515625" style="34" hidden="1" customWidth="1"/>
    <col min="31" max="31" width="22.85546875" style="34" hidden="1" customWidth="1"/>
    <col min="32" max="32" width="9.28515625" style="34" hidden="1" customWidth="1"/>
    <col min="33" max="33" width="9.5703125" style="34" hidden="1" customWidth="1"/>
    <col min="34" max="34" width="6.85546875" style="34" hidden="1" customWidth="1"/>
    <col min="35" max="35" width="13" style="34" hidden="1" customWidth="1"/>
    <col min="36" max="36" width="24.140625" style="34" hidden="1" customWidth="1"/>
    <col min="37" max="37" width="10.7109375" style="34" hidden="1" customWidth="1"/>
    <col min="38" max="38" width="13" style="34" hidden="1" customWidth="1"/>
    <col min="39" max="39" width="24.140625" style="34" hidden="1" customWidth="1"/>
    <col min="40" max="40" width="4" style="34" customWidth="1"/>
    <col min="41" max="41" width="3.5703125" style="34" customWidth="1"/>
    <col min="42" max="16384" width="11.42578125" style="34"/>
  </cols>
  <sheetData>
    <row r="1" spans="1:41" ht="30">
      <c r="B1" s="129" t="s">
        <v>232</v>
      </c>
      <c r="AC1" s="6"/>
      <c r="AD1" s="6"/>
      <c r="AE1" s="6"/>
      <c r="AF1" s="6"/>
      <c r="AG1" s="6"/>
      <c r="AH1" s="6"/>
      <c r="AI1" s="6"/>
      <c r="AJ1" s="6"/>
      <c r="AK1" s="6"/>
      <c r="AL1" s="6"/>
      <c r="AM1" s="6"/>
      <c r="AN1" s="7"/>
      <c r="AO1" s="7"/>
    </row>
    <row r="2" spans="1:41" ht="20.25">
      <c r="B2" s="13"/>
      <c r="AC2" s="6"/>
      <c r="AD2" s="6"/>
      <c r="AE2" s="6"/>
      <c r="AF2" s="6"/>
      <c r="AG2" s="6"/>
      <c r="AH2" s="6"/>
      <c r="AI2" s="6"/>
      <c r="AJ2" s="6"/>
      <c r="AK2" s="6"/>
      <c r="AL2" s="6"/>
      <c r="AM2" s="6"/>
      <c r="AN2" s="7"/>
      <c r="AO2" s="7"/>
    </row>
    <row r="3" spans="1:41" s="244" customFormat="1" ht="24" customHeight="1" thickBot="1">
      <c r="A3" s="130"/>
      <c r="B3" s="131" t="s">
        <v>3</v>
      </c>
      <c r="C3" s="132"/>
      <c r="D3" s="132"/>
      <c r="E3" s="132"/>
      <c r="F3" s="132"/>
      <c r="G3" s="132"/>
      <c r="H3" s="132"/>
      <c r="I3" s="132"/>
      <c r="J3" s="132"/>
      <c r="K3" s="131" t="s">
        <v>233</v>
      </c>
      <c r="L3" s="132"/>
      <c r="M3" s="132"/>
      <c r="N3" s="132"/>
      <c r="O3" s="132"/>
      <c r="P3" s="132"/>
      <c r="Q3" s="131" t="s">
        <v>234</v>
      </c>
      <c r="R3" s="132"/>
      <c r="S3" s="132"/>
      <c r="T3" s="132"/>
      <c r="U3" s="132"/>
      <c r="V3" s="132"/>
      <c r="W3" s="132"/>
      <c r="X3" s="132"/>
      <c r="Y3" s="132"/>
      <c r="Z3" s="132"/>
      <c r="AA3" s="130"/>
      <c r="AB3" s="130"/>
      <c r="AC3" s="130"/>
      <c r="AD3" s="130"/>
      <c r="AE3" s="130"/>
      <c r="AF3" s="130"/>
      <c r="AG3" s="130"/>
      <c r="AH3" s="130"/>
      <c r="AI3" s="130"/>
      <c r="AJ3" s="130"/>
      <c r="AK3" s="130"/>
      <c r="AL3" s="130"/>
      <c r="AM3" s="130"/>
      <c r="AN3" s="243"/>
      <c r="AO3" s="243"/>
    </row>
    <row r="4" spans="1:41">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row>
    <row r="5" spans="1:41" ht="26.25">
      <c r="A5" s="474"/>
      <c r="B5" s="133" t="s">
        <v>250</v>
      </c>
      <c r="C5" s="34"/>
      <c r="D5" s="34"/>
      <c r="E5" s="34"/>
      <c r="F5" s="34"/>
      <c r="G5" s="34"/>
      <c r="H5" s="34"/>
      <c r="I5" s="34"/>
      <c r="J5" s="34"/>
      <c r="K5" s="34"/>
      <c r="L5" s="34"/>
      <c r="M5" s="34"/>
      <c r="N5" s="34"/>
      <c r="O5" s="34"/>
      <c r="P5" s="34"/>
      <c r="Q5" s="34"/>
      <c r="R5" s="34"/>
      <c r="S5" s="34"/>
      <c r="T5" s="34"/>
      <c r="U5" s="34"/>
      <c r="V5" s="34"/>
      <c r="W5" s="34"/>
      <c r="X5" s="34"/>
      <c r="Y5" s="34"/>
      <c r="Z5" s="34"/>
      <c r="AA5" s="34"/>
      <c r="AB5" s="34"/>
      <c r="AN5" s="7"/>
      <c r="AO5" s="7"/>
    </row>
    <row r="6" spans="1:41">
      <c r="A6" s="34"/>
      <c r="B6" s="34"/>
      <c r="C6" s="34"/>
      <c r="D6" s="34"/>
      <c r="E6" s="34"/>
      <c r="F6" s="34"/>
      <c r="G6" s="34"/>
      <c r="H6" s="34"/>
      <c r="I6" s="34"/>
      <c r="J6" s="34"/>
      <c r="K6" s="34"/>
      <c r="L6" s="34"/>
      <c r="M6" s="34"/>
      <c r="N6" s="34"/>
      <c r="O6" s="34"/>
      <c r="P6" s="34"/>
      <c r="Q6" s="34"/>
      <c r="R6" s="34"/>
      <c r="S6" s="34"/>
      <c r="T6" s="34"/>
      <c r="U6" s="34"/>
      <c r="V6" s="34"/>
      <c r="W6" s="34"/>
      <c r="X6" s="34"/>
      <c r="Y6" s="34"/>
      <c r="Z6" s="34"/>
      <c r="AA6" s="34"/>
      <c r="AB6" s="34"/>
      <c r="AN6" s="7"/>
      <c r="AO6" s="7"/>
    </row>
    <row r="7" spans="1:41" ht="23.25">
      <c r="A7" s="34"/>
      <c r="B7" s="14" t="s">
        <v>3</v>
      </c>
      <c r="C7" s="227" t="s">
        <v>8</v>
      </c>
      <c r="E7" s="6" t="s">
        <v>324</v>
      </c>
      <c r="AA7" s="150" t="s">
        <v>252</v>
      </c>
      <c r="AC7" s="6"/>
      <c r="AD7" s="6"/>
      <c r="AE7" s="6"/>
      <c r="AF7" s="6"/>
      <c r="AG7" s="6"/>
      <c r="AH7" s="6"/>
      <c r="AI7" s="6"/>
      <c r="AJ7" s="6"/>
      <c r="AK7" s="6"/>
      <c r="AL7" s="6"/>
      <c r="AM7" s="6"/>
      <c r="AN7" s="7"/>
      <c r="AO7" s="7"/>
    </row>
    <row r="8" spans="1:41">
      <c r="B8" s="14" t="s">
        <v>12</v>
      </c>
      <c r="C8" s="15" t="s">
        <v>31</v>
      </c>
      <c r="AA8" s="53" t="s">
        <v>189</v>
      </c>
      <c r="AC8" s="6"/>
      <c r="AD8" s="53"/>
      <c r="AE8" s="53"/>
      <c r="AF8" s="53"/>
      <c r="AG8" s="6"/>
      <c r="AH8" s="6"/>
      <c r="AI8" s="6"/>
      <c r="AJ8" s="6"/>
      <c r="AK8" s="6"/>
      <c r="AL8" s="6"/>
      <c r="AM8" s="6"/>
      <c r="AN8" s="7"/>
      <c r="AO8" s="7"/>
    </row>
    <row r="9" spans="1:41">
      <c r="B9" s="14" t="s">
        <v>23</v>
      </c>
      <c r="C9" s="276">
        <f>+TipoCambio!B4</f>
        <v>165.58999614123096</v>
      </c>
      <c r="D9" s="285"/>
      <c r="E9" s="16"/>
      <c r="K9" s="18" t="s">
        <v>420</v>
      </c>
      <c r="AA9" s="82" t="s">
        <v>190</v>
      </c>
      <c r="AC9" s="6"/>
      <c r="AD9" s="82"/>
      <c r="AE9" s="82"/>
      <c r="AF9" s="53"/>
      <c r="AG9" s="18"/>
      <c r="AH9" s="6"/>
      <c r="AI9" s="6"/>
      <c r="AJ9" s="6"/>
      <c r="AK9" s="6"/>
      <c r="AL9" s="6"/>
      <c r="AM9" s="6"/>
      <c r="AN9" s="7"/>
      <c r="AO9" s="7"/>
    </row>
    <row r="10" spans="1:41">
      <c r="B10" s="14" t="s">
        <v>15</v>
      </c>
      <c r="C10" s="17">
        <f>Resumen!D7</f>
        <v>44896</v>
      </c>
      <c r="K10" s="18" t="s">
        <v>513</v>
      </c>
      <c r="AA10" s="82" t="s">
        <v>191</v>
      </c>
      <c r="AC10" s="6"/>
      <c r="AD10" s="82"/>
      <c r="AE10" s="82"/>
      <c r="AF10" s="53"/>
      <c r="AG10" s="18"/>
      <c r="AH10" s="6"/>
      <c r="AI10" s="6"/>
      <c r="AJ10" s="6"/>
      <c r="AK10" s="6"/>
      <c r="AL10" s="6"/>
      <c r="AM10" s="6"/>
      <c r="AN10" s="7"/>
      <c r="AO10" s="7"/>
    </row>
    <row r="11" spans="1:41" ht="18">
      <c r="K11" s="106" t="s">
        <v>421</v>
      </c>
      <c r="Q11" s="106" t="s">
        <v>205</v>
      </c>
      <c r="U11" s="53"/>
      <c r="V11" s="53"/>
      <c r="W11" s="53"/>
      <c r="Y11" s="42"/>
      <c r="Z11" s="42"/>
      <c r="AA11" s="53" t="s">
        <v>192</v>
      </c>
      <c r="AC11" s="6"/>
      <c r="AD11" s="6"/>
      <c r="AE11" s="6"/>
      <c r="AF11" s="6"/>
      <c r="AG11" s="6"/>
      <c r="AH11" s="6"/>
      <c r="AI11" s="6"/>
      <c r="AJ11" s="6"/>
      <c r="AK11" s="6"/>
      <c r="AL11" s="6"/>
      <c r="AM11" s="6"/>
      <c r="AN11" s="7"/>
      <c r="AO11" s="7"/>
    </row>
    <row r="12" spans="1:41" ht="15.75">
      <c r="B12" s="19" t="s">
        <v>21</v>
      </c>
      <c r="L12" s="372" t="s">
        <v>436</v>
      </c>
      <c r="O12" s="202" t="s">
        <v>555</v>
      </c>
      <c r="Q12" s="373" t="s">
        <v>437</v>
      </c>
      <c r="S12" s="202" t="s">
        <v>549</v>
      </c>
      <c r="U12" s="53"/>
      <c r="V12" s="345"/>
      <c r="W12" s="53"/>
      <c r="Y12" s="83"/>
      <c r="Z12" s="78"/>
      <c r="AA12" s="53" t="s">
        <v>193</v>
      </c>
      <c r="AC12" s="6"/>
      <c r="AD12" s="6"/>
      <c r="AE12" s="6"/>
      <c r="AF12" s="6"/>
      <c r="AG12" s="6"/>
      <c r="AH12" s="6"/>
      <c r="AI12" s="6"/>
      <c r="AJ12" s="6"/>
      <c r="AK12" s="6"/>
      <c r="AL12" s="6"/>
      <c r="AM12" s="6"/>
      <c r="AN12" s="7"/>
      <c r="AO12" s="7"/>
    </row>
    <row r="13" spans="1:41" ht="33.75" customHeight="1">
      <c r="C13" s="492" t="s">
        <v>11</v>
      </c>
      <c r="D13" s="493"/>
      <c r="E13" s="493"/>
      <c r="F13" s="493"/>
      <c r="G13" s="493"/>
      <c r="H13" s="493"/>
      <c r="I13" s="494"/>
      <c r="J13" s="42"/>
      <c r="K13" s="105" t="s">
        <v>20</v>
      </c>
      <c r="L13" s="105" t="s">
        <v>0</v>
      </c>
      <c r="M13" s="105" t="s">
        <v>96</v>
      </c>
      <c r="N13" s="105" t="s">
        <v>97</v>
      </c>
      <c r="O13" s="255"/>
      <c r="Q13" s="105" t="s">
        <v>20</v>
      </c>
      <c r="R13" s="105" t="s">
        <v>0</v>
      </c>
      <c r="S13" s="105" t="s">
        <v>92</v>
      </c>
      <c r="T13" s="105" t="s">
        <v>542</v>
      </c>
      <c r="U13" s="42"/>
      <c r="V13" s="42"/>
      <c r="W13" s="42"/>
      <c r="Y13" s="84"/>
      <c r="Z13" s="78"/>
      <c r="AA13" s="53" t="s">
        <v>194</v>
      </c>
      <c r="AB13" s="15"/>
      <c r="AC13" s="6"/>
      <c r="AD13" s="6"/>
      <c r="AE13" s="6"/>
      <c r="AF13" s="6"/>
      <c r="AG13" s="6"/>
      <c r="AH13" s="6"/>
      <c r="AI13" s="6"/>
      <c r="AJ13" s="6"/>
      <c r="AK13" s="6"/>
      <c r="AL13" s="6"/>
      <c r="AM13" s="6"/>
      <c r="AN13" s="7"/>
      <c r="AO13" s="7"/>
    </row>
    <row r="14" spans="1:41">
      <c r="C14" s="22">
        <v>30</v>
      </c>
      <c r="D14" s="22">
        <v>65</v>
      </c>
      <c r="E14" s="22">
        <v>125</v>
      </c>
      <c r="F14" s="22">
        <f>300</f>
        <v>300</v>
      </c>
      <c r="G14" s="41">
        <v>1000</v>
      </c>
      <c r="H14" s="41">
        <v>50000</v>
      </c>
      <c r="I14" s="41">
        <v>500000</v>
      </c>
      <c r="J14" s="43"/>
      <c r="K14" s="404" t="s">
        <v>451</v>
      </c>
      <c r="L14" s="405" t="s">
        <v>452</v>
      </c>
      <c r="M14" s="343">
        <v>62.24</v>
      </c>
      <c r="N14" s="344">
        <v>4.6520000000000001</v>
      </c>
      <c r="O14" s="202" t="s">
        <v>556</v>
      </c>
      <c r="Q14" s="411" t="s">
        <v>96</v>
      </c>
      <c r="R14" s="405" t="s">
        <v>24</v>
      </c>
      <c r="S14" s="343">
        <v>5493.8</v>
      </c>
      <c r="T14" s="343">
        <v>6332.68</v>
      </c>
      <c r="U14" s="48"/>
      <c r="V14" s="427"/>
      <c r="W14" s="107"/>
      <c r="X14" s="53"/>
      <c r="Y14" s="53"/>
      <c r="Z14" s="53"/>
      <c r="AA14" s="53"/>
      <c r="AC14" s="6"/>
      <c r="AD14" s="6"/>
      <c r="AE14" s="6"/>
      <c r="AF14" s="6"/>
      <c r="AG14" s="6"/>
      <c r="AH14" s="6"/>
      <c r="AI14" s="6"/>
      <c r="AJ14" s="6"/>
      <c r="AK14" s="6"/>
      <c r="AL14" s="6"/>
      <c r="AM14" s="6"/>
      <c r="AN14" s="7"/>
      <c r="AO14" s="7"/>
    </row>
    <row r="15" spans="1:41">
      <c r="B15" s="8" t="s">
        <v>25</v>
      </c>
      <c r="C15" s="423">
        <f>(M14+C14*N14)/C14</f>
        <v>6.7266666666666675</v>
      </c>
      <c r="D15" s="423">
        <f>+(M14+D14*N14)/D14</f>
        <v>5.6095384615384614</v>
      </c>
      <c r="E15" s="423">
        <f>+M14/E14+N14</f>
        <v>5.1499199999999998</v>
      </c>
      <c r="F15" s="423">
        <f>+M15/F14+N15</f>
        <v>9.3794000000000004</v>
      </c>
      <c r="G15" s="423">
        <f>+(M17+N17*G14)/G14</f>
        <v>11.768409999999999</v>
      </c>
      <c r="H15" s="423">
        <f>((27.98%*S17+52.25%*S18+14.77%*S19)*H14+(153.9*S16+138.7*S15)+S14)/H14</f>
        <v>8.66256804</v>
      </c>
      <c r="I15" s="423">
        <f>(88831*T17+303700*T18+108200*T19+(920.8*T16+665*T15)+T14)/I14</f>
        <v>16.034902954</v>
      </c>
      <c r="J15" s="33"/>
      <c r="K15" s="371" t="s">
        <v>453</v>
      </c>
      <c r="L15" s="50" t="s">
        <v>25</v>
      </c>
      <c r="M15" s="343">
        <v>122.82</v>
      </c>
      <c r="N15" s="344">
        <v>8.9700000000000006</v>
      </c>
      <c r="O15" s="202" t="s">
        <v>555</v>
      </c>
      <c r="Q15" s="412" t="s">
        <v>457</v>
      </c>
      <c r="R15" s="49" t="s">
        <v>99</v>
      </c>
      <c r="S15" s="343">
        <v>579.20000000000005</v>
      </c>
      <c r="T15" s="343">
        <v>315.7</v>
      </c>
      <c r="U15" s="48"/>
      <c r="V15" s="427"/>
      <c r="W15" s="81"/>
      <c r="X15" s="53"/>
      <c r="Y15" s="53"/>
      <c r="Z15" s="53"/>
      <c r="AA15" s="53"/>
      <c r="AC15" s="6"/>
      <c r="AD15" s="6"/>
      <c r="AE15" s="6"/>
      <c r="AF15" s="6"/>
      <c r="AG15" s="6"/>
      <c r="AH15" s="6"/>
      <c r="AI15" s="6"/>
      <c r="AJ15" s="6"/>
      <c r="AK15" s="6"/>
      <c r="AL15" s="6"/>
      <c r="AM15" s="6"/>
      <c r="AN15" s="7"/>
      <c r="AO15" s="7"/>
    </row>
    <row r="16" spans="1:41">
      <c r="B16" s="8" t="s">
        <v>1</v>
      </c>
      <c r="C16" s="423">
        <f>+C15/C9*100</f>
        <v>4.0622421785247971</v>
      </c>
      <c r="D16" s="423">
        <f>+D15/C9*100</f>
        <v>3.3876070972029688</v>
      </c>
      <c r="E16" s="423">
        <f>+E15/C9*100</f>
        <v>3.1100429494591308</v>
      </c>
      <c r="F16" s="423">
        <f>+F15/C9*100</f>
        <v>5.6642310638139959</v>
      </c>
      <c r="G16" s="423">
        <f>+G15/C9*100</f>
        <v>7.1069571074588191</v>
      </c>
      <c r="H16" s="423">
        <f>+H15/C9*100</f>
        <v>5.2313353716197541</v>
      </c>
      <c r="I16" s="423">
        <f>+I15/C9*100</f>
        <v>9.6834973897359742</v>
      </c>
      <c r="J16" s="33"/>
      <c r="K16" s="371" t="s">
        <v>454</v>
      </c>
      <c r="L16" s="50" t="s">
        <v>25</v>
      </c>
      <c r="M16" s="343">
        <v>330.34</v>
      </c>
      <c r="N16" s="344">
        <v>9.32</v>
      </c>
      <c r="O16" s="202" t="s">
        <v>555</v>
      </c>
      <c r="P16" s="33"/>
      <c r="Q16" s="268" t="s">
        <v>458</v>
      </c>
      <c r="R16" s="49" t="s">
        <v>99</v>
      </c>
      <c r="S16" s="344">
        <v>75.88</v>
      </c>
      <c r="T16" s="344">
        <v>506.74</v>
      </c>
      <c r="U16" s="85"/>
      <c r="V16" s="428"/>
      <c r="W16" s="81"/>
      <c r="X16" s="53"/>
      <c r="Y16" s="53"/>
      <c r="Z16" s="85"/>
      <c r="AA16" s="53"/>
      <c r="AC16" s="6"/>
      <c r="AD16" s="6"/>
      <c r="AE16" s="6"/>
      <c r="AF16" s="6"/>
      <c r="AG16" s="6"/>
      <c r="AH16" s="6"/>
      <c r="AI16" s="6"/>
      <c r="AJ16" s="6"/>
      <c r="AK16" s="6"/>
      <c r="AL16" s="6"/>
      <c r="AM16" s="6"/>
      <c r="AN16" s="7"/>
      <c r="AO16" s="7"/>
    </row>
    <row r="17" spans="1:41" s="261" customFormat="1" ht="12" customHeight="1">
      <c r="A17" s="255"/>
      <c r="B17" s="256"/>
      <c r="C17" s="257"/>
      <c r="D17" s="473"/>
      <c r="E17" s="473"/>
      <c r="F17" s="473"/>
      <c r="G17" s="473"/>
      <c r="H17" s="252"/>
      <c r="I17" s="252"/>
      <c r="J17" s="257"/>
      <c r="K17" s="371" t="s">
        <v>455</v>
      </c>
      <c r="L17" s="50" t="s">
        <v>25</v>
      </c>
      <c r="M17" s="343">
        <v>2072.41</v>
      </c>
      <c r="N17" s="344">
        <v>9.6959999999999997</v>
      </c>
      <c r="O17" s="202" t="s">
        <v>555</v>
      </c>
      <c r="P17" s="257"/>
      <c r="Q17" s="144" t="s">
        <v>93</v>
      </c>
      <c r="R17" s="50" t="s">
        <v>25</v>
      </c>
      <c r="S17" s="344">
        <v>7.2210000000000001</v>
      </c>
      <c r="T17" s="344">
        <v>14.654999999999999</v>
      </c>
      <c r="U17" s="258"/>
      <c r="V17" s="429"/>
      <c r="W17" s="257"/>
      <c r="X17" s="259"/>
      <c r="Y17" s="259"/>
      <c r="Z17" s="258"/>
      <c r="AA17" s="259"/>
      <c r="AB17" s="255"/>
      <c r="AC17" s="255"/>
      <c r="AD17" s="255"/>
      <c r="AE17" s="255"/>
      <c r="AF17" s="255"/>
      <c r="AG17" s="255"/>
      <c r="AH17" s="255"/>
      <c r="AI17" s="255"/>
      <c r="AJ17" s="255"/>
      <c r="AK17" s="255"/>
      <c r="AL17" s="255"/>
      <c r="AM17" s="255"/>
      <c r="AN17" s="260"/>
      <c r="AO17" s="260"/>
    </row>
    <row r="18" spans="1:41" s="261" customFormat="1" ht="12" customHeight="1">
      <c r="A18" s="255"/>
      <c r="B18" s="255"/>
      <c r="C18" s="224"/>
      <c r="D18" s="224"/>
      <c r="E18" s="224"/>
      <c r="F18" s="224"/>
      <c r="G18" s="458"/>
      <c r="H18" s="224"/>
      <c r="I18" s="224"/>
      <c r="J18" s="255"/>
      <c r="K18" s="371" t="s">
        <v>456</v>
      </c>
      <c r="L18" s="50" t="s">
        <v>25</v>
      </c>
      <c r="M18" s="343">
        <v>2685.19</v>
      </c>
      <c r="N18" s="344">
        <v>9.7880000000000003</v>
      </c>
      <c r="O18" s="202" t="s">
        <v>555</v>
      </c>
      <c r="P18" s="255"/>
      <c r="Q18" s="268" t="s">
        <v>94</v>
      </c>
      <c r="R18" s="269" t="s">
        <v>25</v>
      </c>
      <c r="S18" s="344">
        <v>7.0410000000000004</v>
      </c>
      <c r="T18" s="344">
        <v>14.648</v>
      </c>
      <c r="U18" s="258"/>
      <c r="V18" s="429"/>
      <c r="W18" s="259"/>
      <c r="X18" s="259"/>
      <c r="Y18" s="259"/>
      <c r="Z18" s="258"/>
      <c r="AA18" s="259"/>
      <c r="AB18" s="255"/>
      <c r="AC18" s="255"/>
      <c r="AD18" s="255"/>
      <c r="AE18" s="255"/>
      <c r="AF18" s="255"/>
      <c r="AG18" s="255"/>
      <c r="AH18" s="255"/>
      <c r="AI18" s="255"/>
      <c r="AJ18" s="255"/>
      <c r="AK18" s="255"/>
      <c r="AL18" s="255"/>
      <c r="AM18" s="255"/>
      <c r="AN18" s="260"/>
      <c r="AO18" s="260"/>
    </row>
    <row r="19" spans="1:41" s="261" customFormat="1" ht="12" customHeight="1">
      <c r="A19" s="255"/>
      <c r="B19" s="255"/>
      <c r="C19" s="224"/>
      <c r="D19" s="224"/>
      <c r="E19" s="224"/>
      <c r="F19" s="224"/>
      <c r="G19" s="224"/>
      <c r="H19" s="224"/>
      <c r="I19" s="224"/>
      <c r="J19" s="255"/>
      <c r="K19" s="406"/>
      <c r="L19" s="407"/>
      <c r="M19" s="408"/>
      <c r="N19" s="409"/>
      <c r="O19" s="255"/>
      <c r="P19" s="255"/>
      <c r="Q19" s="271" t="s">
        <v>95</v>
      </c>
      <c r="R19" s="269" t="s">
        <v>25</v>
      </c>
      <c r="S19" s="344">
        <v>6.859</v>
      </c>
      <c r="T19" s="344">
        <v>14.641</v>
      </c>
      <c r="U19" s="258"/>
      <c r="V19" s="410"/>
      <c r="W19" s="259"/>
      <c r="X19" s="259"/>
      <c r="Y19" s="259"/>
      <c r="Z19" s="258"/>
      <c r="AA19" s="259"/>
      <c r="AB19" s="255"/>
      <c r="AC19" s="255"/>
      <c r="AD19" s="255"/>
      <c r="AE19" s="255"/>
      <c r="AF19" s="255"/>
      <c r="AG19" s="255"/>
      <c r="AH19" s="255"/>
      <c r="AI19" s="255"/>
      <c r="AJ19" s="255"/>
      <c r="AK19" s="255"/>
      <c r="AL19" s="255"/>
      <c r="AM19" s="255"/>
      <c r="AN19" s="260"/>
      <c r="AO19" s="260"/>
    </row>
    <row r="20" spans="1:41">
      <c r="A20" s="7"/>
      <c r="B20" s="7"/>
      <c r="C20" s="7"/>
      <c r="D20" s="7"/>
      <c r="E20" s="7"/>
      <c r="F20" s="7"/>
      <c r="G20" s="7"/>
      <c r="H20" s="7"/>
      <c r="I20" s="7"/>
      <c r="J20" s="7"/>
      <c r="K20" s="7"/>
      <c r="L20" s="7"/>
      <c r="M20" s="19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row>
    <row r="21" spans="1:41" ht="23.25">
      <c r="A21" s="474"/>
      <c r="B21" s="14" t="s">
        <v>3</v>
      </c>
      <c r="C21" s="227" t="s">
        <v>2</v>
      </c>
      <c r="E21" s="6" t="s">
        <v>484</v>
      </c>
      <c r="I21" s="34"/>
      <c r="AC21" s="6"/>
      <c r="AD21" s="6"/>
      <c r="AE21" s="6"/>
      <c r="AF21" s="6"/>
      <c r="AG21" s="6"/>
      <c r="AH21" s="6"/>
      <c r="AI21" s="6"/>
      <c r="AJ21" s="6"/>
      <c r="AK21" s="6"/>
      <c r="AL21" s="6"/>
      <c r="AM21" s="6"/>
      <c r="AN21" s="7"/>
      <c r="AO21" s="7"/>
    </row>
    <row r="22" spans="1:41">
      <c r="B22" s="14" t="s">
        <v>12</v>
      </c>
      <c r="C22" s="92" t="s">
        <v>36</v>
      </c>
      <c r="AC22" s="6"/>
      <c r="AD22" s="6"/>
      <c r="AE22" s="6"/>
      <c r="AF22" s="6"/>
      <c r="AG22" s="6"/>
      <c r="AH22" s="6"/>
      <c r="AI22" s="6"/>
      <c r="AJ22" s="6"/>
      <c r="AK22" s="6"/>
      <c r="AL22" s="6"/>
      <c r="AM22" s="6"/>
      <c r="AN22" s="7"/>
      <c r="AO22" s="7"/>
    </row>
    <row r="23" spans="1:41">
      <c r="B23" s="14" t="s">
        <v>37</v>
      </c>
      <c r="C23" s="280">
        <f>+TipoCambio!B5</f>
        <v>6.9100038587690529</v>
      </c>
      <c r="O23" s="202"/>
      <c r="P23" s="202"/>
      <c r="Q23" s="202"/>
      <c r="R23" s="202"/>
      <c r="S23" s="202"/>
      <c r="T23" s="202"/>
      <c r="U23" s="202"/>
      <c r="V23" s="202"/>
      <c r="W23" s="202"/>
      <c r="X23" s="202"/>
      <c r="AA23" s="6" t="s">
        <v>198</v>
      </c>
      <c r="AC23" s="6"/>
      <c r="AD23" s="6"/>
      <c r="AE23" s="6"/>
      <c r="AF23" s="6"/>
      <c r="AG23" s="6"/>
      <c r="AH23" s="6"/>
      <c r="AI23" s="6"/>
      <c r="AJ23" s="6"/>
      <c r="AK23" s="6"/>
      <c r="AL23" s="6"/>
      <c r="AM23" s="6"/>
      <c r="AN23" s="7"/>
      <c r="AO23" s="7"/>
    </row>
    <row r="24" spans="1:41" ht="36" customHeight="1">
      <c r="A24" s="34"/>
      <c r="B24" s="14" t="s">
        <v>15</v>
      </c>
      <c r="C24" s="264">
        <f>Resumen!D8</f>
        <v>44896</v>
      </c>
      <c r="K24"/>
      <c r="O24" s="202"/>
      <c r="P24" s="202"/>
      <c r="R24" s="202"/>
      <c r="S24" s="202"/>
      <c r="T24" s="202"/>
      <c r="U24" s="202"/>
      <c r="W24" s="202"/>
      <c r="X24" s="202"/>
      <c r="AA24" s="6" t="s">
        <v>195</v>
      </c>
      <c r="AC24" s="6"/>
      <c r="AD24" s="6"/>
      <c r="AE24" s="6"/>
      <c r="AF24" s="6"/>
      <c r="AG24" s="6"/>
      <c r="AH24" s="6"/>
      <c r="AI24" s="6"/>
      <c r="AJ24" s="6"/>
      <c r="AK24" s="6"/>
      <c r="AL24" s="6"/>
      <c r="AM24" s="6"/>
      <c r="AN24" s="7"/>
      <c r="AO24" s="7"/>
    </row>
    <row r="25" spans="1:41" ht="18">
      <c r="C25" s="18" t="s">
        <v>486</v>
      </c>
      <c r="K25" s="106" t="s">
        <v>503</v>
      </c>
      <c r="O25" s="202"/>
      <c r="P25" s="202"/>
      <c r="Q25" s="203" t="s">
        <v>496</v>
      </c>
      <c r="R25" s="204"/>
      <c r="S25" s="204"/>
      <c r="T25" s="204"/>
      <c r="U25" s="203" t="s">
        <v>497</v>
      </c>
      <c r="Y25" s="177"/>
      <c r="AA25" s="6" t="s">
        <v>196</v>
      </c>
      <c r="AC25" s="6"/>
      <c r="AD25" s="6"/>
      <c r="AE25" s="6"/>
      <c r="AF25" s="6"/>
      <c r="AG25" s="6"/>
      <c r="AH25" s="6"/>
      <c r="AI25" s="6"/>
      <c r="AJ25" s="6"/>
      <c r="AK25" s="6"/>
      <c r="AL25" s="6"/>
      <c r="AM25" s="6"/>
      <c r="AN25" s="7"/>
      <c r="AO25" s="7"/>
    </row>
    <row r="26" spans="1:41" ht="15.75">
      <c r="B26" s="19" t="s">
        <v>21</v>
      </c>
      <c r="K26" s="18" t="s">
        <v>485</v>
      </c>
      <c r="O26" s="205"/>
      <c r="P26" s="205"/>
      <c r="Q26" s="204"/>
      <c r="R26" s="204"/>
      <c r="S26" s="204"/>
      <c r="T26" s="204"/>
      <c r="V26" s="204"/>
      <c r="W26" s="204"/>
      <c r="Y26" s="177"/>
      <c r="AA26" s="6" t="s">
        <v>197</v>
      </c>
      <c r="AC26" s="6"/>
      <c r="AD26" s="6"/>
      <c r="AE26" s="6"/>
      <c r="AF26" s="6"/>
      <c r="AG26" s="6"/>
      <c r="AH26" s="6"/>
      <c r="AI26" s="6"/>
      <c r="AJ26" s="6"/>
      <c r="AK26" s="6"/>
      <c r="AL26" s="6"/>
      <c r="AM26" s="6"/>
      <c r="AN26" s="7"/>
      <c r="AO26" s="7"/>
    </row>
    <row r="27" spans="1:41" ht="33.75" customHeight="1">
      <c r="C27" s="492" t="s">
        <v>11</v>
      </c>
      <c r="D27" s="493"/>
      <c r="E27" s="493"/>
      <c r="F27" s="493"/>
      <c r="G27" s="493"/>
      <c r="H27" s="493"/>
      <c r="I27" s="494"/>
      <c r="J27" s="42"/>
      <c r="K27" s="105" t="s">
        <v>20</v>
      </c>
      <c r="L27" s="105" t="s">
        <v>0</v>
      </c>
      <c r="M27" s="105" t="s">
        <v>279</v>
      </c>
      <c r="N27" s="42"/>
      <c r="O27" s="206"/>
      <c r="P27" s="206"/>
      <c r="Q27" s="218" t="s">
        <v>20</v>
      </c>
      <c r="R27" s="218" t="s">
        <v>0</v>
      </c>
      <c r="S27" s="218" t="s">
        <v>287</v>
      </c>
      <c r="T27" s="207"/>
      <c r="U27" s="218" t="s">
        <v>20</v>
      </c>
      <c r="V27" s="218" t="s">
        <v>0</v>
      </c>
      <c r="W27" s="218" t="s">
        <v>280</v>
      </c>
      <c r="Y27" s="178"/>
      <c r="AA27" s="6" t="s">
        <v>286</v>
      </c>
      <c r="AC27" s="6"/>
      <c r="AD27" s="6"/>
      <c r="AE27" s="6"/>
      <c r="AF27" s="6"/>
      <c r="AG27" s="6"/>
      <c r="AH27" s="6"/>
      <c r="AI27" s="6"/>
      <c r="AJ27" s="6"/>
      <c r="AK27" s="6"/>
      <c r="AL27" s="6"/>
      <c r="AM27" s="6"/>
      <c r="AN27" s="7"/>
      <c r="AO27" s="7"/>
    </row>
    <row r="28" spans="1:41">
      <c r="C28" s="22">
        <v>30</v>
      </c>
      <c r="D28" s="22">
        <v>65</v>
      </c>
      <c r="E28" s="22">
        <v>125</v>
      </c>
      <c r="F28" s="22">
        <v>300</v>
      </c>
      <c r="G28" s="41">
        <v>1000</v>
      </c>
      <c r="H28" s="222">
        <v>50000</v>
      </c>
      <c r="I28" s="222">
        <v>500000</v>
      </c>
      <c r="J28" s="43"/>
      <c r="K28" s="20" t="s">
        <v>26</v>
      </c>
      <c r="L28" s="1" t="s">
        <v>40</v>
      </c>
      <c r="M28" s="200">
        <v>23.628</v>
      </c>
      <c r="N28" s="201"/>
      <c r="O28" s="201"/>
      <c r="P28" s="208"/>
      <c r="Q28" s="220" t="s">
        <v>96</v>
      </c>
      <c r="R28" s="220" t="s">
        <v>158</v>
      </c>
      <c r="S28" s="382">
        <v>465.00200000000001</v>
      </c>
      <c r="T28" s="263"/>
      <c r="U28" s="435" t="s">
        <v>96</v>
      </c>
      <c r="V28" s="220" t="s">
        <v>158</v>
      </c>
      <c r="W28" s="382">
        <v>465.00200000000001</v>
      </c>
      <c r="Y28" s="179"/>
      <c r="AA28" s="175">
        <v>88736.804763832188</v>
      </c>
      <c r="AB28" s="176">
        <f>AA28/920.8</f>
        <v>96.369249309114025</v>
      </c>
      <c r="AC28" s="6">
        <v>96.369249309114025</v>
      </c>
      <c r="AD28" s="6"/>
      <c r="AE28" s="6"/>
      <c r="AF28" s="6"/>
      <c r="AG28" s="6"/>
      <c r="AH28" s="6"/>
      <c r="AI28" s="6"/>
      <c r="AJ28" s="6"/>
      <c r="AK28" s="6"/>
      <c r="AL28" s="6"/>
      <c r="AM28" s="6"/>
      <c r="AN28" s="7"/>
      <c r="AO28" s="7"/>
    </row>
    <row r="29" spans="1:41">
      <c r="B29" s="8" t="s">
        <v>38</v>
      </c>
      <c r="C29" s="21">
        <f>+C33/C28</f>
        <v>0.76249999999999996</v>
      </c>
      <c r="D29" s="21">
        <f>+D33/D28</f>
        <v>0.61996153846153845</v>
      </c>
      <c r="E29" s="21">
        <f>+E32/E28</f>
        <v>0.75191999999999992</v>
      </c>
      <c r="F29" s="21">
        <f>+F32/F28</f>
        <v>0.70469999999999999</v>
      </c>
      <c r="G29" s="21">
        <f>+G32/G28</f>
        <v>0.76121000000000005</v>
      </c>
      <c r="H29" s="21">
        <f>+H32/H28</f>
        <v>1.35876288</v>
      </c>
      <c r="I29" s="21">
        <f>+I32/I28</f>
        <v>1.2758849144</v>
      </c>
      <c r="J29" s="33"/>
      <c r="K29" s="304" t="s">
        <v>504</v>
      </c>
      <c r="L29" s="1" t="s">
        <v>157</v>
      </c>
      <c r="M29" s="200">
        <v>0.65</v>
      </c>
      <c r="N29" s="433"/>
      <c r="O29" s="380"/>
      <c r="P29" s="209"/>
      <c r="Q29" s="219" t="s">
        <v>498</v>
      </c>
      <c r="R29" s="220" t="s">
        <v>159</v>
      </c>
      <c r="S29" s="382">
        <v>0.85099999999999998</v>
      </c>
      <c r="T29" s="216"/>
      <c r="U29" s="219" t="s">
        <v>498</v>
      </c>
      <c r="V29" s="220" t="s">
        <v>159</v>
      </c>
      <c r="W29" s="382">
        <v>0.99099999999999999</v>
      </c>
      <c r="Y29" s="179"/>
      <c r="AA29" s="175">
        <v>281226.78830894287</v>
      </c>
      <c r="AB29" s="175">
        <f>AA29/920.8</f>
        <v>305.41571275949485</v>
      </c>
      <c r="AC29" s="6">
        <v>305.41571275949485</v>
      </c>
      <c r="AD29" s="6"/>
      <c r="AE29" s="6"/>
      <c r="AF29" s="6"/>
      <c r="AG29" s="6"/>
      <c r="AH29" s="6"/>
      <c r="AI29" s="6"/>
      <c r="AJ29" s="6"/>
      <c r="AK29" s="6"/>
      <c r="AL29" s="6"/>
      <c r="AM29" s="6"/>
      <c r="AN29" s="7"/>
      <c r="AO29" s="7"/>
    </row>
    <row r="30" spans="1:41">
      <c r="B30" s="8" t="s">
        <v>1</v>
      </c>
      <c r="C30" s="21">
        <f t="shared" ref="C30:I30" si="0">+C29/$C$23*100</f>
        <v>11.034726109919013</v>
      </c>
      <c r="D30" s="21">
        <f t="shared" si="0"/>
        <v>8.9719420007961936</v>
      </c>
      <c r="E30" s="21">
        <f t="shared" si="0"/>
        <v>10.881614762715152</v>
      </c>
      <c r="F30" s="21">
        <f t="shared" si="0"/>
        <v>10.198257691357284</v>
      </c>
      <c r="G30" s="21">
        <f t="shared" si="0"/>
        <v>11.016057524106824</v>
      </c>
      <c r="H30" s="180">
        <f>+H29/$C$23*100</f>
        <v>19.663706529999679</v>
      </c>
      <c r="I30" s="180">
        <f t="shared" si="0"/>
        <v>18.464315512369133</v>
      </c>
      <c r="J30" s="33"/>
      <c r="K30" s="304" t="s">
        <v>505</v>
      </c>
      <c r="L30" s="1" t="s">
        <v>157</v>
      </c>
      <c r="M30" s="200">
        <v>0.66300000000000003</v>
      </c>
      <c r="N30" s="201"/>
      <c r="O30" s="213"/>
      <c r="P30" s="213"/>
      <c r="Q30" s="219" t="s">
        <v>499</v>
      </c>
      <c r="R30" s="220" t="s">
        <v>159</v>
      </c>
      <c r="S30" s="382">
        <v>0.70799999999999996</v>
      </c>
      <c r="T30" s="216"/>
      <c r="U30" s="219" t="s">
        <v>499</v>
      </c>
      <c r="V30" s="220" t="s">
        <v>159</v>
      </c>
      <c r="W30" s="382">
        <v>0.85099999999999998</v>
      </c>
      <c r="Y30" s="179"/>
      <c r="AA30" s="175">
        <v>130036.40692722493</v>
      </c>
      <c r="AB30" s="6">
        <f>AA30/920.8</f>
        <v>141.22111959950581</v>
      </c>
      <c r="AC30" s="6">
        <v>141.22111959950581</v>
      </c>
      <c r="AD30" s="6"/>
      <c r="AE30" s="6"/>
      <c r="AF30" s="6"/>
      <c r="AG30" s="6"/>
      <c r="AH30" s="6"/>
      <c r="AI30" s="6"/>
      <c r="AJ30" s="6"/>
      <c r="AK30" s="6"/>
      <c r="AL30" s="6"/>
      <c r="AM30" s="6"/>
      <c r="AN30" s="7"/>
      <c r="AO30" s="7"/>
    </row>
    <row r="31" spans="1:41">
      <c r="K31" s="304" t="s">
        <v>506</v>
      </c>
      <c r="L31" s="1" t="s">
        <v>157</v>
      </c>
      <c r="M31" s="200">
        <v>0.69</v>
      </c>
      <c r="N31" s="201"/>
      <c r="O31" s="214"/>
      <c r="P31" s="214"/>
      <c r="Q31" s="219" t="s">
        <v>500</v>
      </c>
      <c r="R31" s="220" t="s">
        <v>159</v>
      </c>
      <c r="S31" s="382">
        <v>0.56599999999999995</v>
      </c>
      <c r="T31" s="216"/>
      <c r="U31" s="219" t="s">
        <v>500</v>
      </c>
      <c r="V31" s="220" t="s">
        <v>159</v>
      </c>
      <c r="W31" s="382">
        <v>0.70799999999999996</v>
      </c>
      <c r="Y31" s="179"/>
      <c r="AA31" s="175">
        <f>SUM(AA28:AA30)</f>
        <v>500000</v>
      </c>
      <c r="AC31" s="6"/>
      <c r="AD31" s="6"/>
      <c r="AE31" s="6"/>
      <c r="AF31" s="6"/>
      <c r="AG31" s="6"/>
      <c r="AH31" s="6"/>
      <c r="AI31" s="6"/>
      <c r="AJ31" s="6"/>
      <c r="AK31" s="6"/>
      <c r="AL31" s="6"/>
      <c r="AM31" s="6"/>
      <c r="AN31" s="7"/>
      <c r="AO31" s="7"/>
    </row>
    <row r="32" spans="1:41">
      <c r="B32" s="275" t="s">
        <v>317</v>
      </c>
      <c r="C32" s="383">
        <v>30.5</v>
      </c>
      <c r="D32" s="383">
        <v>53.73</v>
      </c>
      <c r="E32" s="383">
        <v>93.99</v>
      </c>
      <c r="F32" s="383">
        <v>211.41</v>
      </c>
      <c r="G32" s="384">
        <v>761.21</v>
      </c>
      <c r="H32" s="347">
        <f>465.002+0.851*5000+45000*1.133+153.9*72.98+42.8*23.4</f>
        <v>67938.144</v>
      </c>
      <c r="I32" s="347">
        <f>465.002+0.991*5000+495000*1.141+920.8*69.449+256*14.761</f>
        <v>637942.45719999995</v>
      </c>
      <c r="J32" s="202"/>
      <c r="K32" s="304" t="s">
        <v>507</v>
      </c>
      <c r="L32" s="1" t="s">
        <v>157</v>
      </c>
      <c r="M32" s="200">
        <v>0.72299999999999998</v>
      </c>
      <c r="N32" s="201"/>
      <c r="O32" s="214"/>
      <c r="P32" s="214"/>
      <c r="Q32" s="219" t="s">
        <v>281</v>
      </c>
      <c r="R32" s="220" t="s">
        <v>159</v>
      </c>
      <c r="S32" s="382">
        <v>1.133</v>
      </c>
      <c r="T32" s="216"/>
      <c r="U32" s="219" t="s">
        <v>281</v>
      </c>
      <c r="V32" s="220" t="s">
        <v>159</v>
      </c>
      <c r="W32" s="382">
        <v>1.141</v>
      </c>
      <c r="Y32" s="179"/>
      <c r="AC32" s="6"/>
      <c r="AD32" s="6"/>
      <c r="AE32" s="6"/>
      <c r="AF32" s="6"/>
      <c r="AG32" s="6"/>
      <c r="AH32" s="6"/>
      <c r="AI32" s="6"/>
      <c r="AJ32" s="6"/>
      <c r="AK32" s="6"/>
      <c r="AL32" s="6"/>
      <c r="AM32" s="6"/>
      <c r="AN32" s="7"/>
      <c r="AO32" s="7"/>
    </row>
    <row r="33" spans="1:41">
      <c r="B33" s="275" t="s">
        <v>318</v>
      </c>
      <c r="C33" s="441">
        <f>C32*0.75</f>
        <v>22.875</v>
      </c>
      <c r="D33" s="441">
        <f>D32*0.75</f>
        <v>40.297499999999999</v>
      </c>
      <c r="E33" s="202"/>
      <c r="F33" s="202"/>
      <c r="G33" s="202"/>
      <c r="H33" s="202" t="s">
        <v>433</v>
      </c>
      <c r="I33" s="202"/>
      <c r="K33" s="304" t="s">
        <v>508</v>
      </c>
      <c r="L33" s="1" t="s">
        <v>157</v>
      </c>
      <c r="M33" s="200">
        <v>0.73</v>
      </c>
      <c r="N33" s="201"/>
      <c r="O33" s="214"/>
      <c r="P33" s="214"/>
      <c r="Q33" s="219" t="s">
        <v>282</v>
      </c>
      <c r="R33" s="220" t="s">
        <v>159</v>
      </c>
      <c r="S33" s="382">
        <v>1.0609999999999999</v>
      </c>
      <c r="T33" s="216"/>
      <c r="U33" s="219" t="s">
        <v>282</v>
      </c>
      <c r="V33" s="220" t="s">
        <v>159</v>
      </c>
      <c r="W33" s="382">
        <v>0.98899999999999999</v>
      </c>
      <c r="Y33" s="179"/>
      <c r="AA33" s="6">
        <v>8394.0464829284356</v>
      </c>
      <c r="AB33" s="6">
        <v>79.189117763475807</v>
      </c>
      <c r="AC33" s="6"/>
      <c r="AD33" s="6"/>
      <c r="AE33" s="6"/>
      <c r="AF33" s="6"/>
      <c r="AG33" s="6"/>
      <c r="AH33" s="6"/>
      <c r="AI33" s="6"/>
      <c r="AJ33" s="6"/>
      <c r="AK33" s="6"/>
      <c r="AL33" s="6"/>
      <c r="AM33" s="6"/>
      <c r="AN33" s="7"/>
      <c r="AO33" s="7"/>
    </row>
    <row r="34" spans="1:41">
      <c r="B34" s="202"/>
      <c r="H34" s="202"/>
      <c r="I34" s="202"/>
      <c r="J34" s="202"/>
      <c r="K34" s="202"/>
      <c r="L34" s="4"/>
      <c r="M34" s="221"/>
      <c r="N34" s="201"/>
      <c r="O34" s="214"/>
      <c r="P34" s="214"/>
      <c r="Q34" s="219" t="s">
        <v>283</v>
      </c>
      <c r="R34" s="220" t="s">
        <v>159</v>
      </c>
      <c r="S34" s="382">
        <v>0.83299999999999996</v>
      </c>
      <c r="T34" s="216"/>
      <c r="U34" s="219" t="s">
        <v>283</v>
      </c>
      <c r="V34" s="220" t="s">
        <v>159</v>
      </c>
      <c r="W34" s="382">
        <v>0.81599999999999995</v>
      </c>
      <c r="Y34" s="179"/>
      <c r="AA34" s="6">
        <v>16723.857467231621</v>
      </c>
      <c r="AB34" s="6">
        <v>157.77224025690208</v>
      </c>
      <c r="AC34" s="6"/>
      <c r="AD34" s="6"/>
      <c r="AE34" s="6"/>
      <c r="AF34" s="6"/>
      <c r="AG34" s="6"/>
      <c r="AH34" s="6"/>
      <c r="AI34" s="6"/>
      <c r="AJ34" s="6"/>
      <c r="AK34" s="6"/>
      <c r="AL34" s="6"/>
      <c r="AM34" s="6"/>
      <c r="AN34" s="7"/>
      <c r="AO34" s="7"/>
    </row>
    <row r="35" spans="1:41">
      <c r="B35" s="202" t="s">
        <v>509</v>
      </c>
      <c r="H35" s="202"/>
      <c r="I35" s="202"/>
      <c r="J35" s="202"/>
      <c r="K35" s="202"/>
      <c r="L35" s="4"/>
      <c r="M35" s="221"/>
      <c r="N35" s="201"/>
      <c r="O35" s="214"/>
      <c r="P35" s="214"/>
      <c r="Q35" s="220" t="s">
        <v>284</v>
      </c>
      <c r="R35" s="220" t="s">
        <v>160</v>
      </c>
      <c r="S35" s="382">
        <v>72.097999999999999</v>
      </c>
      <c r="T35" s="216"/>
      <c r="U35" s="1" t="s">
        <v>284</v>
      </c>
      <c r="V35" s="220" t="s">
        <v>160</v>
      </c>
      <c r="W35" s="382">
        <v>69.448999999999998</v>
      </c>
      <c r="Y35" s="179"/>
      <c r="AA35" s="6">
        <v>4882.0960498399381</v>
      </c>
      <c r="AB35" s="6">
        <v>46.057509904150358</v>
      </c>
      <c r="AC35" s="6"/>
      <c r="AD35" s="6"/>
      <c r="AE35" s="6"/>
      <c r="AF35" s="6"/>
      <c r="AG35" s="6"/>
      <c r="AH35" s="6"/>
      <c r="AI35" s="6"/>
      <c r="AJ35" s="6"/>
      <c r="AK35" s="6"/>
      <c r="AL35" s="6"/>
      <c r="AM35" s="6"/>
      <c r="AN35" s="7"/>
      <c r="AO35" s="7"/>
    </row>
    <row r="36" spans="1:41">
      <c r="G36" s="202"/>
      <c r="H36" s="202"/>
      <c r="I36" s="202"/>
      <c r="J36" s="202"/>
      <c r="K36" s="202"/>
      <c r="L36" s="4"/>
      <c r="M36" s="425"/>
      <c r="N36" s="201"/>
      <c r="O36" s="214"/>
      <c r="P36" s="214"/>
      <c r="Q36" s="220" t="s">
        <v>285</v>
      </c>
      <c r="R36" s="220" t="s">
        <v>160</v>
      </c>
      <c r="S36" s="382">
        <v>23.420999999999999</v>
      </c>
      <c r="T36" s="216"/>
      <c r="U36" s="220" t="s">
        <v>285</v>
      </c>
      <c r="V36" s="220" t="s">
        <v>160</v>
      </c>
      <c r="W36" s="382">
        <v>14.760999999999999</v>
      </c>
      <c r="Y36" s="179"/>
      <c r="AC36" s="6"/>
      <c r="AD36" s="6"/>
      <c r="AE36" s="6"/>
      <c r="AF36" s="6"/>
      <c r="AG36" s="6"/>
      <c r="AH36" s="6"/>
      <c r="AI36" s="6"/>
      <c r="AJ36" s="6"/>
      <c r="AK36" s="6"/>
      <c r="AL36" s="6"/>
      <c r="AM36" s="6"/>
      <c r="AN36" s="7"/>
      <c r="AO36" s="7"/>
    </row>
    <row r="37" spans="1:41">
      <c r="G37" s="202"/>
      <c r="H37" s="202"/>
      <c r="I37" s="202"/>
      <c r="J37" s="202"/>
      <c r="K37" s="202"/>
      <c r="L37" s="4"/>
      <c r="M37" s="221"/>
      <c r="N37" s="201"/>
      <c r="O37" s="214"/>
      <c r="P37" s="214"/>
      <c r="Q37" s="210"/>
      <c r="R37" s="210"/>
      <c r="S37" s="211"/>
      <c r="T37" s="216"/>
      <c r="U37" s="212"/>
      <c r="V37" s="210"/>
      <c r="W37" s="210"/>
      <c r="X37" s="211"/>
      <c r="Y37" s="179"/>
      <c r="AC37" s="6"/>
      <c r="AD37" s="6"/>
      <c r="AE37" s="6"/>
      <c r="AF37" s="6"/>
      <c r="AG37" s="6"/>
      <c r="AH37" s="6"/>
      <c r="AI37" s="6"/>
      <c r="AJ37" s="6"/>
      <c r="AK37" s="6"/>
      <c r="AL37" s="6"/>
      <c r="AM37" s="6"/>
      <c r="AN37" s="7"/>
      <c r="AO37" s="7"/>
    </row>
    <row r="38" spans="1:41">
      <c r="G38" s="202"/>
      <c r="H38" s="202"/>
      <c r="I38" s="202"/>
      <c r="J38" s="202"/>
      <c r="K38" s="202"/>
      <c r="L38" s="4"/>
      <c r="M38" s="221"/>
      <c r="N38" s="201"/>
      <c r="O38" s="214"/>
      <c r="P38" s="214"/>
      <c r="Q38" s="436" t="s">
        <v>501</v>
      </c>
      <c r="R38" s="499" t="s">
        <v>502</v>
      </c>
      <c r="S38" s="500"/>
      <c r="T38" s="500"/>
      <c r="U38" s="500"/>
      <c r="V38" s="500"/>
      <c r="W38" s="210"/>
      <c r="X38" s="211"/>
      <c r="Y38" s="179"/>
      <c r="AC38" s="6"/>
      <c r="AD38" s="6"/>
      <c r="AE38" s="6"/>
      <c r="AF38" s="6"/>
      <c r="AG38" s="6"/>
      <c r="AH38" s="6"/>
      <c r="AI38" s="6"/>
      <c r="AJ38" s="6"/>
      <c r="AK38" s="6"/>
      <c r="AL38" s="6"/>
      <c r="AM38" s="6"/>
      <c r="AN38" s="7"/>
      <c r="AO38" s="7"/>
    </row>
    <row r="39" spans="1:41">
      <c r="G39" s="202"/>
      <c r="H39" s="202"/>
      <c r="I39" s="202"/>
      <c r="J39" s="202"/>
      <c r="K39" s="202"/>
      <c r="N39" s="201"/>
      <c r="O39" s="214"/>
      <c r="P39" s="214"/>
      <c r="Q39" s="215"/>
      <c r="R39" s="215"/>
      <c r="S39" s="216"/>
      <c r="T39" s="216"/>
      <c r="U39" s="214"/>
      <c r="V39" s="215"/>
      <c r="W39" s="215"/>
      <c r="X39" s="216"/>
      <c r="Y39" s="172"/>
      <c r="AC39" s="6"/>
      <c r="AD39" s="6"/>
      <c r="AE39" s="6"/>
      <c r="AF39" s="6"/>
      <c r="AG39" s="6"/>
      <c r="AH39" s="6"/>
      <c r="AI39" s="6"/>
      <c r="AJ39" s="6"/>
      <c r="AK39" s="6"/>
      <c r="AL39" s="6"/>
      <c r="AM39" s="6"/>
      <c r="AN39" s="7"/>
      <c r="AO39" s="7"/>
    </row>
    <row r="40" spans="1:41">
      <c r="A40" s="7"/>
      <c r="B40" s="7"/>
      <c r="C40" s="7"/>
      <c r="D40" s="7"/>
      <c r="E40" s="7"/>
      <c r="F40" s="7"/>
      <c r="G40" s="7"/>
      <c r="H40" s="7"/>
      <c r="I40" s="7"/>
      <c r="J40" s="7"/>
      <c r="K40" s="7"/>
      <c r="L40" s="7"/>
      <c r="M40" s="7"/>
      <c r="N40" s="7"/>
      <c r="O40" s="217"/>
      <c r="P40" s="217"/>
      <c r="Q40" s="217"/>
      <c r="R40" s="217"/>
      <c r="S40" s="217"/>
      <c r="T40" s="217"/>
      <c r="U40" s="217"/>
      <c r="V40" s="217"/>
      <c r="W40" s="217"/>
      <c r="X40" s="217"/>
      <c r="Y40" s="7"/>
      <c r="Z40" s="7"/>
      <c r="AA40" s="7"/>
      <c r="AB40" s="7"/>
      <c r="AC40" s="7"/>
      <c r="AD40" s="7"/>
      <c r="AE40" s="7"/>
      <c r="AF40" s="7"/>
      <c r="AG40" s="7"/>
      <c r="AH40" s="7"/>
      <c r="AI40" s="7"/>
      <c r="AJ40" s="7"/>
      <c r="AK40" s="7"/>
      <c r="AL40" s="7"/>
      <c r="AM40" s="7"/>
      <c r="AN40" s="7"/>
      <c r="AO40" s="7"/>
    </row>
    <row r="41" spans="1:41" ht="23.25">
      <c r="A41" s="474"/>
      <c r="B41" s="14" t="s">
        <v>3</v>
      </c>
      <c r="C41" s="227" t="s">
        <v>41</v>
      </c>
      <c r="E41" s="6" t="s">
        <v>355</v>
      </c>
      <c r="V41" s="47"/>
      <c r="AC41" s="6"/>
      <c r="AD41" s="6"/>
      <c r="AE41" s="87"/>
      <c r="AF41" s="53"/>
      <c r="AG41" s="53"/>
      <c r="AH41" s="62"/>
      <c r="AI41" s="62"/>
      <c r="AJ41" s="62"/>
      <c r="AN41" s="7"/>
      <c r="AO41" s="7"/>
    </row>
    <row r="42" spans="1:41">
      <c r="A42" s="34"/>
      <c r="B42" s="14" t="s">
        <v>12</v>
      </c>
      <c r="C42" s="15" t="s">
        <v>42</v>
      </c>
      <c r="V42" s="47"/>
      <c r="AA42" s="6" t="s">
        <v>254</v>
      </c>
      <c r="AC42" s="6"/>
      <c r="AD42" s="6"/>
      <c r="AE42" s="153"/>
      <c r="AF42" s="53"/>
      <c r="AG42" s="53"/>
      <c r="AH42" s="62"/>
      <c r="AI42" s="62"/>
      <c r="AJ42" s="62"/>
      <c r="AN42" s="7"/>
      <c r="AO42" s="7"/>
    </row>
    <row r="43" spans="1:41">
      <c r="A43" s="34"/>
      <c r="B43" s="14" t="s">
        <v>161</v>
      </c>
      <c r="C43" s="278">
        <f>+TipoCambio!B6</f>
        <v>5.3179625699401889</v>
      </c>
      <c r="D43" s="193"/>
      <c r="E43" s="224"/>
      <c r="K43"/>
      <c r="Q43" s="18" t="s">
        <v>469</v>
      </c>
      <c r="V43" s="47"/>
      <c r="AC43" s="6"/>
      <c r="AD43" s="6"/>
      <c r="AE43" s="87"/>
      <c r="AF43" s="53"/>
      <c r="AG43" s="53"/>
      <c r="AH43" s="62"/>
      <c r="AI43" s="62"/>
      <c r="AJ43" s="62"/>
      <c r="AN43" s="7"/>
      <c r="AO43" s="7"/>
    </row>
    <row r="44" spans="1:41">
      <c r="A44" s="34"/>
      <c r="B44" s="14" t="s">
        <v>15</v>
      </c>
      <c r="C44" s="264">
        <f>Resumen!D9</f>
        <v>44896</v>
      </c>
      <c r="K44" s="18" t="s">
        <v>428</v>
      </c>
      <c r="N44" s="286"/>
      <c r="O44" s="286"/>
      <c r="AC44" s="6"/>
      <c r="AD44" s="6"/>
      <c r="AE44" s="53"/>
      <c r="AF44" s="53"/>
      <c r="AG44" s="53"/>
      <c r="AH44" s="62"/>
      <c r="AI44" s="62"/>
      <c r="AJ44" s="62"/>
      <c r="AN44" s="7"/>
      <c r="AO44" s="7"/>
    </row>
    <row r="45" spans="1:41" ht="18">
      <c r="A45" s="34"/>
      <c r="K45" s="106" t="s">
        <v>206</v>
      </c>
      <c r="Q45" s="106" t="s">
        <v>207</v>
      </c>
      <c r="Z45" s="89"/>
      <c r="AA45" s="53"/>
      <c r="AB45" s="53"/>
      <c r="AC45" s="53"/>
      <c r="AD45" s="53"/>
      <c r="AE45" s="53"/>
      <c r="AF45" s="62"/>
      <c r="AG45" s="62"/>
      <c r="AN45" s="7"/>
      <c r="AO45" s="7"/>
    </row>
    <row r="46" spans="1:41" ht="15.75">
      <c r="A46" s="34"/>
      <c r="B46" s="19" t="s">
        <v>21</v>
      </c>
      <c r="D46" s="350"/>
      <c r="E46" s="350"/>
      <c r="F46" s="350"/>
      <c r="H46" s="430"/>
      <c r="N46" s="193"/>
      <c r="Q46" s="416" t="s">
        <v>467</v>
      </c>
      <c r="S46" s="108"/>
      <c r="Z46" s="53"/>
      <c r="AA46" s="53"/>
      <c r="AB46" s="53"/>
      <c r="AC46" s="53"/>
      <c r="AD46" s="53"/>
      <c r="AE46" s="53"/>
      <c r="AF46" s="62"/>
      <c r="AG46" s="62"/>
      <c r="AN46" s="7"/>
      <c r="AO46" s="7"/>
    </row>
    <row r="47" spans="1:41" ht="22.5" customHeight="1">
      <c r="A47" s="34"/>
      <c r="C47" s="492" t="s">
        <v>11</v>
      </c>
      <c r="D47" s="493"/>
      <c r="E47" s="493"/>
      <c r="F47" s="493"/>
      <c r="G47" s="493"/>
      <c r="H47" s="493"/>
      <c r="I47" s="494"/>
      <c r="J47" s="42"/>
      <c r="K47" s="105" t="s">
        <v>237</v>
      </c>
      <c r="L47" s="105" t="s">
        <v>0</v>
      </c>
      <c r="M47" s="105" t="s">
        <v>98</v>
      </c>
      <c r="N47" s="241"/>
      <c r="O47" s="381"/>
      <c r="Q47" s="414" t="s">
        <v>20</v>
      </c>
      <c r="R47" s="414" t="s">
        <v>0</v>
      </c>
      <c r="S47" s="109" t="s">
        <v>432</v>
      </c>
      <c r="T47" s="442" t="s">
        <v>468</v>
      </c>
      <c r="U47" s="42"/>
      <c r="V47" s="42"/>
      <c r="Z47" s="53"/>
      <c r="AA47" s="53"/>
      <c r="AB47" s="53"/>
      <c r="AC47" s="53"/>
      <c r="AD47" s="53"/>
      <c r="AE47" s="53"/>
      <c r="AF47" s="62"/>
      <c r="AG47" s="62"/>
      <c r="AN47" s="7"/>
      <c r="AO47" s="7"/>
    </row>
    <row r="48" spans="1:41">
      <c r="A48" s="34"/>
      <c r="C48" s="22">
        <v>30</v>
      </c>
      <c r="D48" s="22">
        <v>65</v>
      </c>
      <c r="E48" s="22">
        <v>125</v>
      </c>
      <c r="F48" s="22">
        <v>300</v>
      </c>
      <c r="G48" s="41">
        <v>1000</v>
      </c>
      <c r="H48" s="41">
        <v>50000</v>
      </c>
      <c r="I48" s="41">
        <v>500000</v>
      </c>
      <c r="J48" s="43"/>
      <c r="K48" s="20" t="s">
        <v>44</v>
      </c>
      <c r="L48" s="8" t="s">
        <v>43</v>
      </c>
      <c r="M48" s="348">
        <f>0.35*M53</f>
        <v>0.24089799999999997</v>
      </c>
      <c r="N48" s="396">
        <f>+M48/M53</f>
        <v>0.35</v>
      </c>
      <c r="Q48" s="405" t="s">
        <v>464</v>
      </c>
      <c r="R48" s="52" t="s">
        <v>43</v>
      </c>
      <c r="S48" s="270">
        <v>0.495</v>
      </c>
      <c r="T48" s="443">
        <v>0.76139999999999997</v>
      </c>
      <c r="U48" s="419"/>
      <c r="V48" s="43"/>
      <c r="Z48" s="53"/>
      <c r="AA48" s="53"/>
      <c r="AB48" s="53"/>
      <c r="AC48" s="53"/>
      <c r="AD48" s="53"/>
      <c r="AE48" s="53"/>
      <c r="AF48" s="62"/>
      <c r="AG48" s="62"/>
      <c r="AN48" s="7"/>
      <c r="AO48" s="7"/>
    </row>
    <row r="49" spans="1:41">
      <c r="A49" s="34"/>
      <c r="B49" s="8" t="s">
        <v>43</v>
      </c>
      <c r="C49" s="21">
        <f>+M48</f>
        <v>0.24089799999999997</v>
      </c>
      <c r="D49" s="21">
        <f>+(30*M48+35*M49)/D48</f>
        <v>0.33355107692307689</v>
      </c>
      <c r="E49" s="149">
        <f>+(C48*M48+70*M49+25*M50)/E48</f>
        <v>0.41296799999999995</v>
      </c>
      <c r="F49" s="21">
        <f>+(C48*M48+70*M49+120*M50+80*M51)/F48</f>
        <v>0.55177113333333339</v>
      </c>
      <c r="G49" s="21">
        <f>+(C48*M48+70*M49+120*M50+780*M51)/G48</f>
        <v>0.64732733999999992</v>
      </c>
      <c r="H49" s="370">
        <f>(0.7614*S48+0.0942*S49+0.1444*S50)*H48/H48</f>
        <v>0.62893396000000001</v>
      </c>
      <c r="I49" s="370">
        <f>(0.7614*S48+0.0942*S49+0.1444*S50)*I48/I48</f>
        <v>0.62893396000000001</v>
      </c>
      <c r="J49" s="33"/>
      <c r="K49" s="304" t="s">
        <v>427</v>
      </c>
      <c r="L49" s="8" t="s">
        <v>43</v>
      </c>
      <c r="M49" s="348">
        <f>0.6*M53</f>
        <v>0.412968</v>
      </c>
      <c r="N49" s="396">
        <f>+M49/M53</f>
        <v>0.6</v>
      </c>
      <c r="Q49" s="269" t="s">
        <v>465</v>
      </c>
      <c r="R49" s="52" t="s">
        <v>43</v>
      </c>
      <c r="S49" s="270">
        <v>0.80100000000000005</v>
      </c>
      <c r="T49" s="443">
        <v>9.4200000000000006E-2</v>
      </c>
      <c r="U49" s="33"/>
      <c r="V49" s="33"/>
      <c r="Z49" s="53"/>
      <c r="AA49" s="53"/>
      <c r="AB49" s="53"/>
      <c r="AC49" s="53"/>
      <c r="AD49" s="53"/>
      <c r="AE49" s="53"/>
      <c r="AF49" s="62"/>
      <c r="AG49" s="62"/>
      <c r="AN49" s="7"/>
      <c r="AO49" s="7"/>
    </row>
    <row r="50" spans="1:41">
      <c r="A50" s="34"/>
      <c r="B50" s="8" t="s">
        <v>1</v>
      </c>
      <c r="C50" s="21">
        <f>+C49/$C$43*100</f>
        <v>4.5298927330116454</v>
      </c>
      <c r="D50" s="21">
        <f t="shared" ref="D50:I50" si="1">+D49/$C$43*100</f>
        <v>6.2721591687853557</v>
      </c>
      <c r="E50" s="21">
        <f t="shared" si="1"/>
        <v>7.7655303994485347</v>
      </c>
      <c r="F50" s="21">
        <f t="shared" si="1"/>
        <v>10.375611450374295</v>
      </c>
      <c r="G50" s="21">
        <f t="shared" si="1"/>
        <v>12.172468901135579</v>
      </c>
      <c r="H50" s="21">
        <f t="shared" si="1"/>
        <v>11.826596214780686</v>
      </c>
      <c r="I50" s="21">
        <f t="shared" si="1"/>
        <v>11.826596214780686</v>
      </c>
      <c r="J50" s="33"/>
      <c r="K50" s="304" t="s">
        <v>426</v>
      </c>
      <c r="L50" s="8" t="s">
        <v>43</v>
      </c>
      <c r="M50" s="348">
        <f>0.9*M53</f>
        <v>0.619452</v>
      </c>
      <c r="N50" s="396">
        <f>+M50/M53</f>
        <v>0.9</v>
      </c>
      <c r="O50" s="33"/>
      <c r="P50" s="33"/>
      <c r="Q50" s="269" t="s">
        <v>466</v>
      </c>
      <c r="R50" s="52" t="s">
        <v>43</v>
      </c>
      <c r="S50" s="445">
        <f>122.29/100</f>
        <v>1.2229000000000001</v>
      </c>
      <c r="T50" s="443">
        <v>0.1444</v>
      </c>
      <c r="U50" s="33"/>
      <c r="V50" s="33"/>
      <c r="AC50" s="6"/>
      <c r="AD50" s="6"/>
      <c r="AE50" s="6"/>
      <c r="AN50" s="7"/>
      <c r="AO50" s="7"/>
    </row>
    <row r="51" spans="1:41">
      <c r="A51" s="34"/>
      <c r="C51" s="274"/>
      <c r="D51" s="274"/>
      <c r="E51" s="349"/>
      <c r="F51" s="274"/>
      <c r="G51" s="274"/>
      <c r="H51" s="274"/>
      <c r="I51" s="274"/>
      <c r="K51" s="304" t="s">
        <v>425</v>
      </c>
      <c r="L51" s="8" t="s">
        <v>43</v>
      </c>
      <c r="M51" s="348">
        <f>+M53</f>
        <v>0.68828</v>
      </c>
      <c r="N51" s="396">
        <f>+M51/M53</f>
        <v>1</v>
      </c>
      <c r="S51" s="295"/>
      <c r="T51" s="418"/>
      <c r="W51" s="34"/>
      <c r="X51" s="34"/>
      <c r="Y51" s="34"/>
      <c r="Z51" s="34"/>
      <c r="AA51" s="34"/>
      <c r="AB51" s="34"/>
      <c r="AN51" s="7"/>
      <c r="AO51" s="7"/>
    </row>
    <row r="52" spans="1:41">
      <c r="A52" s="34"/>
      <c r="C52" s="272"/>
      <c r="D52" s="272"/>
      <c r="E52" s="272"/>
      <c r="F52" s="272"/>
      <c r="G52" s="272"/>
      <c r="H52" s="417"/>
      <c r="I52" s="272"/>
      <c r="K52" s="304"/>
      <c r="L52" s="8"/>
      <c r="M52" s="348"/>
      <c r="N52"/>
      <c r="W52" s="34"/>
      <c r="X52" s="34"/>
      <c r="Y52" s="34"/>
      <c r="Z52" s="34"/>
      <c r="AA52" s="34"/>
      <c r="AB52" s="34"/>
      <c r="AN52" s="7"/>
      <c r="AO52" s="7"/>
    </row>
    <row r="53" spans="1:41">
      <c r="A53" s="34"/>
      <c r="K53" s="126" t="s">
        <v>231</v>
      </c>
      <c r="L53" s="125" t="s">
        <v>43</v>
      </c>
      <c r="M53" s="397">
        <v>0.68828</v>
      </c>
      <c r="N53" s="295"/>
      <c r="W53" s="34"/>
      <c r="X53" s="34"/>
      <c r="Y53" s="34"/>
      <c r="Z53" s="34"/>
      <c r="AA53" s="34"/>
      <c r="AB53" s="34"/>
      <c r="AN53" s="7"/>
      <c r="AO53" s="7"/>
    </row>
    <row r="54" spans="1:41">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row>
    <row r="55" spans="1:41" ht="23.25">
      <c r="A55" s="474"/>
      <c r="B55" s="14" t="s">
        <v>3</v>
      </c>
      <c r="C55" s="227" t="s">
        <v>5</v>
      </c>
      <c r="D55" s="6" t="s">
        <v>439</v>
      </c>
      <c r="AC55" s="6"/>
      <c r="AD55" s="6"/>
      <c r="AE55" s="6"/>
      <c r="AF55" s="6"/>
      <c r="AG55" s="6"/>
      <c r="AH55" s="6"/>
      <c r="AI55" s="6"/>
      <c r="AJ55" s="6"/>
      <c r="AK55" s="6"/>
      <c r="AL55" s="6"/>
      <c r="AM55" s="6"/>
      <c r="AN55" s="7"/>
      <c r="AO55" s="7"/>
    </row>
    <row r="56" spans="1:41">
      <c r="A56" s="34"/>
      <c r="B56" s="14" t="s">
        <v>12</v>
      </c>
      <c r="C56" s="15" t="s">
        <v>22</v>
      </c>
      <c r="AC56" s="6"/>
      <c r="AD56" s="6"/>
      <c r="AE56" s="6"/>
      <c r="AF56" s="6"/>
      <c r="AG56" s="62"/>
      <c r="AH56" s="62"/>
      <c r="AI56" s="62"/>
      <c r="AJ56" s="62"/>
      <c r="AK56" s="62"/>
      <c r="AL56" s="62"/>
      <c r="AM56" s="62"/>
      <c r="AN56" s="61"/>
      <c r="AO56" s="7"/>
    </row>
    <row r="57" spans="1:41">
      <c r="B57" s="14" t="s">
        <v>23</v>
      </c>
      <c r="C57" s="277">
        <f>+TipoCambio!B7</f>
        <v>915.81000385876916</v>
      </c>
      <c r="D57" s="25"/>
      <c r="E57" s="242"/>
      <c r="M57"/>
      <c r="AC57" s="6"/>
      <c r="AD57" s="6"/>
      <c r="AE57" s="6"/>
      <c r="AF57" s="6"/>
      <c r="AG57" s="62"/>
      <c r="AH57" s="62"/>
      <c r="AI57" s="62"/>
      <c r="AJ57" s="62"/>
      <c r="AK57" s="62"/>
      <c r="AL57" s="62"/>
      <c r="AM57" s="62"/>
      <c r="AN57" s="61"/>
      <c r="AO57" s="7"/>
    </row>
    <row r="58" spans="1:41">
      <c r="B58" s="14" t="s">
        <v>15</v>
      </c>
      <c r="C58" s="264">
        <f>Resumen!D10</f>
        <v>44896</v>
      </c>
      <c r="M58" s="353" t="s">
        <v>481</v>
      </c>
      <c r="AA58" s="6" t="s">
        <v>253</v>
      </c>
      <c r="AC58" s="6"/>
      <c r="AD58" s="6"/>
      <c r="AE58" s="6"/>
      <c r="AF58" s="6"/>
      <c r="AG58" s="88"/>
      <c r="AH58" s="62"/>
      <c r="AI58" s="62"/>
      <c r="AJ58" s="62"/>
      <c r="AK58" s="62"/>
      <c r="AL58" s="62"/>
      <c r="AM58" s="62"/>
      <c r="AN58" s="61"/>
      <c r="AO58" s="7"/>
    </row>
    <row r="59" spans="1:41">
      <c r="M59" t="s">
        <v>520</v>
      </c>
      <c r="AB59" s="62"/>
      <c r="AC59" s="62"/>
      <c r="AD59" s="62"/>
      <c r="AE59" s="62"/>
      <c r="AF59" s="62"/>
      <c r="AG59" s="62"/>
      <c r="AH59" s="62"/>
      <c r="AI59" s="62"/>
      <c r="AJ59" s="62"/>
      <c r="AK59" s="62"/>
      <c r="AL59" s="62"/>
      <c r="AM59" s="6"/>
      <c r="AN59" s="7"/>
      <c r="AO59" s="7"/>
    </row>
    <row r="60" spans="1:41" ht="18">
      <c r="B60" s="19" t="s">
        <v>21</v>
      </c>
      <c r="K60" s="106" t="s">
        <v>208</v>
      </c>
      <c r="M60" s="110" t="s">
        <v>540</v>
      </c>
      <c r="N60" s="110" t="s">
        <v>541</v>
      </c>
      <c r="Q60" s="106" t="s">
        <v>210</v>
      </c>
      <c r="U60" s="106" t="s">
        <v>209</v>
      </c>
      <c r="AB60" s="182" t="s">
        <v>274</v>
      </c>
      <c r="AC60" s="62" t="s">
        <v>275</v>
      </c>
      <c r="AD60" s="62"/>
      <c r="AE60" s="62"/>
      <c r="AF60" s="182" t="s">
        <v>274</v>
      </c>
      <c r="AG60" s="62" t="s">
        <v>275</v>
      </c>
      <c r="AH60" s="62"/>
      <c r="AI60" s="62"/>
      <c r="AJ60" s="182" t="s">
        <v>274</v>
      </c>
      <c r="AK60" s="62" t="s">
        <v>275</v>
      </c>
      <c r="AL60" s="62"/>
      <c r="AM60" s="6"/>
      <c r="AN60" s="7"/>
      <c r="AO60" s="7"/>
    </row>
    <row r="61" spans="1:41" ht="22.5" customHeight="1">
      <c r="C61" s="492" t="s">
        <v>11</v>
      </c>
      <c r="D61" s="493"/>
      <c r="E61" s="493"/>
      <c r="F61" s="493"/>
      <c r="G61" s="493"/>
      <c r="H61" s="493"/>
      <c r="I61" s="494"/>
      <c r="J61" s="42"/>
      <c r="K61" s="105" t="s">
        <v>20</v>
      </c>
      <c r="L61" s="105" t="s">
        <v>0</v>
      </c>
      <c r="M61" s="105" t="s">
        <v>100</v>
      </c>
      <c r="N61" s="395" t="s">
        <v>100</v>
      </c>
      <c r="Q61" s="105" t="s">
        <v>20</v>
      </c>
      <c r="R61" s="105" t="s">
        <v>0</v>
      </c>
      <c r="S61" s="105" t="s">
        <v>102</v>
      </c>
      <c r="T61" s="42"/>
      <c r="U61" s="105" t="s">
        <v>20</v>
      </c>
      <c r="V61" s="105" t="s">
        <v>0</v>
      </c>
      <c r="W61" s="105" t="s">
        <v>108</v>
      </c>
      <c r="AB61" s="105" t="s">
        <v>100</v>
      </c>
      <c r="AC61" s="105" t="s">
        <v>100</v>
      </c>
      <c r="AD61" s="62"/>
      <c r="AE61" s="62"/>
      <c r="AF61" s="105" t="s">
        <v>102</v>
      </c>
      <c r="AG61" s="105" t="s">
        <v>102</v>
      </c>
      <c r="AH61" s="62"/>
      <c r="AI61" s="62"/>
      <c r="AJ61" s="105" t="s">
        <v>108</v>
      </c>
      <c r="AK61" s="105" t="s">
        <v>108</v>
      </c>
      <c r="AL61" s="62"/>
      <c r="AM61" s="6"/>
      <c r="AN61" s="7"/>
      <c r="AO61" s="7"/>
    </row>
    <row r="62" spans="1:41">
      <c r="C62" s="22">
        <v>30</v>
      </c>
      <c r="D62" s="22">
        <v>65</v>
      </c>
      <c r="E62" s="22">
        <v>125</v>
      </c>
      <c r="F62" s="22">
        <v>300</v>
      </c>
      <c r="G62" s="41">
        <v>1000</v>
      </c>
      <c r="H62" s="41">
        <v>50000</v>
      </c>
      <c r="I62" s="41">
        <v>500000</v>
      </c>
      <c r="J62" s="43"/>
      <c r="K62" s="20" t="s">
        <v>96</v>
      </c>
      <c r="L62" s="8" t="s">
        <v>101</v>
      </c>
      <c r="M62" s="400">
        <v>575.40300000000002</v>
      </c>
      <c r="N62" s="400">
        <f>M62</f>
        <v>575.40300000000002</v>
      </c>
      <c r="Q62" s="139" t="s">
        <v>96</v>
      </c>
      <c r="R62" s="8" t="s">
        <v>101</v>
      </c>
      <c r="S62" s="446">
        <v>626.15099999999995</v>
      </c>
      <c r="T62" s="43"/>
      <c r="U62" s="20" t="s">
        <v>96</v>
      </c>
      <c r="V62" s="8" t="s">
        <v>101</v>
      </c>
      <c r="W62" s="366">
        <v>626.15099999999995</v>
      </c>
      <c r="X62" s="287"/>
      <c r="AB62" s="50">
        <v>499</v>
      </c>
      <c r="AC62" s="50">
        <v>502.36</v>
      </c>
      <c r="AD62" s="183">
        <f>AB62/AC62-1</f>
        <v>-6.6884306075324362E-3</v>
      </c>
      <c r="AE62" s="62"/>
      <c r="AF62" s="95">
        <v>866.81</v>
      </c>
      <c r="AG62" s="95">
        <v>894.34</v>
      </c>
      <c r="AH62" s="183">
        <f>AF62/AG62-1</f>
        <v>-3.078247646309018E-2</v>
      </c>
      <c r="AI62" s="62"/>
      <c r="AJ62" s="50">
        <v>886.81</v>
      </c>
      <c r="AK62" s="95">
        <v>894.34</v>
      </c>
      <c r="AL62" s="183">
        <f>AJ62/AK62-1</f>
        <v>-8.4196167005837763E-3</v>
      </c>
      <c r="AM62" s="6"/>
      <c r="AN62" s="7"/>
      <c r="AO62" s="7"/>
    </row>
    <row r="63" spans="1:41">
      <c r="B63" s="8" t="s">
        <v>25</v>
      </c>
      <c r="C63" s="21">
        <f>+$M62/C62+$M63</f>
        <v>130.29910000000001</v>
      </c>
      <c r="D63" s="21">
        <f>+$M62/D62+$M63</f>
        <v>119.97135384615385</v>
      </c>
      <c r="E63" s="21">
        <f>+$M62/E62+$M63</f>
        <v>115.722224</v>
      </c>
      <c r="F63" s="149">
        <f>+$N62/F62+$N63</f>
        <v>115.89201</v>
      </c>
      <c r="G63" s="21">
        <f>+$N62/G62+$N64+L66</f>
        <v>150.91640299999997</v>
      </c>
      <c r="H63" s="21">
        <f>+($S62+$S63*H62+153.9*S65+H62*R67)/H62</f>
        <v>125.07958970799999</v>
      </c>
      <c r="I63" s="149">
        <f>+($W62+$W63*I62+920.8*(W65+W64)+I62*V67)/I62</f>
        <v>92.727393684399999</v>
      </c>
      <c r="J63" s="33"/>
      <c r="K63" s="304" t="s">
        <v>449</v>
      </c>
      <c r="L63" s="8" t="s">
        <v>25</v>
      </c>
      <c r="M63" s="400">
        <f>0.701+12.404+98.014</f>
        <v>111.119</v>
      </c>
      <c r="N63" s="400">
        <f>0.701+12.404+100.869</f>
        <v>113.974</v>
      </c>
      <c r="Q63" s="139" t="s">
        <v>16</v>
      </c>
      <c r="R63" s="8" t="s">
        <v>25</v>
      </c>
      <c r="S63" s="400">
        <f>66.245+12.404+0.701</f>
        <v>79.349999999999994</v>
      </c>
      <c r="T63" s="33"/>
      <c r="U63" s="20" t="s">
        <v>16</v>
      </c>
      <c r="V63" s="8" t="s">
        <v>25</v>
      </c>
      <c r="W63" s="352">
        <f>62.768+12.404+0.701</f>
        <v>75.87299999999999</v>
      </c>
      <c r="X63" s="287"/>
      <c r="AB63" s="46">
        <v>68.965999999999994</v>
      </c>
      <c r="AC63" s="46">
        <v>67.718999999999994</v>
      </c>
      <c r="AD63" s="183">
        <f>AB63/AC63-1</f>
        <v>1.8414329804043117E-2</v>
      </c>
      <c r="AE63" s="62"/>
      <c r="AF63" s="46">
        <v>37.628999999999998</v>
      </c>
      <c r="AG63" s="46">
        <v>35.790999999999997</v>
      </c>
      <c r="AH63" s="183">
        <f>AF63/AG63-1</f>
        <v>5.1353692269006102E-2</v>
      </c>
      <c r="AI63" s="62"/>
      <c r="AJ63" s="46">
        <v>36.088000000000001</v>
      </c>
      <c r="AK63" s="46">
        <v>34.325000000000003</v>
      </c>
      <c r="AL63" s="183">
        <f>AJ63/AK63-1</f>
        <v>5.1361981063364759E-2</v>
      </c>
      <c r="AM63" s="6"/>
      <c r="AN63" s="7"/>
      <c r="AO63" s="7"/>
    </row>
    <row r="64" spans="1:41" ht="23.25" customHeight="1">
      <c r="B64" s="8" t="s">
        <v>1</v>
      </c>
      <c r="C64" s="21">
        <f t="shared" ref="C64:I64" si="2">+C63/$C$57*100</f>
        <v>14.227743686024855</v>
      </c>
      <c r="D64" s="21">
        <f t="shared" si="2"/>
        <v>13.100026571085058</v>
      </c>
      <c r="E64" s="21">
        <f t="shared" si="2"/>
        <v>12.636051529509826</v>
      </c>
      <c r="F64" s="21">
        <f t="shared" si="2"/>
        <v>12.65459096446736</v>
      </c>
      <c r="G64" s="21">
        <f>+G63/$C$57*100</f>
        <v>16.47900791257063</v>
      </c>
      <c r="H64" s="21">
        <f t="shared" si="2"/>
        <v>13.657809936665535</v>
      </c>
      <c r="I64" s="21">
        <f t="shared" si="2"/>
        <v>10.125178071182097</v>
      </c>
      <c r="J64" s="33"/>
      <c r="K64" s="271" t="s">
        <v>450</v>
      </c>
      <c r="L64" s="8" t="s">
        <v>25</v>
      </c>
      <c r="M64" s="400">
        <f>0.701+12.404+129.713</f>
        <v>142.81799999999998</v>
      </c>
      <c r="N64" s="400">
        <f>0.701+12.404+135.411</f>
        <v>148.51599999999999</v>
      </c>
      <c r="O64" s="34"/>
      <c r="Q64" s="139" t="s">
        <v>103</v>
      </c>
      <c r="R64" s="8" t="s">
        <v>105</v>
      </c>
      <c r="S64" s="366">
        <v>8024.5630000000001</v>
      </c>
      <c r="T64" s="33"/>
      <c r="U64" s="20" t="s">
        <v>106</v>
      </c>
      <c r="V64" s="8" t="s">
        <v>105</v>
      </c>
      <c r="W64" s="352">
        <v>2164.4870000000001</v>
      </c>
      <c r="X64" s="287"/>
      <c r="AB64" s="55">
        <v>112.83799999999999</v>
      </c>
      <c r="AC64" s="55">
        <v>112.42</v>
      </c>
      <c r="AD64" s="183">
        <f>AB64/AC64-1</f>
        <v>3.7181996086104174E-3</v>
      </c>
      <c r="AE64" s="62"/>
      <c r="AF64" s="54">
        <v>6328.94</v>
      </c>
      <c r="AG64" s="54">
        <v>6430.73</v>
      </c>
      <c r="AH64" s="183">
        <f>AF64/AG64-1</f>
        <v>-1.582868507929891E-2</v>
      </c>
      <c r="AI64" s="62"/>
      <c r="AJ64" s="54">
        <v>559.88</v>
      </c>
      <c r="AK64" s="54">
        <v>566.01</v>
      </c>
      <c r="AL64" s="183">
        <f>AJ64/AK64-1</f>
        <v>-1.0830197346336612E-2</v>
      </c>
      <c r="AM64" s="6"/>
      <c r="AN64" s="7"/>
      <c r="AO64" s="7"/>
    </row>
    <row r="65" spans="1:41" ht="24">
      <c r="B65" s="10"/>
      <c r="C65" s="353"/>
      <c r="D65" s="353"/>
      <c r="E65" s="353"/>
      <c r="F65" s="353"/>
      <c r="G65" s="353"/>
      <c r="H65" s="252"/>
      <c r="I65" s="252"/>
      <c r="J65" s="252"/>
      <c r="K65" s="475" t="s">
        <v>557</v>
      </c>
      <c r="L65" s="476" t="s">
        <v>558</v>
      </c>
      <c r="M65" s="437"/>
      <c r="N65" s="437"/>
      <c r="Q65" s="139" t="s">
        <v>104</v>
      </c>
      <c r="R65" s="8" t="s">
        <v>105</v>
      </c>
      <c r="S65" s="366">
        <v>13930.495999999999</v>
      </c>
      <c r="T65" s="33"/>
      <c r="U65" s="20" t="s">
        <v>107</v>
      </c>
      <c r="V65" s="8" t="s">
        <v>105</v>
      </c>
      <c r="W65" s="351">
        <v>5445.277</v>
      </c>
      <c r="X65" s="287"/>
      <c r="AB65" s="62"/>
      <c r="AC65" s="62"/>
      <c r="AD65" s="62"/>
      <c r="AE65" s="62"/>
      <c r="AF65" s="54">
        <v>8931.11</v>
      </c>
      <c r="AG65" s="54">
        <v>9099.7000000000007</v>
      </c>
      <c r="AH65" s="183">
        <f>AF65/AG65-1</f>
        <v>-1.8526984406079361E-2</v>
      </c>
      <c r="AI65" s="62"/>
      <c r="AJ65" s="54">
        <v>5750.8</v>
      </c>
      <c r="AK65" s="54">
        <v>5899.5</v>
      </c>
      <c r="AL65" s="183">
        <f>AJ65/AK65-1</f>
        <v>-2.5205525892024738E-2</v>
      </c>
      <c r="AM65" s="6"/>
      <c r="AN65" s="7"/>
      <c r="AO65" s="7"/>
    </row>
    <row r="66" spans="1:41" ht="24">
      <c r="B66" s="10"/>
      <c r="H66" s="353"/>
      <c r="I66" s="353"/>
      <c r="J66" s="33"/>
      <c r="K66" s="353" t="s">
        <v>560</v>
      </c>
      <c r="L66" s="477">
        <v>1.825</v>
      </c>
      <c r="M66" s="437"/>
      <c r="N66" s="438"/>
      <c r="Q66" s="475" t="s">
        <v>557</v>
      </c>
      <c r="R66" s="476" t="s">
        <v>558</v>
      </c>
      <c r="S66" s="398"/>
      <c r="T66" s="33"/>
      <c r="U66" s="475" t="s">
        <v>557</v>
      </c>
      <c r="V66" s="476" t="s">
        <v>558</v>
      </c>
      <c r="W66" s="398"/>
      <c r="X66" s="287"/>
      <c r="AB66" s="62"/>
      <c r="AC66" s="62"/>
      <c r="AD66" s="62"/>
      <c r="AE66" s="62"/>
      <c r="AF66" s="399"/>
      <c r="AG66" s="399"/>
      <c r="AH66" s="183"/>
      <c r="AI66" s="62"/>
      <c r="AJ66" s="399"/>
      <c r="AK66" s="399"/>
      <c r="AL66" s="183"/>
      <c r="AM66" s="6"/>
      <c r="AN66" s="7"/>
      <c r="AO66" s="7"/>
    </row>
    <row r="67" spans="1:41">
      <c r="B67" s="10"/>
      <c r="C67" s="444"/>
      <c r="D67" s="444"/>
      <c r="E67" s="444"/>
      <c r="F67" s="444"/>
      <c r="G67" s="444"/>
      <c r="H67" s="402"/>
      <c r="I67" s="402"/>
      <c r="J67" s="33"/>
      <c r="K67" s="353"/>
      <c r="L67" s="33"/>
      <c r="M67" s="437"/>
      <c r="N67" s="437"/>
      <c r="O67" s="33"/>
      <c r="P67" s="33"/>
      <c r="Q67" s="353" t="s">
        <v>559</v>
      </c>
      <c r="R67" s="33">
        <v>2.839</v>
      </c>
      <c r="S67" s="33"/>
      <c r="T67" s="33"/>
      <c r="U67" s="353" t="s">
        <v>559</v>
      </c>
      <c r="V67" s="33">
        <v>2.839</v>
      </c>
      <c r="AC67" s="6"/>
      <c r="AD67" s="6"/>
      <c r="AE67" s="6"/>
      <c r="AF67" s="6"/>
      <c r="AG67" s="6"/>
      <c r="AH67" s="6"/>
      <c r="AI67" s="6"/>
      <c r="AJ67" s="6"/>
      <c r="AK67" s="6"/>
      <c r="AL67" s="6"/>
      <c r="AM67" s="6"/>
      <c r="AN67" s="7"/>
      <c r="AO67" s="7"/>
    </row>
    <row r="68" spans="1:41">
      <c r="A68" s="7"/>
      <c r="B68" s="7"/>
      <c r="C68" s="7"/>
      <c r="D68" s="7"/>
      <c r="E68" s="7"/>
      <c r="F68" s="7"/>
      <c r="G68" s="7"/>
      <c r="H68" s="7"/>
      <c r="I68" s="7"/>
      <c r="J68" s="7"/>
      <c r="K68" s="7"/>
      <c r="L68" s="449"/>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row>
    <row r="69" spans="1:41" ht="23.25">
      <c r="A69" s="474"/>
      <c r="B69" s="14" t="s">
        <v>3</v>
      </c>
      <c r="C69" s="426" t="s">
        <v>28</v>
      </c>
      <c r="E69" s="6" t="s">
        <v>326</v>
      </c>
      <c r="AC69" s="6"/>
      <c r="AD69" s="6"/>
      <c r="AE69" s="6"/>
      <c r="AF69" s="6"/>
      <c r="AG69" s="6"/>
      <c r="AH69" s="53"/>
      <c r="AI69" s="53"/>
      <c r="AJ69" s="53"/>
      <c r="AK69" s="53"/>
      <c r="AL69" s="53"/>
      <c r="AM69" s="53"/>
      <c r="AN69" s="7"/>
      <c r="AO69" s="7"/>
    </row>
    <row r="70" spans="1:41">
      <c r="A70" s="34"/>
      <c r="B70" s="14" t="s">
        <v>12</v>
      </c>
      <c r="C70" s="15" t="s">
        <v>29</v>
      </c>
      <c r="M70" s="47"/>
      <c r="AA70" s="6" t="s">
        <v>255</v>
      </c>
      <c r="AC70" s="6"/>
      <c r="AD70" s="6"/>
      <c r="AE70" s="6"/>
      <c r="AF70" s="6"/>
      <c r="AG70" s="6"/>
      <c r="AH70" s="53"/>
      <c r="AI70" s="53"/>
      <c r="AJ70" s="53"/>
      <c r="AK70" s="53"/>
      <c r="AL70" s="53"/>
      <c r="AM70" s="53"/>
      <c r="AN70" s="7"/>
      <c r="AO70" s="7"/>
    </row>
    <row r="71" spans="1:41">
      <c r="B71" s="14" t="s">
        <v>23</v>
      </c>
      <c r="C71" s="277">
        <f>+TipoCambio!B8</f>
        <v>4881.4100038587685</v>
      </c>
      <c r="D71" s="288"/>
      <c r="E71" s="289"/>
      <c r="M71" s="47"/>
      <c r="AC71" s="6"/>
      <c r="AD71" s="6"/>
      <c r="AE71" s="6"/>
      <c r="AF71" s="6"/>
      <c r="AG71" s="6"/>
      <c r="AH71" s="53"/>
      <c r="AI71" s="53"/>
      <c r="AJ71" s="53"/>
      <c r="AK71" s="53"/>
      <c r="AL71" s="53"/>
      <c r="AM71" s="53"/>
      <c r="AN71" s="7"/>
      <c r="AO71" s="7"/>
    </row>
    <row r="72" spans="1:41">
      <c r="B72" s="14" t="s">
        <v>15</v>
      </c>
      <c r="C72" s="264">
        <f>Resumen!D11</f>
        <v>44896</v>
      </c>
      <c r="K72" s="18"/>
      <c r="M72" s="47"/>
      <c r="AC72" s="6"/>
      <c r="AD72" s="6"/>
      <c r="AE72" s="6"/>
      <c r="AF72" s="6"/>
      <c r="AG72" s="6"/>
      <c r="AH72" s="53"/>
      <c r="AI72" s="53"/>
      <c r="AJ72" s="53"/>
      <c r="AK72" s="53"/>
      <c r="AL72" s="53"/>
      <c r="AM72" s="53"/>
      <c r="AN72" s="7"/>
      <c r="AO72" s="7"/>
    </row>
    <row r="73" spans="1:41" ht="18">
      <c r="K73" s="106" t="s">
        <v>204</v>
      </c>
      <c r="Q73" s="106" t="s">
        <v>212</v>
      </c>
      <c r="AC73" s="53"/>
      <c r="AD73" s="89"/>
      <c r="AE73" s="53"/>
      <c r="AF73" s="53"/>
      <c r="AG73" s="53"/>
      <c r="AH73" s="53"/>
      <c r="AI73" s="53"/>
      <c r="AJ73" s="53"/>
      <c r="AK73" s="6"/>
      <c r="AL73" s="6"/>
      <c r="AM73" s="6"/>
      <c r="AN73" s="7"/>
      <c r="AO73" s="7"/>
    </row>
    <row r="74" spans="1:41" ht="19.5" customHeight="1">
      <c r="B74" s="19" t="s">
        <v>21</v>
      </c>
      <c r="M74" s="495" t="s">
        <v>211</v>
      </c>
      <c r="N74" s="495"/>
      <c r="U74" s="53"/>
      <c r="AB74" s="53"/>
      <c r="AC74" s="87"/>
      <c r="AD74" s="53"/>
      <c r="AE74" s="53"/>
      <c r="AF74" s="53"/>
      <c r="AG74" s="53"/>
      <c r="AH74" s="53"/>
      <c r="AI74" s="53"/>
      <c r="AJ74" s="6"/>
      <c r="AK74" s="6"/>
      <c r="AL74" s="6"/>
      <c r="AM74" s="6"/>
      <c r="AN74" s="7"/>
      <c r="AO74" s="7"/>
    </row>
    <row r="75" spans="1:41" ht="22.5" customHeight="1">
      <c r="C75" s="492" t="s">
        <v>11</v>
      </c>
      <c r="D75" s="493"/>
      <c r="E75" s="493"/>
      <c r="F75" s="493"/>
      <c r="G75" s="493"/>
      <c r="H75" s="493"/>
      <c r="I75" s="494"/>
      <c r="J75" s="42"/>
      <c r="K75" s="105" t="s">
        <v>109</v>
      </c>
      <c r="L75" s="105" t="s">
        <v>0</v>
      </c>
      <c r="M75" s="105" t="s">
        <v>358</v>
      </c>
      <c r="N75" s="105" t="s">
        <v>359</v>
      </c>
      <c r="O75" s="42"/>
      <c r="P75" s="42"/>
      <c r="Q75" s="498" t="s">
        <v>213</v>
      </c>
      <c r="R75" s="498"/>
      <c r="S75" s="105" t="s">
        <v>0</v>
      </c>
      <c r="T75" s="105" t="s">
        <v>163</v>
      </c>
      <c r="U75" s="105" t="s">
        <v>162</v>
      </c>
      <c r="V75" s="42"/>
      <c r="W75" s="42"/>
      <c r="AA75" s="42" t="s">
        <v>116</v>
      </c>
      <c r="AB75" s="53"/>
      <c r="AC75" s="53"/>
      <c r="AD75" s="53"/>
      <c r="AE75" s="53"/>
      <c r="AF75" s="53"/>
      <c r="AG75" s="53"/>
      <c r="AH75" s="53"/>
      <c r="AI75" s="53"/>
      <c r="AJ75" s="6"/>
      <c r="AK75" s="6"/>
      <c r="AL75" s="6"/>
      <c r="AM75" s="6"/>
      <c r="AN75" s="7"/>
      <c r="AO75" s="7"/>
    </row>
    <row r="76" spans="1:41">
      <c r="C76" s="22">
        <v>30</v>
      </c>
      <c r="D76" s="22">
        <v>65</v>
      </c>
      <c r="E76" s="22">
        <v>125</v>
      </c>
      <c r="F76" s="22">
        <v>300</v>
      </c>
      <c r="G76" s="41">
        <v>1000</v>
      </c>
      <c r="H76" s="41">
        <v>50000</v>
      </c>
      <c r="I76" s="41">
        <v>500000</v>
      </c>
      <c r="J76" s="43"/>
      <c r="K76" s="8" t="s">
        <v>110</v>
      </c>
      <c r="L76" s="8" t="s">
        <v>25</v>
      </c>
      <c r="M76" s="319">
        <v>292.68200000000002</v>
      </c>
      <c r="N76" s="319">
        <v>731.03579999999999</v>
      </c>
      <c r="O76" s="43"/>
      <c r="P76" s="43"/>
      <c r="Q76" s="59" t="s">
        <v>123</v>
      </c>
      <c r="R76" s="59"/>
      <c r="S76" s="8" t="s">
        <v>25</v>
      </c>
      <c r="T76" s="478">
        <v>731.03579999999999</v>
      </c>
      <c r="U76" s="321">
        <v>586.61090000000002</v>
      </c>
      <c r="V76" s="293"/>
      <c r="W76" s="43"/>
      <c r="AA76" s="58" t="s">
        <v>117</v>
      </c>
      <c r="AB76" s="53"/>
      <c r="AC76" s="53"/>
      <c r="AD76" s="53"/>
      <c r="AE76" s="53"/>
      <c r="AF76" s="53"/>
      <c r="AG76" s="53"/>
      <c r="AH76" s="53"/>
      <c r="AI76" s="53"/>
      <c r="AJ76" s="6"/>
      <c r="AK76" s="6"/>
      <c r="AL76" s="6"/>
      <c r="AM76" s="6"/>
      <c r="AN76" s="7"/>
      <c r="AO76" s="7"/>
    </row>
    <row r="77" spans="1:41">
      <c r="B77" s="8" t="s">
        <v>25</v>
      </c>
      <c r="C77" s="21">
        <f>+M76</f>
        <v>292.68200000000002</v>
      </c>
      <c r="D77" s="21">
        <f>+M77</f>
        <v>365.8526</v>
      </c>
      <c r="E77" s="21">
        <f>+M78</f>
        <v>621.38040000000001</v>
      </c>
      <c r="F77" s="21">
        <f>N78</f>
        <v>731.03579999999999</v>
      </c>
      <c r="G77" s="21">
        <f>N80</f>
        <v>877.24300000000005</v>
      </c>
      <c r="H77" s="21">
        <f>(0.28*T77+0.72*T78)</f>
        <v>732.530936</v>
      </c>
      <c r="I77" s="21">
        <f>(0.18*U77+0.82*U78)</f>
        <v>588.33316400000001</v>
      </c>
      <c r="J77" s="33"/>
      <c r="K77" s="8" t="s">
        <v>111</v>
      </c>
      <c r="L77" s="8" t="s">
        <v>25</v>
      </c>
      <c r="M77" s="319">
        <v>365.8526</v>
      </c>
      <c r="N77" s="374">
        <f>N76</f>
        <v>731.03579999999999</v>
      </c>
      <c r="O77" s="33"/>
      <c r="P77" s="33"/>
      <c r="Q77" s="262" t="s">
        <v>316</v>
      </c>
      <c r="R77" s="21" t="s">
        <v>125</v>
      </c>
      <c r="S77" s="8" t="s">
        <v>25</v>
      </c>
      <c r="T77" s="447">
        <v>734.9348</v>
      </c>
      <c r="U77" s="323">
        <v>589.61220000000003</v>
      </c>
      <c r="V77" s="293"/>
      <c r="W77" s="33"/>
      <c r="AA77" s="58" t="s">
        <v>118</v>
      </c>
      <c r="AB77" s="53"/>
      <c r="AC77" s="53"/>
      <c r="AD77" s="53"/>
      <c r="AE77" s="53"/>
      <c r="AF77" s="53"/>
      <c r="AG77" s="53"/>
      <c r="AH77" s="53"/>
      <c r="AI77" s="53"/>
      <c r="AJ77" s="6"/>
      <c r="AK77" s="6"/>
      <c r="AL77" s="6"/>
      <c r="AM77" s="6"/>
      <c r="AN77" s="7"/>
      <c r="AO77" s="7"/>
    </row>
    <row r="78" spans="1:41">
      <c r="B78" s="8" t="s">
        <v>1</v>
      </c>
      <c r="C78" s="21">
        <f t="shared" ref="C78:I78" si="3">+C77/$C$71*100</f>
        <v>5.9958495551210422</v>
      </c>
      <c r="D78" s="21">
        <f t="shared" si="3"/>
        <v>7.4948139924897212</v>
      </c>
      <c r="E78" s="21">
        <f t="shared" si="3"/>
        <v>12.729526909413408</v>
      </c>
      <c r="F78" s="21">
        <f t="shared" si="3"/>
        <v>14.975914734105803</v>
      </c>
      <c r="G78" s="21">
        <f t="shared" si="3"/>
        <v>17.971098500362334</v>
      </c>
      <c r="H78" s="21">
        <f t="shared" si="3"/>
        <v>15.006543917043071</v>
      </c>
      <c r="I78" s="21">
        <f t="shared" si="3"/>
        <v>12.052525060073236</v>
      </c>
      <c r="J78" s="33"/>
      <c r="K78" s="56" t="s">
        <v>112</v>
      </c>
      <c r="L78" s="56" t="s">
        <v>25</v>
      </c>
      <c r="M78" s="320">
        <v>621.38040000000001</v>
      </c>
      <c r="N78" s="375">
        <f>N76</f>
        <v>731.03579999999999</v>
      </c>
      <c r="O78" s="33"/>
      <c r="P78" s="33"/>
      <c r="Q78" s="60"/>
      <c r="R78" s="21" t="s">
        <v>126</v>
      </c>
      <c r="S78" s="8" t="s">
        <v>25</v>
      </c>
      <c r="T78" s="324">
        <v>731.59609999999998</v>
      </c>
      <c r="U78" s="323">
        <v>588.05240000000003</v>
      </c>
      <c r="V78" s="293"/>
      <c r="W78" s="33"/>
      <c r="AA78" s="58" t="s">
        <v>119</v>
      </c>
      <c r="AB78" s="53"/>
      <c r="AC78" s="53"/>
      <c r="AD78" s="53"/>
      <c r="AE78" s="53"/>
      <c r="AF78" s="53"/>
      <c r="AG78" s="53"/>
      <c r="AH78" s="53"/>
      <c r="AI78" s="53"/>
      <c r="AJ78" s="6"/>
      <c r="AK78" s="6"/>
      <c r="AL78" s="6"/>
      <c r="AM78" s="6"/>
      <c r="AN78" s="7"/>
      <c r="AO78" s="7"/>
    </row>
    <row r="79" spans="1:41">
      <c r="B79" s="10"/>
      <c r="C79" s="252"/>
      <c r="D79" s="252"/>
      <c r="E79" s="252"/>
      <c r="F79" s="252"/>
      <c r="G79" s="252"/>
      <c r="H79" s="252"/>
      <c r="I79" s="252"/>
      <c r="J79" s="33"/>
      <c r="K79" s="8" t="s">
        <v>113</v>
      </c>
      <c r="L79" s="8" t="s">
        <v>25</v>
      </c>
      <c r="M79" s="375">
        <f>+N76</f>
        <v>731.03579999999999</v>
      </c>
      <c r="N79" s="376">
        <f>M79</f>
        <v>731.03579999999999</v>
      </c>
      <c r="O79" s="33"/>
      <c r="P79" s="33"/>
      <c r="Q79" s="33"/>
      <c r="R79" s="33"/>
      <c r="S79" s="10"/>
      <c r="T79" s="310"/>
      <c r="U79" s="86"/>
      <c r="V79" s="33"/>
      <c r="W79" s="33"/>
      <c r="AA79" s="58" t="s">
        <v>120</v>
      </c>
      <c r="AC79" s="6"/>
      <c r="AD79" s="6"/>
      <c r="AE79" s="6"/>
      <c r="AF79" s="6"/>
      <c r="AG79" s="6"/>
      <c r="AH79" s="6"/>
      <c r="AI79" s="6"/>
      <c r="AJ79" s="6"/>
      <c r="AK79" s="6"/>
      <c r="AL79" s="6"/>
      <c r="AM79" s="6"/>
      <c r="AN79" s="7"/>
      <c r="AO79" s="7"/>
    </row>
    <row r="80" spans="1:41">
      <c r="B80" s="10"/>
      <c r="C80" s="266"/>
      <c r="D80" s="266"/>
      <c r="E80" s="266"/>
      <c r="F80" s="266"/>
      <c r="G80" s="266"/>
      <c r="H80" s="266"/>
      <c r="I80" s="266"/>
      <c r="J80" s="33"/>
      <c r="K80" s="57" t="s">
        <v>114</v>
      </c>
      <c r="L80" s="57" t="s">
        <v>25</v>
      </c>
      <c r="M80" s="318">
        <v>877.24300000000005</v>
      </c>
      <c r="N80" s="376">
        <f>M80</f>
        <v>877.24300000000005</v>
      </c>
      <c r="O80" s="33"/>
      <c r="P80" s="33"/>
      <c r="Q80" s="33"/>
      <c r="R80" s="33"/>
      <c r="S80" s="10"/>
      <c r="T80" s="86"/>
      <c r="U80" s="86"/>
      <c r="V80" s="33"/>
      <c r="W80" s="33"/>
      <c r="AA80" s="58" t="s">
        <v>121</v>
      </c>
      <c r="AC80" s="6"/>
      <c r="AD80" s="6"/>
      <c r="AE80" s="6"/>
      <c r="AF80" s="6"/>
      <c r="AG80" s="6"/>
      <c r="AH80" s="6"/>
      <c r="AI80" s="6"/>
      <c r="AJ80" s="6"/>
      <c r="AK80" s="6"/>
      <c r="AL80" s="6"/>
      <c r="AM80" s="6"/>
      <c r="AN80" s="7"/>
      <c r="AO80" s="7"/>
    </row>
    <row r="81" spans="1:41">
      <c r="B81" s="10"/>
      <c r="C81" s="224"/>
      <c r="D81" s="224"/>
      <c r="E81" s="224"/>
      <c r="F81" s="224"/>
      <c r="G81" s="224"/>
      <c r="H81" s="224"/>
      <c r="I81" s="224"/>
      <c r="J81" s="33"/>
      <c r="K81" s="8" t="s">
        <v>115</v>
      </c>
      <c r="L81" s="8" t="s">
        <v>25</v>
      </c>
      <c r="M81" s="376">
        <f>M80</f>
        <v>877.24300000000005</v>
      </c>
      <c r="N81" s="376">
        <f>M80</f>
        <v>877.24300000000005</v>
      </c>
      <c r="O81" s="33"/>
      <c r="P81" s="33"/>
      <c r="Q81" s="33"/>
      <c r="R81" s="33"/>
      <c r="S81" s="33"/>
      <c r="T81" s="33"/>
      <c r="U81" s="86"/>
      <c r="V81" s="33"/>
      <c r="W81" s="33"/>
      <c r="AA81" s="58" t="s">
        <v>122</v>
      </c>
      <c r="AC81" s="6"/>
      <c r="AD81" s="6"/>
      <c r="AE81" s="6"/>
      <c r="AF81" s="6"/>
      <c r="AG81" s="6"/>
      <c r="AH81" s="6"/>
      <c r="AI81" s="6"/>
      <c r="AJ81" s="6"/>
      <c r="AK81" s="6"/>
      <c r="AL81" s="6"/>
      <c r="AM81" s="6"/>
      <c r="AN81" s="7"/>
      <c r="AO81" s="7"/>
    </row>
    <row r="82" spans="1:41">
      <c r="B82" s="10"/>
      <c r="C82" s="252"/>
      <c r="D82" s="252"/>
      <c r="E82" s="252"/>
      <c r="F82" s="252"/>
      <c r="G82" s="252"/>
      <c r="H82" s="252"/>
      <c r="I82" s="252"/>
      <c r="J82" s="33"/>
      <c r="K82" s="353" t="s">
        <v>448</v>
      </c>
      <c r="L82" s="33"/>
      <c r="M82" s="33"/>
      <c r="N82" s="33"/>
      <c r="O82" s="33"/>
      <c r="P82" s="33"/>
      <c r="Q82" s="33"/>
      <c r="R82" s="33"/>
      <c r="S82" s="33"/>
      <c r="T82" s="33"/>
      <c r="U82" s="86"/>
      <c r="V82" s="33"/>
      <c r="W82" s="33"/>
      <c r="AC82" s="6"/>
      <c r="AD82" s="6"/>
      <c r="AE82" s="6"/>
      <c r="AF82" s="6"/>
      <c r="AG82" s="6"/>
      <c r="AH82" s="6"/>
      <c r="AI82" s="6"/>
      <c r="AJ82" s="6"/>
      <c r="AK82" s="6"/>
      <c r="AL82" s="6"/>
      <c r="AM82" s="6"/>
      <c r="AN82" s="7"/>
      <c r="AO82" s="7"/>
    </row>
    <row r="83" spans="1:41">
      <c r="U83" s="86"/>
      <c r="AC83" s="6"/>
      <c r="AD83" s="6"/>
      <c r="AE83" s="6"/>
      <c r="AF83" s="6"/>
      <c r="AG83" s="6"/>
      <c r="AH83" s="6"/>
      <c r="AI83" s="6"/>
      <c r="AJ83" s="6"/>
      <c r="AK83" s="6"/>
      <c r="AL83" s="6"/>
      <c r="AM83" s="6"/>
      <c r="AN83" s="7"/>
      <c r="AO83" s="7"/>
    </row>
    <row r="84" spans="1:4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90"/>
      <c r="AG84" s="7"/>
      <c r="AH84" s="7"/>
      <c r="AI84" s="7"/>
      <c r="AJ84" s="7"/>
      <c r="AK84" s="7"/>
      <c r="AL84" s="7"/>
      <c r="AM84" s="7"/>
      <c r="AN84" s="7"/>
      <c r="AO84" s="7"/>
    </row>
    <row r="85" spans="1:41" ht="23.25">
      <c r="A85" s="474"/>
      <c r="B85" s="14" t="s">
        <v>3</v>
      </c>
      <c r="C85" s="227" t="s">
        <v>6</v>
      </c>
      <c r="E85" s="25" t="s">
        <v>357</v>
      </c>
      <c r="K85" s="298"/>
      <c r="AC85" s="6"/>
      <c r="AD85" s="6"/>
      <c r="AE85" s="6"/>
      <c r="AF85" s="18"/>
      <c r="AG85" s="6"/>
      <c r="AH85" s="6"/>
      <c r="AI85" s="6"/>
      <c r="AJ85" s="6"/>
      <c r="AK85" s="6"/>
      <c r="AL85" s="6"/>
      <c r="AM85" s="6"/>
      <c r="AN85" s="7"/>
      <c r="AO85" s="7"/>
    </row>
    <row r="86" spans="1:41" ht="18">
      <c r="B86" s="14" t="s">
        <v>12</v>
      </c>
      <c r="C86" s="15" t="s">
        <v>32</v>
      </c>
      <c r="E86" s="6" t="s">
        <v>482</v>
      </c>
      <c r="K86" s="106" t="s">
        <v>204</v>
      </c>
      <c r="Q86" s="106" t="s">
        <v>205</v>
      </c>
      <c r="AA86" s="6" t="s">
        <v>253</v>
      </c>
      <c r="AC86" s="6"/>
      <c r="AD86" s="6"/>
      <c r="AE86" s="6"/>
      <c r="AF86" s="24"/>
      <c r="AG86" s="6"/>
      <c r="AH86" s="6"/>
      <c r="AI86" s="6"/>
      <c r="AJ86" s="6"/>
      <c r="AK86" s="6"/>
      <c r="AL86" s="6"/>
      <c r="AM86" s="6"/>
      <c r="AN86" s="7"/>
      <c r="AO86" s="7"/>
    </row>
    <row r="87" spans="1:41">
      <c r="B87" s="14" t="s">
        <v>15</v>
      </c>
      <c r="C87" s="264">
        <f>Resumen!D12</f>
        <v>44896</v>
      </c>
      <c r="AC87" s="6"/>
      <c r="AD87" s="6"/>
      <c r="AE87" s="6"/>
      <c r="AF87" s="6"/>
      <c r="AG87" s="6"/>
      <c r="AH87" s="6"/>
      <c r="AI87" s="6"/>
      <c r="AJ87" s="6"/>
      <c r="AK87" s="6"/>
      <c r="AL87" s="6"/>
      <c r="AM87" s="6"/>
      <c r="AN87" s="7"/>
      <c r="AO87" s="7"/>
    </row>
    <row r="88" spans="1:41">
      <c r="K88" s="20" t="s">
        <v>26</v>
      </c>
      <c r="L88" s="8" t="s">
        <v>34</v>
      </c>
      <c r="M88" s="23">
        <v>1.4139999999999999</v>
      </c>
      <c r="Q88" s="154" t="s">
        <v>533</v>
      </c>
      <c r="R88" s="155"/>
      <c r="AA88" s="15"/>
      <c r="AC88" s="6"/>
      <c r="AD88" s="6"/>
      <c r="AE88" s="6"/>
      <c r="AF88" s="6"/>
      <c r="AG88" s="6"/>
      <c r="AH88" s="6"/>
      <c r="AI88" s="6"/>
      <c r="AJ88" s="6"/>
      <c r="AK88" s="6"/>
      <c r="AL88" s="6"/>
      <c r="AM88" s="6"/>
      <c r="AN88" s="7"/>
      <c r="AO88" s="7"/>
    </row>
    <row r="89" spans="1:41" ht="15.75">
      <c r="B89" s="19" t="s">
        <v>21</v>
      </c>
      <c r="N89" s="53"/>
      <c r="Q89" s="124" t="s">
        <v>131</v>
      </c>
      <c r="R89" s="325">
        <v>4.1820000000000004</v>
      </c>
      <c r="AC89" s="6"/>
      <c r="AD89" s="6"/>
      <c r="AE89" s="6"/>
      <c r="AF89" s="6"/>
      <c r="AG89" s="6"/>
      <c r="AH89" s="6"/>
      <c r="AI89" s="6"/>
      <c r="AJ89" s="6"/>
      <c r="AK89" s="6"/>
      <c r="AL89" s="6"/>
      <c r="AM89" s="6"/>
      <c r="AN89" s="7"/>
      <c r="AO89" s="7"/>
    </row>
    <row r="90" spans="1:41" ht="22.5" customHeight="1">
      <c r="C90" s="492" t="s">
        <v>11</v>
      </c>
      <c r="D90" s="493"/>
      <c r="E90" s="493"/>
      <c r="F90" s="493"/>
      <c r="G90" s="493"/>
      <c r="H90" s="493"/>
      <c r="I90" s="494"/>
      <c r="J90" s="42"/>
      <c r="K90" s="105" t="s">
        <v>214</v>
      </c>
      <c r="L90" s="105" t="s">
        <v>215</v>
      </c>
      <c r="M90" s="193"/>
      <c r="N90" s="42"/>
      <c r="O90" s="42"/>
      <c r="P90" s="42"/>
      <c r="Q90" s="124" t="s">
        <v>132</v>
      </c>
      <c r="R90" s="325">
        <v>8.7999999999999995E-2</v>
      </c>
      <c r="S90" s="155"/>
      <c r="T90" s="156"/>
      <c r="U90" s="157"/>
      <c r="V90" s="157"/>
      <c r="W90" s="157"/>
      <c r="X90" s="157"/>
      <c r="Y90" s="157"/>
      <c r="Z90" s="157"/>
      <c r="AA90" s="157"/>
      <c r="AB90" s="157"/>
      <c r="AC90" s="157"/>
      <c r="AD90" s="157"/>
      <c r="AE90" s="157"/>
      <c r="AF90" s="62"/>
      <c r="AG90" s="6"/>
      <c r="AH90" s="6"/>
      <c r="AI90" s="6"/>
      <c r="AJ90" s="6"/>
      <c r="AK90" s="6"/>
      <c r="AL90" s="6"/>
      <c r="AM90" s="6"/>
      <c r="AN90" s="7"/>
      <c r="AO90" s="7"/>
    </row>
    <row r="91" spans="1:41" ht="15">
      <c r="C91" s="22">
        <v>30</v>
      </c>
      <c r="D91" s="22">
        <v>65</v>
      </c>
      <c r="E91" s="22">
        <v>125</v>
      </c>
      <c r="F91" s="22">
        <v>300</v>
      </c>
      <c r="G91" s="69">
        <v>1000</v>
      </c>
      <c r="H91" s="41">
        <v>50000</v>
      </c>
      <c r="I91" s="41">
        <v>500000</v>
      </c>
      <c r="J91" s="43"/>
      <c r="K91" s="8" t="s">
        <v>127</v>
      </c>
      <c r="L91" s="368">
        <v>7.8E-2</v>
      </c>
      <c r="M91" s="239"/>
      <c r="N91" s="290"/>
      <c r="O91" s="43"/>
      <c r="P91" s="43"/>
      <c r="Q91" s="151" t="s">
        <v>365</v>
      </c>
      <c r="R91" s="151"/>
      <c r="S91" s="158"/>
      <c r="T91" s="159"/>
      <c r="U91" s="159"/>
      <c r="V91" s="159"/>
      <c r="W91" s="159"/>
      <c r="X91" s="159"/>
      <c r="Y91" s="159"/>
      <c r="Z91" s="159"/>
      <c r="AA91" s="159"/>
      <c r="AB91" s="159"/>
      <c r="AC91" s="159"/>
      <c r="AD91" s="159"/>
      <c r="AE91" s="159"/>
      <c r="AF91" s="62"/>
      <c r="AG91" s="6"/>
      <c r="AH91" s="6"/>
      <c r="AI91" s="6"/>
      <c r="AJ91" s="6"/>
      <c r="AK91" s="6"/>
      <c r="AL91" s="6"/>
      <c r="AM91" s="6"/>
      <c r="AN91" s="7"/>
      <c r="AO91" s="7"/>
    </row>
    <row r="92" spans="1:41" ht="12" customHeight="1">
      <c r="B92" s="8" t="s">
        <v>1</v>
      </c>
      <c r="C92" s="73">
        <f>+M88/C91*100+L91</f>
        <v>4.7913333333333332</v>
      </c>
      <c r="D92" s="73">
        <f>+(M88+50*L91+15*L92-2.4)/D91*100</f>
        <v>6.3523076923076918</v>
      </c>
      <c r="E92" s="73">
        <f>+(M88+50*L91+50*L92+25*L93-2.4)/E91*100</f>
        <v>7.2312000000000003</v>
      </c>
      <c r="F92" s="73">
        <f>+((M88+50*L91+50*L92+50*L93+50*L95+50*L96+50*L97)*1.1)/F91*100</f>
        <v>10.473466666666669</v>
      </c>
      <c r="G92" s="73">
        <f>+((M88+50*L91+50*L92+50*L94+50*L95+50*L96+250*L97+200*L98+300*L99)*1.1)/G91*100</f>
        <v>13.064039999999999</v>
      </c>
      <c r="H92" s="27">
        <f>+(M88/H91+R90+(153.9*R89)/H91)*100</f>
        <v>10.0900476</v>
      </c>
      <c r="I92" s="326">
        <f>(R99*I91+R98*920.8+M88)/I91*100</f>
        <v>10.910679439999999</v>
      </c>
      <c r="J92" s="33"/>
      <c r="K92" s="8" t="s">
        <v>128</v>
      </c>
      <c r="L92" s="368">
        <v>8.1000000000000003E-2</v>
      </c>
      <c r="M92" s="239"/>
      <c r="N92" s="290"/>
      <c r="O92" s="33"/>
      <c r="P92" s="33"/>
      <c r="Q92" s="124" t="s">
        <v>131</v>
      </c>
      <c r="R92" s="325">
        <v>4.1289999999999996</v>
      </c>
      <c r="S92" s="158"/>
      <c r="T92" s="159"/>
      <c r="U92" s="159"/>
      <c r="V92" s="159"/>
      <c r="W92" s="159"/>
      <c r="X92" s="159"/>
      <c r="Y92" s="159"/>
      <c r="Z92" s="159"/>
      <c r="AA92" s="159"/>
      <c r="AB92" s="159"/>
      <c r="AC92" s="159"/>
      <c r="AD92" s="159"/>
      <c r="AE92" s="159"/>
      <c r="AF92" s="62"/>
      <c r="AG92" s="6"/>
      <c r="AH92" s="6"/>
      <c r="AI92" s="6"/>
      <c r="AJ92" s="6"/>
      <c r="AK92" s="6"/>
      <c r="AL92" s="6"/>
      <c r="AM92" s="6"/>
      <c r="AN92" s="7"/>
      <c r="AO92" s="7"/>
    </row>
    <row r="93" spans="1:41">
      <c r="H93" s="63"/>
      <c r="K93" s="8" t="s">
        <v>256</v>
      </c>
      <c r="L93" s="368">
        <v>8.3000000000000004E-2</v>
      </c>
      <c r="M93" s="240"/>
      <c r="N93" s="290"/>
      <c r="Q93" s="124" t="s">
        <v>132</v>
      </c>
      <c r="R93" s="346">
        <v>9.5000000000000001E-2</v>
      </c>
      <c r="S93" s="62"/>
      <c r="T93" s="62"/>
      <c r="U93" s="62"/>
      <c r="V93" s="62"/>
      <c r="W93" s="62"/>
      <c r="X93" s="62"/>
      <c r="Y93" s="62"/>
      <c r="Z93" s="62"/>
      <c r="AA93" s="160"/>
      <c r="AB93" s="161"/>
      <c r="AC93" s="62"/>
      <c r="AD93" s="62"/>
      <c r="AE93" s="62"/>
      <c r="AF93" s="62"/>
      <c r="AG93" s="6"/>
      <c r="AH93" s="6"/>
      <c r="AI93" s="6"/>
      <c r="AJ93" s="6"/>
      <c r="AK93" s="6"/>
      <c r="AL93" s="6"/>
      <c r="AM93" s="6"/>
      <c r="AN93" s="7"/>
      <c r="AO93" s="7"/>
    </row>
    <row r="94" spans="1:41">
      <c r="C94" s="181"/>
      <c r="H94" s="63"/>
      <c r="K94" s="8" t="s">
        <v>257</v>
      </c>
      <c r="L94" s="368">
        <f>+L93</f>
        <v>8.3000000000000004E-2</v>
      </c>
      <c r="M94" s="240"/>
      <c r="N94" s="290"/>
      <c r="Q94" s="271" t="s">
        <v>531</v>
      </c>
      <c r="R94" s="346">
        <f>R93</f>
        <v>9.5000000000000001E-2</v>
      </c>
      <c r="S94" s="62"/>
      <c r="T94" s="62"/>
      <c r="U94" s="62"/>
      <c r="V94" s="62"/>
      <c r="W94" s="62"/>
      <c r="X94" s="62"/>
      <c r="Y94" s="62"/>
      <c r="Z94" s="62"/>
      <c r="AA94" s="160"/>
      <c r="AB94" s="161"/>
      <c r="AC94" s="62"/>
      <c r="AD94" s="62"/>
      <c r="AE94" s="62"/>
      <c r="AF94" s="62"/>
      <c r="AG94" s="6"/>
      <c r="AH94" s="6"/>
      <c r="AI94" s="6"/>
      <c r="AJ94" s="6"/>
      <c r="AK94" s="6"/>
      <c r="AL94" s="6"/>
      <c r="AM94" s="6"/>
      <c r="AN94" s="7"/>
      <c r="AO94" s="7"/>
    </row>
    <row r="95" spans="1:41" ht="15" customHeight="1">
      <c r="K95" s="8" t="s">
        <v>129</v>
      </c>
      <c r="L95" s="368">
        <v>9.7000000000000003E-2</v>
      </c>
      <c r="M95" s="240"/>
      <c r="N95" s="290"/>
      <c r="Q95" s="271" t="s">
        <v>422</v>
      </c>
      <c r="R95" s="346">
        <f>+R94</f>
        <v>9.5000000000000001E-2</v>
      </c>
      <c r="S95" s="62"/>
      <c r="T95" s="62"/>
      <c r="U95" s="62"/>
      <c r="V95" s="62"/>
      <c r="W95" s="62"/>
      <c r="X95" s="62"/>
      <c r="Y95" s="62"/>
      <c r="Z95" s="62"/>
      <c r="AA95" s="160"/>
      <c r="AB95" s="161"/>
      <c r="AC95" s="62"/>
      <c r="AD95" s="62"/>
      <c r="AE95" s="62"/>
      <c r="AF95" s="62"/>
      <c r="AG95" s="6"/>
      <c r="AH95" s="6"/>
      <c r="AI95" s="6"/>
      <c r="AJ95" s="6"/>
      <c r="AK95" s="6"/>
      <c r="AL95" s="6"/>
      <c r="AM95" s="6"/>
      <c r="AN95" s="7"/>
      <c r="AO95" s="7"/>
    </row>
    <row r="96" spans="1:41" ht="12" customHeight="1">
      <c r="K96" s="8" t="s">
        <v>130</v>
      </c>
      <c r="L96" s="368">
        <v>9.9000000000000005E-2</v>
      </c>
      <c r="M96" s="240"/>
      <c r="N96" s="290"/>
      <c r="Q96" s="271" t="s">
        <v>532</v>
      </c>
      <c r="R96" s="346">
        <v>7.6999999999999999E-2</v>
      </c>
      <c r="AA96" s="162"/>
      <c r="AB96" s="163"/>
      <c r="AC96" s="6"/>
      <c r="AD96" s="6"/>
      <c r="AE96" s="6"/>
      <c r="AF96" s="6"/>
      <c r="AG96" s="6"/>
      <c r="AH96" s="6"/>
      <c r="AI96" s="6"/>
      <c r="AJ96" s="6"/>
      <c r="AK96" s="6"/>
      <c r="AL96" s="6"/>
      <c r="AM96" s="6"/>
      <c r="AN96" s="7"/>
      <c r="AO96" s="7"/>
    </row>
    <row r="97" spans="1:41">
      <c r="K97" s="354" t="s">
        <v>429</v>
      </c>
      <c r="L97" s="368">
        <v>0.105</v>
      </c>
      <c r="M97" s="193"/>
      <c r="N97" s="290"/>
      <c r="Q97" s="154" t="s">
        <v>364</v>
      </c>
      <c r="R97" s="356"/>
      <c r="AA97" s="162"/>
      <c r="AB97" s="163"/>
      <c r="AC97" s="6"/>
      <c r="AD97" s="6"/>
      <c r="AE97" s="6"/>
      <c r="AF97" s="6"/>
      <c r="AG97" s="6"/>
      <c r="AH97" s="6"/>
      <c r="AI97" s="6"/>
      <c r="AJ97" s="6"/>
      <c r="AK97" s="6"/>
      <c r="AL97" s="6"/>
      <c r="AM97" s="6"/>
      <c r="AN97" s="7"/>
      <c r="AO97" s="7"/>
    </row>
    <row r="98" spans="1:41">
      <c r="K98" s="354" t="s">
        <v>430</v>
      </c>
      <c r="L98" s="369">
        <v>0.1285</v>
      </c>
      <c r="M98" s="193"/>
      <c r="N98" s="291"/>
      <c r="Q98" s="124" t="s">
        <v>131</v>
      </c>
      <c r="R98" s="325">
        <f>R92</f>
        <v>4.1289999999999996</v>
      </c>
      <c r="AA98" s="162"/>
      <c r="AB98" s="163"/>
      <c r="AC98" s="6"/>
      <c r="AD98" s="6"/>
      <c r="AE98" s="6"/>
      <c r="AF98" s="6"/>
      <c r="AG98" s="6"/>
      <c r="AH98" s="6"/>
      <c r="AI98" s="6"/>
      <c r="AJ98" s="6"/>
      <c r="AK98" s="6"/>
      <c r="AL98" s="6"/>
      <c r="AM98" s="6"/>
      <c r="AN98" s="7"/>
      <c r="AO98" s="7"/>
    </row>
    <row r="99" spans="1:41">
      <c r="K99" s="354" t="s">
        <v>431</v>
      </c>
      <c r="L99" s="369">
        <v>0.14499999999999999</v>
      </c>
      <c r="N99" s="291"/>
      <c r="Q99" s="124" t="s">
        <v>132</v>
      </c>
      <c r="R99" s="459">
        <v>0.10150000000000001</v>
      </c>
      <c r="AA99" s="162"/>
      <c r="AB99" s="163"/>
      <c r="AC99" s="6"/>
      <c r="AD99" s="6"/>
      <c r="AE99" s="6"/>
      <c r="AF99" s="6"/>
      <c r="AG99" s="6"/>
      <c r="AH99" s="6"/>
      <c r="AI99" s="6"/>
      <c r="AJ99" s="6"/>
      <c r="AK99" s="6"/>
      <c r="AL99" s="6"/>
      <c r="AM99" s="6"/>
      <c r="AN99" s="7"/>
      <c r="AO99" s="7"/>
    </row>
    <row r="100" spans="1:41">
      <c r="K100" s="8"/>
      <c r="L100" s="355"/>
      <c r="N100" s="291"/>
      <c r="AA100" s="162"/>
      <c r="AB100" s="163"/>
      <c r="AC100" s="6"/>
      <c r="AD100" s="6"/>
      <c r="AE100" s="6"/>
      <c r="AF100" s="6"/>
      <c r="AG100" s="6"/>
      <c r="AH100" s="6"/>
      <c r="AI100" s="6"/>
      <c r="AJ100" s="6"/>
      <c r="AK100" s="6"/>
      <c r="AL100" s="6"/>
      <c r="AM100" s="6"/>
      <c r="AN100" s="7"/>
      <c r="AO100" s="7"/>
    </row>
    <row r="101" spans="1:4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spans="1:41" ht="23.25">
      <c r="A102" s="474"/>
      <c r="B102" s="14" t="s">
        <v>3</v>
      </c>
      <c r="C102" s="227" t="s">
        <v>9</v>
      </c>
      <c r="E102" s="6" t="s">
        <v>325</v>
      </c>
      <c r="F102" s="18" t="s">
        <v>487</v>
      </c>
      <c r="K102" s="298" t="s">
        <v>483</v>
      </c>
      <c r="AC102" s="6"/>
      <c r="AD102" s="6"/>
      <c r="AE102" s="6"/>
      <c r="AF102" s="18"/>
      <c r="AG102" s="6"/>
      <c r="AH102" s="6"/>
      <c r="AI102" s="6"/>
      <c r="AJ102" s="6"/>
      <c r="AK102" s="6"/>
      <c r="AL102" s="6"/>
      <c r="AM102" s="6"/>
      <c r="AN102" s="7"/>
      <c r="AO102" s="7"/>
    </row>
    <row r="103" spans="1:41">
      <c r="B103" s="14" t="s">
        <v>12</v>
      </c>
      <c r="C103" s="15" t="s">
        <v>45</v>
      </c>
      <c r="AA103" s="6" t="s">
        <v>258</v>
      </c>
      <c r="AC103" s="6"/>
      <c r="AD103" s="6"/>
      <c r="AE103" s="6"/>
      <c r="AF103" s="24"/>
      <c r="AG103" s="6"/>
      <c r="AH103" s="6"/>
      <c r="AI103" s="6"/>
      <c r="AJ103" s="6"/>
      <c r="AK103" s="6"/>
      <c r="AL103" s="6"/>
      <c r="AM103" s="6"/>
      <c r="AN103" s="7"/>
      <c r="AO103" s="7"/>
    </row>
    <row r="104" spans="1:41">
      <c r="B104" s="14" t="s">
        <v>46</v>
      </c>
      <c r="C104" s="281">
        <f>+TipoCambio!B10</f>
        <v>7238.4300019293842</v>
      </c>
      <c r="D104" s="292"/>
      <c r="E104" s="173"/>
      <c r="AC104" s="6"/>
      <c r="AD104" s="6"/>
      <c r="AE104" s="6"/>
      <c r="AF104" s="18"/>
      <c r="AG104" s="6"/>
      <c r="AH104" s="6"/>
      <c r="AI104" s="6"/>
      <c r="AJ104" s="6"/>
      <c r="AK104" s="6"/>
      <c r="AL104" s="6"/>
      <c r="AM104" s="6"/>
      <c r="AN104" s="7"/>
      <c r="AO104" s="7"/>
    </row>
    <row r="105" spans="1:41" ht="18">
      <c r="B105" s="14" t="s">
        <v>15</v>
      </c>
      <c r="C105" s="264">
        <f>Resumen!D13</f>
        <v>44896</v>
      </c>
      <c r="K105" s="106" t="s">
        <v>204</v>
      </c>
      <c r="Q105" s="106" t="s">
        <v>205</v>
      </c>
      <c r="AC105" s="6"/>
      <c r="AD105" s="6"/>
      <c r="AE105" s="6"/>
      <c r="AF105" s="6"/>
      <c r="AG105" s="6"/>
      <c r="AH105" s="6"/>
      <c r="AI105" s="6"/>
      <c r="AJ105" s="6"/>
      <c r="AK105" s="6"/>
      <c r="AL105" s="6"/>
      <c r="AM105" s="6"/>
      <c r="AN105" s="7"/>
      <c r="AO105" s="7"/>
    </row>
    <row r="106" spans="1:41">
      <c r="AA106" s="15"/>
      <c r="AC106" s="6"/>
      <c r="AD106" s="6"/>
      <c r="AE106" s="6"/>
      <c r="AF106" s="6"/>
      <c r="AG106" s="6"/>
      <c r="AH106" s="6"/>
      <c r="AI106" s="6"/>
      <c r="AJ106" s="6"/>
      <c r="AK106" s="6"/>
      <c r="AL106" s="6"/>
      <c r="AM106" s="6"/>
      <c r="AN106" s="7"/>
      <c r="AO106" s="7"/>
    </row>
    <row r="107" spans="1:41" ht="15.75">
      <c r="B107" s="19" t="s">
        <v>21</v>
      </c>
      <c r="K107" s="19" t="s">
        <v>47</v>
      </c>
      <c r="V107" s="6" t="s">
        <v>276</v>
      </c>
      <c r="AC107" s="6"/>
      <c r="AD107" s="6"/>
      <c r="AE107" s="6"/>
      <c r="AF107" s="6"/>
      <c r="AG107" s="6"/>
      <c r="AH107" s="6"/>
      <c r="AI107" s="6"/>
      <c r="AJ107" s="6"/>
      <c r="AK107" s="6"/>
      <c r="AL107" s="6"/>
      <c r="AM107" s="6"/>
      <c r="AN107" s="7"/>
      <c r="AO107" s="7"/>
    </row>
    <row r="108" spans="1:41" ht="22.5" customHeight="1">
      <c r="C108" s="492" t="s">
        <v>11</v>
      </c>
      <c r="D108" s="493"/>
      <c r="E108" s="493"/>
      <c r="F108" s="493"/>
      <c r="G108" s="493"/>
      <c r="H108" s="493"/>
      <c r="I108" s="494"/>
      <c r="J108" s="38"/>
      <c r="K108" s="105" t="s">
        <v>20</v>
      </c>
      <c r="L108" s="105" t="s">
        <v>0</v>
      </c>
      <c r="M108" s="105" t="s">
        <v>30</v>
      </c>
      <c r="O108" s="38"/>
      <c r="P108" s="38"/>
      <c r="Q108" s="105" t="s">
        <v>20</v>
      </c>
      <c r="R108" s="110" t="s">
        <v>0</v>
      </c>
      <c r="S108" s="110" t="s">
        <v>447</v>
      </c>
      <c r="T108" s="110" t="s">
        <v>216</v>
      </c>
      <c r="U108" s="38"/>
      <c r="V108" s="195" t="s">
        <v>277</v>
      </c>
      <c r="W108" s="38"/>
      <c r="AC108" s="6"/>
      <c r="AD108" s="6"/>
      <c r="AE108" s="6"/>
      <c r="AF108" s="6"/>
      <c r="AG108" s="6"/>
      <c r="AH108" s="6"/>
      <c r="AI108" s="6"/>
      <c r="AJ108" s="6"/>
      <c r="AK108" s="6"/>
      <c r="AL108" s="6"/>
      <c r="AM108" s="6"/>
      <c r="AN108" s="7"/>
      <c r="AO108" s="7"/>
    </row>
    <row r="109" spans="1:41">
      <c r="C109" s="22">
        <v>30</v>
      </c>
      <c r="D109" s="22">
        <v>65</v>
      </c>
      <c r="E109" s="22">
        <v>125</v>
      </c>
      <c r="F109" s="22">
        <v>300</v>
      </c>
      <c r="G109" s="69">
        <v>1000</v>
      </c>
      <c r="H109" s="69">
        <v>50000</v>
      </c>
      <c r="I109" s="69">
        <v>500000</v>
      </c>
      <c r="J109" s="39"/>
      <c r="K109" s="20" t="s">
        <v>50</v>
      </c>
      <c r="L109" s="8" t="s">
        <v>48</v>
      </c>
      <c r="M109" s="21">
        <v>311.55</v>
      </c>
      <c r="O109" s="39"/>
      <c r="P109" s="39"/>
      <c r="Q109" s="146" t="s">
        <v>145</v>
      </c>
      <c r="R109" s="8" t="s">
        <v>150</v>
      </c>
      <c r="S109" s="80">
        <v>41126</v>
      </c>
      <c r="T109" s="80">
        <v>38127</v>
      </c>
      <c r="U109" s="39"/>
      <c r="V109" s="195" t="s">
        <v>278</v>
      </c>
      <c r="W109" s="39"/>
      <c r="AC109" s="6"/>
      <c r="AD109" s="6"/>
      <c r="AE109" s="6"/>
      <c r="AF109" s="6"/>
      <c r="AG109" s="6"/>
      <c r="AH109" s="6"/>
      <c r="AI109" s="6"/>
      <c r="AJ109" s="6"/>
      <c r="AK109" s="6"/>
      <c r="AL109" s="6"/>
      <c r="AM109" s="6"/>
      <c r="AN109" s="7"/>
      <c r="AO109" s="7"/>
    </row>
    <row r="110" spans="1:41" ht="25.5" customHeight="1">
      <c r="B110" s="8" t="s">
        <v>48</v>
      </c>
      <c r="C110" s="21">
        <f>M109*0.25</f>
        <v>77.887500000000003</v>
      </c>
      <c r="D110" s="21">
        <f>0.25*(M110)</f>
        <v>87.472499999999997</v>
      </c>
      <c r="E110" s="21">
        <f>0.5*(M110)</f>
        <v>174.94499999999999</v>
      </c>
      <c r="F110" s="21">
        <f>M116</f>
        <v>365.45</v>
      </c>
      <c r="G110" s="21">
        <f>+M117</f>
        <v>420.27</v>
      </c>
      <c r="H110" s="21">
        <f>(S109*153.9+S110*0+(0.28*S111+0.72*S112)*H109)/H109</f>
        <v>323.80382800000001</v>
      </c>
      <c r="I110" s="21">
        <f>(T109*665+T110*255.8+(0.18*T111+0.82*T112)*I109)/I109</f>
        <v>287.75699280000003</v>
      </c>
      <c r="J110" s="33"/>
      <c r="K110" s="20" t="s">
        <v>51</v>
      </c>
      <c r="L110" s="8" t="s">
        <v>48</v>
      </c>
      <c r="M110" s="21">
        <v>349.89</v>
      </c>
      <c r="O110" s="33"/>
      <c r="P110" s="33"/>
      <c r="Q110" s="143" t="s">
        <v>146</v>
      </c>
      <c r="R110" s="8" t="s">
        <v>150</v>
      </c>
      <c r="S110" s="80">
        <v>87533</v>
      </c>
      <c r="T110" s="80">
        <v>87533</v>
      </c>
      <c r="U110" s="33"/>
      <c r="V110" s="33"/>
      <c r="W110" s="33"/>
      <c r="AC110" s="6"/>
      <c r="AD110" s="6"/>
      <c r="AE110" s="6"/>
      <c r="AF110" s="6"/>
      <c r="AG110" s="6"/>
      <c r="AH110" s="6"/>
      <c r="AI110" s="6"/>
      <c r="AJ110" s="6"/>
      <c r="AK110" s="6"/>
      <c r="AL110" s="6"/>
      <c r="AM110" s="6"/>
      <c r="AN110" s="7"/>
      <c r="AO110" s="7"/>
    </row>
    <row r="111" spans="1:41">
      <c r="B111" s="8" t="s">
        <v>1</v>
      </c>
      <c r="C111" s="21">
        <f>+C110/$C$104*100</f>
        <v>1.0760275360712102</v>
      </c>
      <c r="D111" s="21">
        <f t="shared" ref="D111:I111" si="4">+D110/$C$104*100</f>
        <v>1.208445753798606</v>
      </c>
      <c r="E111" s="21">
        <f>+E110/$C$104*100</f>
        <v>2.4168915075972119</v>
      </c>
      <c r="F111" s="21">
        <f t="shared" si="4"/>
        <v>5.0487467572745786</v>
      </c>
      <c r="G111" s="21">
        <f>+G110/$C$104*100</f>
        <v>5.8060933087420636</v>
      </c>
      <c r="H111" s="21">
        <f t="shared" si="4"/>
        <v>4.4733986225423328</v>
      </c>
      <c r="I111" s="21">
        <f t="shared" si="4"/>
        <v>3.9754061685102871</v>
      </c>
      <c r="J111" s="33"/>
      <c r="O111" s="33"/>
      <c r="P111" s="33"/>
      <c r="Q111" s="143" t="s">
        <v>147</v>
      </c>
      <c r="R111" s="8" t="s">
        <v>48</v>
      </c>
      <c r="S111" s="75">
        <v>331.93</v>
      </c>
      <c r="T111" s="75">
        <v>304.27</v>
      </c>
      <c r="U111" s="33"/>
      <c r="V111" s="33"/>
      <c r="W111" s="33"/>
      <c r="AC111" s="6"/>
      <c r="AD111" s="6"/>
      <c r="AE111" s="6"/>
      <c r="AF111" s="6"/>
      <c r="AG111" s="6"/>
      <c r="AH111" s="6"/>
      <c r="AI111" s="6"/>
      <c r="AJ111" s="6"/>
      <c r="AK111" s="6"/>
      <c r="AL111" s="6"/>
      <c r="AM111" s="6"/>
      <c r="AN111" s="7"/>
      <c r="AO111" s="7"/>
    </row>
    <row r="112" spans="1:41" ht="15.75">
      <c r="K112" s="19" t="s">
        <v>49</v>
      </c>
      <c r="Q112" s="146" t="s">
        <v>148</v>
      </c>
      <c r="R112" s="8" t="s">
        <v>48</v>
      </c>
      <c r="S112" s="74">
        <v>144.83000000000001</v>
      </c>
      <c r="T112" s="74">
        <v>167.68</v>
      </c>
      <c r="X112" s="34"/>
      <c r="Y112" s="34"/>
      <c r="Z112" s="34"/>
      <c r="AA112" s="34"/>
      <c r="AB112" s="34"/>
      <c r="AD112" s="6"/>
      <c r="AE112" s="6"/>
      <c r="AN112" s="7"/>
      <c r="AO112" s="7"/>
    </row>
    <row r="113" spans="1:41" ht="22.5">
      <c r="K113" s="105" t="s">
        <v>20</v>
      </c>
      <c r="L113" s="105" t="s">
        <v>0</v>
      </c>
      <c r="M113" s="105" t="s">
        <v>30</v>
      </c>
      <c r="N113" s="238"/>
      <c r="Q113" s="25"/>
      <c r="R113" s="25"/>
      <c r="S113" s="25"/>
      <c r="X113" s="34"/>
      <c r="Y113" s="34"/>
      <c r="Z113" s="34"/>
      <c r="AA113" s="34"/>
      <c r="AB113" s="34"/>
      <c r="AD113" s="6"/>
      <c r="AE113" s="6"/>
      <c r="AN113" s="7"/>
      <c r="AO113" s="7"/>
    </row>
    <row r="114" spans="1:41">
      <c r="K114" s="20" t="s">
        <v>50</v>
      </c>
      <c r="L114" s="8" t="s">
        <v>48</v>
      </c>
      <c r="M114" s="21">
        <v>311.55</v>
      </c>
      <c r="N114" s="224"/>
      <c r="Q114" s="25"/>
      <c r="R114" s="25"/>
      <c r="S114" s="25"/>
      <c r="X114" s="34"/>
      <c r="Y114" s="34"/>
      <c r="Z114" s="34"/>
      <c r="AC114" s="6"/>
      <c r="AD114" s="6"/>
      <c r="AE114" s="6"/>
      <c r="AN114" s="7"/>
      <c r="AO114" s="7"/>
    </row>
    <row r="115" spans="1:41">
      <c r="K115" s="20" t="s">
        <v>51</v>
      </c>
      <c r="L115" s="8" t="s">
        <v>48</v>
      </c>
      <c r="M115" s="21">
        <v>349.89</v>
      </c>
      <c r="N115" s="224"/>
      <c r="Q115" s="25"/>
      <c r="R115" s="25"/>
      <c r="S115" s="25"/>
      <c r="X115" s="34"/>
      <c r="Y115" s="34"/>
      <c r="Z115" s="34"/>
      <c r="AC115" s="6"/>
      <c r="AD115" s="6"/>
      <c r="AE115" s="6"/>
      <c r="AN115" s="7"/>
      <c r="AO115" s="7"/>
    </row>
    <row r="116" spans="1:41">
      <c r="A116" s="34"/>
      <c r="K116" s="20" t="s">
        <v>446</v>
      </c>
      <c r="L116" s="8" t="s">
        <v>48</v>
      </c>
      <c r="M116" s="21">
        <v>365.45</v>
      </c>
      <c r="N116" s="193"/>
      <c r="Q116" s="25"/>
      <c r="R116" s="25"/>
      <c r="S116" s="25"/>
      <c r="X116" s="34"/>
      <c r="Y116" s="34"/>
      <c r="Z116" s="34"/>
      <c r="AA116" s="34"/>
      <c r="AB116" s="34"/>
      <c r="AC116" s="6"/>
      <c r="AD116" s="6"/>
      <c r="AE116" s="6"/>
      <c r="AN116" s="7"/>
      <c r="AO116" s="7"/>
    </row>
    <row r="117" spans="1:41">
      <c r="A117" s="34"/>
      <c r="K117" s="20" t="s">
        <v>445</v>
      </c>
      <c r="L117" s="8" t="s">
        <v>48</v>
      </c>
      <c r="M117" s="21">
        <v>420.27</v>
      </c>
      <c r="N117" s="193"/>
      <c r="Q117" s="25"/>
      <c r="R117" s="25"/>
      <c r="S117" s="25"/>
      <c r="X117" s="34"/>
      <c r="Y117" s="34"/>
      <c r="Z117" s="34"/>
      <c r="AA117" s="34"/>
      <c r="AB117" s="34"/>
      <c r="AC117" s="6"/>
      <c r="AD117" s="6"/>
      <c r="AE117" s="6"/>
      <c r="AN117" s="7"/>
      <c r="AO117" s="7"/>
    </row>
    <row r="118" spans="1:4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row>
    <row r="119" spans="1:41" ht="23.25">
      <c r="A119" s="474"/>
      <c r="B119" s="14" t="s">
        <v>3</v>
      </c>
      <c r="C119" s="227" t="s">
        <v>4</v>
      </c>
      <c r="E119" s="202" t="s">
        <v>489</v>
      </c>
      <c r="AC119" s="6"/>
      <c r="AD119" s="6"/>
      <c r="AE119" s="18"/>
      <c r="AF119" s="6"/>
      <c r="AG119" s="6"/>
      <c r="AH119" s="6"/>
      <c r="AI119" s="6"/>
      <c r="AJ119" s="6"/>
      <c r="AK119" s="6"/>
      <c r="AL119" s="6"/>
      <c r="AM119" s="6"/>
      <c r="AN119" s="7"/>
      <c r="AO119" s="7"/>
    </row>
    <row r="120" spans="1:41">
      <c r="B120" s="14" t="s">
        <v>12</v>
      </c>
      <c r="C120" s="92" t="s">
        <v>13</v>
      </c>
      <c r="O120" s="34"/>
      <c r="P120" s="34"/>
      <c r="Q120" s="34"/>
      <c r="R120" s="34"/>
      <c r="AC120" s="6"/>
      <c r="AD120" s="6"/>
      <c r="AE120" s="6"/>
      <c r="AF120" s="6"/>
      <c r="AG120" s="6"/>
      <c r="AH120" s="6"/>
      <c r="AI120" s="6"/>
      <c r="AJ120" s="6"/>
      <c r="AK120" s="6"/>
      <c r="AL120" s="6"/>
      <c r="AM120" s="6"/>
      <c r="AN120" s="7"/>
      <c r="AO120" s="7"/>
    </row>
    <row r="121" spans="1:41">
      <c r="B121" s="14" t="s">
        <v>14</v>
      </c>
      <c r="C121" s="279">
        <f>+TipoCambio!B11</f>
        <v>3.8680011576307161</v>
      </c>
      <c r="O121" s="34"/>
      <c r="P121" s="34"/>
      <c r="Q121" s="34"/>
      <c r="R121" s="34"/>
      <c r="AC121" s="6"/>
      <c r="AD121" s="6"/>
      <c r="AE121" s="6"/>
      <c r="AF121" s="6"/>
      <c r="AG121" s="6"/>
      <c r="AH121" s="6"/>
      <c r="AI121" s="6"/>
      <c r="AJ121" s="6"/>
      <c r="AK121" s="6"/>
      <c r="AL121" s="6"/>
      <c r="AM121" s="6"/>
      <c r="AN121" s="7"/>
      <c r="AO121" s="7"/>
    </row>
    <row r="122" spans="1:41" ht="18">
      <c r="B122" s="14" t="s">
        <v>15</v>
      </c>
      <c r="C122" s="264">
        <f>Resumen!D14</f>
        <v>44896</v>
      </c>
      <c r="K122" s="106" t="s">
        <v>204</v>
      </c>
      <c r="O122" s="34"/>
      <c r="P122" s="34"/>
      <c r="Q122" s="35" t="s">
        <v>205</v>
      </c>
      <c r="R122" s="34"/>
      <c r="AC122" s="6"/>
      <c r="AD122" s="6"/>
      <c r="AE122" s="6"/>
      <c r="AF122" s="6"/>
      <c r="AG122" s="6"/>
      <c r="AH122" s="6"/>
      <c r="AI122" s="6"/>
      <c r="AJ122" s="6"/>
      <c r="AK122" s="6"/>
      <c r="AL122" s="6"/>
      <c r="AM122" s="6"/>
      <c r="AN122" s="7"/>
      <c r="AO122" s="7"/>
    </row>
    <row r="123" spans="1:41">
      <c r="O123" s="34"/>
      <c r="P123" s="34"/>
      <c r="Q123" s="34"/>
      <c r="R123" s="34"/>
      <c r="AC123" s="6"/>
      <c r="AD123" s="6"/>
      <c r="AE123" s="6"/>
      <c r="AF123" s="6"/>
      <c r="AG123" s="6"/>
      <c r="AH123" s="6"/>
      <c r="AI123" s="6"/>
      <c r="AJ123" s="6"/>
      <c r="AK123" s="6"/>
      <c r="AL123" s="6"/>
      <c r="AM123" s="6"/>
      <c r="AN123" s="7"/>
      <c r="AO123" s="7"/>
    </row>
    <row r="124" spans="1:41" ht="15.75">
      <c r="B124" s="19" t="s">
        <v>21</v>
      </c>
      <c r="K124" s="19" t="s">
        <v>17</v>
      </c>
      <c r="Q124" s="113" t="s">
        <v>222</v>
      </c>
      <c r="U124" s="113" t="s">
        <v>322</v>
      </c>
      <c r="Z124" s="113" t="s">
        <v>251</v>
      </c>
      <c r="AC124" s="6"/>
      <c r="AD124" s="6"/>
      <c r="AE124" s="6"/>
      <c r="AF124" s="6"/>
      <c r="AG124" s="6"/>
      <c r="AH124" s="6"/>
      <c r="AI124" s="6"/>
      <c r="AJ124" s="6"/>
      <c r="AK124" s="6"/>
      <c r="AL124" s="6"/>
      <c r="AM124" s="6"/>
      <c r="AN124" s="7"/>
      <c r="AO124" s="7"/>
    </row>
    <row r="125" spans="1:41" ht="24" customHeight="1">
      <c r="C125" s="492" t="s">
        <v>11</v>
      </c>
      <c r="D125" s="493"/>
      <c r="E125" s="493"/>
      <c r="F125" s="493"/>
      <c r="G125" s="493"/>
      <c r="H125" s="493"/>
      <c r="I125" s="494"/>
      <c r="J125" s="42"/>
      <c r="K125" s="105" t="s">
        <v>20</v>
      </c>
      <c r="L125" s="112" t="s">
        <v>0</v>
      </c>
      <c r="M125" s="105" t="s">
        <v>30</v>
      </c>
      <c r="N125" s="42"/>
      <c r="Q125" s="105" t="s">
        <v>20</v>
      </c>
      <c r="R125" s="112" t="s">
        <v>0</v>
      </c>
      <c r="S125" s="105" t="s">
        <v>30</v>
      </c>
      <c r="T125" s="42"/>
      <c r="U125" s="105" t="s">
        <v>20</v>
      </c>
      <c r="V125" s="112" t="s">
        <v>0</v>
      </c>
      <c r="W125" s="105" t="s">
        <v>30</v>
      </c>
      <c r="Z125" s="105" t="s">
        <v>20</v>
      </c>
      <c r="AA125" s="112" t="s">
        <v>0</v>
      </c>
      <c r="AB125" s="105" t="s">
        <v>30</v>
      </c>
      <c r="AC125" s="6"/>
      <c r="AD125" s="6"/>
      <c r="AE125" s="492" t="s">
        <v>11</v>
      </c>
      <c r="AF125" s="493"/>
      <c r="AG125" s="494"/>
      <c r="AH125" s="6"/>
      <c r="AI125" s="6"/>
      <c r="AJ125" s="120" t="s">
        <v>11</v>
      </c>
      <c r="AK125" s="6"/>
      <c r="AL125" s="6"/>
      <c r="AM125" s="120" t="s">
        <v>11</v>
      </c>
      <c r="AN125" s="7"/>
      <c r="AO125" s="7"/>
    </row>
    <row r="126" spans="1:41" ht="14.25" customHeight="1">
      <c r="C126" s="22">
        <v>30</v>
      </c>
      <c r="D126" s="22">
        <v>65</v>
      </c>
      <c r="E126" s="22">
        <v>125</v>
      </c>
      <c r="F126" s="22">
        <v>300</v>
      </c>
      <c r="G126" s="41">
        <v>1000</v>
      </c>
      <c r="H126" s="41">
        <v>50000</v>
      </c>
      <c r="I126" s="41">
        <v>500000</v>
      </c>
      <c r="J126" s="43"/>
      <c r="K126" s="28" t="s">
        <v>291</v>
      </c>
      <c r="L126" s="11" t="s">
        <v>18</v>
      </c>
      <c r="M126" s="336">
        <v>2.38</v>
      </c>
      <c r="N126" s="43"/>
      <c r="Q126" s="140" t="s">
        <v>96</v>
      </c>
      <c r="R126" s="51" t="s">
        <v>18</v>
      </c>
      <c r="S126" s="339">
        <v>5.43</v>
      </c>
      <c r="T126" s="66"/>
      <c r="U126" s="71" t="s">
        <v>96</v>
      </c>
      <c r="V126" s="127" t="s">
        <v>18</v>
      </c>
      <c r="W126" s="341">
        <v>4.6500000000000004</v>
      </c>
      <c r="Z126" s="111" t="s">
        <v>96</v>
      </c>
      <c r="AA126" s="51" t="s">
        <v>18</v>
      </c>
      <c r="AB126" s="64"/>
      <c r="AC126" s="6"/>
      <c r="AD126" s="6"/>
      <c r="AE126" s="22"/>
      <c r="AF126" s="22"/>
      <c r="AG126" s="22"/>
      <c r="AH126" s="6"/>
      <c r="AI126" s="6"/>
      <c r="AJ126" s="69"/>
      <c r="AK126" s="6"/>
      <c r="AL126" s="6"/>
      <c r="AM126" s="69"/>
      <c r="AN126" s="7"/>
      <c r="AO126" s="7"/>
    </row>
    <row r="127" spans="1:41" ht="17.25" customHeight="1">
      <c r="B127" s="8" t="s">
        <v>19</v>
      </c>
      <c r="C127" s="21">
        <f>($M$126+C126*$M$127/100)/C126*100</f>
        <v>56.603333333333339</v>
      </c>
      <c r="D127" s="21">
        <f>($M$128+M129+(D126-30)*$M$130/100)/D126*100</f>
        <v>63.562307692307698</v>
      </c>
      <c r="E127" s="21">
        <f>($M$131+E126*$M$132/100)/E126*100</f>
        <v>61.47999999999999</v>
      </c>
      <c r="F127" s="21">
        <f>($M$131+F126*$M$132/100)/F126*100</f>
        <v>60.313333333333333</v>
      </c>
      <c r="G127" s="21">
        <f>($M$131+G126*$M$132/100)/G126*100</f>
        <v>59.73</v>
      </c>
      <c r="H127" s="21">
        <f>(W126*100+H126*W127+153.9*100*(W129+W130))/H126</f>
        <v>57.806699999999999</v>
      </c>
      <c r="I127" s="21">
        <f>(S126*100+(0.18*S127+0.82*S128)*I126+665*(S129+S130)*100+255.8*S131*100)/I126</f>
        <v>44.510604000000001</v>
      </c>
      <c r="J127" s="33"/>
      <c r="K127" s="29" t="s">
        <v>292</v>
      </c>
      <c r="L127" s="12" t="s">
        <v>19</v>
      </c>
      <c r="M127" s="337">
        <v>48.67</v>
      </c>
      <c r="N127" s="33"/>
      <c r="Q127" s="140" t="s">
        <v>217</v>
      </c>
      <c r="R127" s="44" t="s">
        <v>19</v>
      </c>
      <c r="S127" s="340">
        <v>36.46</v>
      </c>
      <c r="T127" s="67"/>
      <c r="U127" s="71" t="s">
        <v>223</v>
      </c>
      <c r="V127" s="164" t="s">
        <v>19</v>
      </c>
      <c r="W127" s="342">
        <v>32.25</v>
      </c>
      <c r="Z127" s="111" t="s">
        <v>217</v>
      </c>
      <c r="AA127" s="44" t="s">
        <v>19</v>
      </c>
      <c r="AB127" s="65"/>
      <c r="AC127" s="6"/>
      <c r="AD127" s="8"/>
      <c r="AE127" s="21"/>
      <c r="AF127" s="21"/>
      <c r="AG127" s="21"/>
      <c r="AH127" s="6"/>
      <c r="AI127" s="8"/>
      <c r="AJ127" s="21"/>
      <c r="AK127" s="6"/>
      <c r="AL127" s="8"/>
      <c r="AM127" s="21"/>
      <c r="AN127" s="7"/>
      <c r="AO127" s="7"/>
    </row>
    <row r="128" spans="1:41" ht="12.75" customHeight="1">
      <c r="B128" s="8" t="s">
        <v>1</v>
      </c>
      <c r="C128" s="21">
        <f t="shared" ref="C128:I128" si="5">+C127/$C$121</f>
        <v>14.633742604152898</v>
      </c>
      <c r="D128" s="21">
        <f t="shared" si="5"/>
        <v>16.43285642945407</v>
      </c>
      <c r="E128" s="21">
        <f t="shared" si="5"/>
        <v>15.894514374359341</v>
      </c>
      <c r="F128" s="21">
        <f t="shared" si="5"/>
        <v>15.592894333640098</v>
      </c>
      <c r="G128" s="21">
        <f t="shared" si="5"/>
        <v>15.442084313280475</v>
      </c>
      <c r="H128" s="21">
        <f t="shared" si="5"/>
        <v>14.944850749581624</v>
      </c>
      <c r="I128" s="21">
        <f t="shared" si="5"/>
        <v>11.507391592215624</v>
      </c>
      <c r="J128" s="33"/>
      <c r="K128" s="28" t="s">
        <v>295</v>
      </c>
      <c r="L128" s="11" t="s">
        <v>18</v>
      </c>
      <c r="M128" s="336">
        <v>2.38</v>
      </c>
      <c r="N128" s="33"/>
      <c r="Q128" s="140" t="s">
        <v>218</v>
      </c>
      <c r="R128" s="44" t="s">
        <v>19</v>
      </c>
      <c r="S128" s="340">
        <v>30.97</v>
      </c>
      <c r="T128" s="67"/>
      <c r="U128" s="72" t="s">
        <v>224</v>
      </c>
      <c r="V128" s="127"/>
      <c r="W128" s="342"/>
      <c r="Z128" s="111" t="s">
        <v>218</v>
      </c>
      <c r="AA128" s="44" t="s">
        <v>19</v>
      </c>
      <c r="AB128" s="65"/>
      <c r="AC128" s="6"/>
      <c r="AD128" s="8"/>
      <c r="AE128" s="21"/>
      <c r="AF128" s="21"/>
      <c r="AG128" s="21"/>
      <c r="AH128" s="6"/>
      <c r="AI128" s="8"/>
      <c r="AJ128" s="21"/>
      <c r="AK128" s="6"/>
      <c r="AL128" s="8"/>
      <c r="AM128" s="21"/>
      <c r="AN128" s="7"/>
      <c r="AO128" s="7"/>
    </row>
    <row r="129" spans="1:41" ht="12.75" customHeight="1">
      <c r="C129" s="274"/>
      <c r="D129" s="274"/>
      <c r="E129" s="274"/>
      <c r="F129" s="274"/>
      <c r="G129" s="274"/>
      <c r="H129" s="274"/>
      <c r="I129" s="274"/>
      <c r="K129" s="30" t="s">
        <v>297</v>
      </c>
      <c r="L129" s="10" t="s">
        <v>18</v>
      </c>
      <c r="M129" s="338">
        <v>14.6</v>
      </c>
      <c r="Q129" s="140" t="s">
        <v>219</v>
      </c>
      <c r="R129" s="45" t="s">
        <v>133</v>
      </c>
      <c r="S129" s="340">
        <v>70.52</v>
      </c>
      <c r="T129" s="67"/>
      <c r="U129" s="71" t="s">
        <v>219</v>
      </c>
      <c r="V129" s="164" t="s">
        <v>133</v>
      </c>
      <c r="W129" s="340">
        <v>64.47</v>
      </c>
      <c r="Z129" s="111" t="s">
        <v>219</v>
      </c>
      <c r="AA129" s="45" t="s">
        <v>133</v>
      </c>
      <c r="AB129" s="65"/>
      <c r="AC129" s="6"/>
      <c r="AD129" s="6"/>
      <c r="AE129" s="6"/>
      <c r="AF129" s="6"/>
      <c r="AG129" s="6"/>
      <c r="AH129" s="6"/>
      <c r="AI129" s="6"/>
      <c r="AJ129" s="6"/>
      <c r="AK129" s="6"/>
      <c r="AL129" s="6"/>
      <c r="AM129" s="6"/>
      <c r="AN129" s="7"/>
      <c r="AO129" s="7"/>
    </row>
    <row r="130" spans="1:41" ht="12.75" customHeight="1">
      <c r="C130" s="267"/>
      <c r="D130" s="267"/>
      <c r="E130" s="267"/>
      <c r="F130" s="413"/>
      <c r="G130" s="267"/>
      <c r="H130" s="267"/>
      <c r="I130" s="267"/>
      <c r="K130" s="29" t="s">
        <v>296</v>
      </c>
      <c r="L130" s="12" t="s">
        <v>19</v>
      </c>
      <c r="M130" s="337">
        <v>69.53</v>
      </c>
      <c r="Q130" s="140" t="s">
        <v>220</v>
      </c>
      <c r="R130" s="45" t="s">
        <v>133</v>
      </c>
      <c r="S130" s="340">
        <v>17.100000000000001</v>
      </c>
      <c r="T130" s="67"/>
      <c r="U130" s="71" t="s">
        <v>220</v>
      </c>
      <c r="V130" s="164" t="s">
        <v>133</v>
      </c>
      <c r="W130" s="340">
        <v>18.53</v>
      </c>
      <c r="Z130" s="111" t="s">
        <v>220</v>
      </c>
      <c r="AA130" s="45" t="s">
        <v>133</v>
      </c>
      <c r="AB130" s="65"/>
      <c r="AC130" s="6"/>
      <c r="AD130" s="6"/>
      <c r="AE130" s="6"/>
      <c r="AF130" s="6"/>
      <c r="AG130" s="6"/>
      <c r="AH130" s="6"/>
      <c r="AI130" s="6"/>
      <c r="AJ130" s="6"/>
      <c r="AK130" s="6"/>
      <c r="AL130" s="6"/>
      <c r="AM130" s="6"/>
      <c r="AN130" s="7"/>
      <c r="AO130" s="7"/>
    </row>
    <row r="131" spans="1:41" ht="12.75" customHeight="1">
      <c r="K131" s="28" t="s">
        <v>294</v>
      </c>
      <c r="L131" s="11" t="s">
        <v>18</v>
      </c>
      <c r="M131" s="336">
        <v>2.5</v>
      </c>
      <c r="Q131" s="140" t="s">
        <v>221</v>
      </c>
      <c r="R131" s="45" t="s">
        <v>133</v>
      </c>
      <c r="S131" s="340">
        <v>17.55</v>
      </c>
      <c r="T131" s="67"/>
      <c r="U131" s="136"/>
      <c r="V131" s="165"/>
      <c r="W131" s="67"/>
      <c r="Z131" s="111" t="s">
        <v>221</v>
      </c>
      <c r="AA131" s="45" t="s">
        <v>133</v>
      </c>
      <c r="AB131" s="65"/>
      <c r="AC131" s="6"/>
      <c r="AD131" s="6"/>
      <c r="AE131" s="6"/>
      <c r="AF131" s="6"/>
      <c r="AG131" s="6"/>
      <c r="AH131" s="6"/>
      <c r="AI131" s="6"/>
      <c r="AJ131" s="6"/>
      <c r="AK131" s="6"/>
      <c r="AL131" s="6"/>
      <c r="AM131" s="6"/>
      <c r="AN131" s="7"/>
      <c r="AO131" s="7"/>
    </row>
    <row r="132" spans="1:41" ht="12.75" customHeight="1">
      <c r="K132" s="29" t="s">
        <v>293</v>
      </c>
      <c r="L132" s="12" t="s">
        <v>19</v>
      </c>
      <c r="M132" s="337">
        <v>59.48</v>
      </c>
      <c r="Z132" s="68"/>
      <c r="AA132" s="165"/>
      <c r="AB132" s="27">
        <f>(AB126*100+(0.28*AB127+0.72*AB128)*H126+153.9*(AB129+AB130)*100+0*AB131*100)/H126</f>
        <v>0</v>
      </c>
      <c r="AC132" s="6"/>
      <c r="AD132" s="6"/>
      <c r="AE132" s="6"/>
      <c r="AF132" s="6"/>
      <c r="AG132" s="6"/>
      <c r="AH132" s="6"/>
      <c r="AI132" s="6"/>
      <c r="AJ132" s="6"/>
      <c r="AK132" s="6"/>
      <c r="AL132" s="6"/>
      <c r="AM132" s="6"/>
      <c r="AN132" s="7"/>
      <c r="AO132" s="7"/>
    </row>
    <row r="133" spans="1:41">
      <c r="AC133" s="6"/>
      <c r="AD133" s="6"/>
      <c r="AE133" s="6"/>
      <c r="AF133" s="6"/>
      <c r="AG133" s="6"/>
      <c r="AH133" s="6"/>
      <c r="AI133" s="6"/>
      <c r="AJ133" s="6"/>
      <c r="AK133" s="6"/>
      <c r="AL133" s="6"/>
      <c r="AM133" s="6"/>
      <c r="AN133" s="7"/>
      <c r="AO133" s="7"/>
    </row>
    <row r="134" spans="1:4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row>
    <row r="135" spans="1:41" ht="23.25">
      <c r="A135" s="474"/>
      <c r="B135" s="14" t="s">
        <v>3</v>
      </c>
      <c r="C135" s="227" t="s">
        <v>10</v>
      </c>
      <c r="E135" s="6" t="s">
        <v>327</v>
      </c>
      <c r="K135" s="298"/>
      <c r="T135" s="34"/>
      <c r="U135" s="34"/>
      <c r="V135" s="34"/>
      <c r="W135" s="34"/>
      <c r="X135" s="34"/>
      <c r="Y135" s="34"/>
      <c r="Z135" s="34"/>
      <c r="AA135" s="34"/>
      <c r="AB135" s="34"/>
      <c r="AN135" s="7"/>
      <c r="AO135" s="7"/>
    </row>
    <row r="136" spans="1:41">
      <c r="B136" s="14" t="s">
        <v>12</v>
      </c>
      <c r="C136" s="15" t="s">
        <v>63</v>
      </c>
      <c r="K136" s="18"/>
      <c r="T136" s="34"/>
      <c r="U136" s="34"/>
      <c r="V136" s="34"/>
      <c r="W136" s="34"/>
      <c r="X136" s="34"/>
      <c r="Y136" s="34"/>
      <c r="Z136" s="34"/>
      <c r="AA136" s="34"/>
      <c r="AB136" s="34"/>
      <c r="AN136" s="7"/>
      <c r="AO136" s="7"/>
    </row>
    <row r="137" spans="1:41">
      <c r="B137" s="14" t="s">
        <v>23</v>
      </c>
      <c r="C137" s="279">
        <f>+TipoCambio!B12</f>
        <v>39.257003665830602</v>
      </c>
      <c r="T137" s="34"/>
      <c r="U137" s="34"/>
      <c r="V137" s="34"/>
      <c r="W137" s="34"/>
      <c r="X137" s="34"/>
      <c r="Y137" s="34"/>
      <c r="Z137" s="34"/>
      <c r="AA137" s="34"/>
      <c r="AB137" s="34"/>
      <c r="AN137" s="7"/>
      <c r="AO137" s="7"/>
    </row>
    <row r="138" spans="1:41" ht="18">
      <c r="B138" s="14" t="s">
        <v>15</v>
      </c>
      <c r="C138" s="264">
        <f>Resumen!D15</f>
        <v>44896</v>
      </c>
      <c r="K138" s="106" t="s">
        <v>64</v>
      </c>
      <c r="Q138" s="106" t="s">
        <v>205</v>
      </c>
      <c r="U138" s="34"/>
      <c r="V138" s="34"/>
      <c r="W138" s="34"/>
      <c r="X138" s="34"/>
      <c r="Y138" s="34"/>
      <c r="Z138" s="34"/>
      <c r="AA138" s="34"/>
      <c r="AB138" s="34"/>
      <c r="AN138" s="7"/>
      <c r="AO138" s="7"/>
    </row>
    <row r="139" spans="1:41" ht="15.75">
      <c r="Q139" s="113" t="s">
        <v>164</v>
      </c>
      <c r="R139" s="14"/>
      <c r="AC139" s="6"/>
      <c r="AD139" s="6"/>
      <c r="AE139" s="6"/>
      <c r="AF139" s="6"/>
      <c r="AG139" s="6"/>
      <c r="AH139" s="6"/>
      <c r="AI139" s="6"/>
      <c r="AJ139" s="6"/>
      <c r="AK139" s="6"/>
      <c r="AL139" s="6"/>
      <c r="AM139" s="6"/>
      <c r="AN139" s="7"/>
      <c r="AO139" s="7"/>
    </row>
    <row r="140" spans="1:41" ht="15.75">
      <c r="B140" s="19" t="s">
        <v>21</v>
      </c>
      <c r="R140" s="52" t="s">
        <v>139</v>
      </c>
      <c r="S140" s="137"/>
      <c r="T140" s="138"/>
      <c r="AC140" s="6"/>
      <c r="AD140" s="6"/>
      <c r="AE140" s="6"/>
      <c r="AF140" s="6"/>
      <c r="AG140" s="6"/>
      <c r="AH140" s="6"/>
      <c r="AI140" s="6"/>
      <c r="AJ140" s="6"/>
      <c r="AK140" s="6"/>
      <c r="AL140" s="6"/>
      <c r="AM140" s="6"/>
      <c r="AN140" s="7"/>
      <c r="AO140" s="7"/>
    </row>
    <row r="141" spans="1:41" ht="22.5" customHeight="1">
      <c r="C141" s="492" t="s">
        <v>11</v>
      </c>
      <c r="D141" s="493"/>
      <c r="E141" s="493"/>
      <c r="F141" s="493"/>
      <c r="G141" s="493"/>
      <c r="H141" s="493"/>
      <c r="I141" s="494"/>
      <c r="J141" s="38"/>
      <c r="K141" s="105" t="s">
        <v>20</v>
      </c>
      <c r="L141" s="105" t="s">
        <v>0</v>
      </c>
      <c r="M141" s="105" t="s">
        <v>30</v>
      </c>
      <c r="N141" s="38"/>
      <c r="Q141" s="105" t="s">
        <v>225</v>
      </c>
      <c r="R141" s="110" t="s">
        <v>135</v>
      </c>
      <c r="S141" s="110" t="s">
        <v>136</v>
      </c>
      <c r="T141" s="110" t="s">
        <v>125</v>
      </c>
      <c r="U141" s="105" t="s">
        <v>137</v>
      </c>
      <c r="AC141" s="6"/>
      <c r="AD141" s="6"/>
      <c r="AE141" s="6"/>
      <c r="AF141" s="6"/>
      <c r="AG141" s="6"/>
      <c r="AH141" s="6"/>
      <c r="AI141" s="6"/>
      <c r="AJ141" s="6"/>
      <c r="AK141" s="6"/>
      <c r="AL141" s="6"/>
      <c r="AM141" s="6"/>
      <c r="AN141" s="7"/>
      <c r="AO141" s="7"/>
    </row>
    <row r="142" spans="1:41">
      <c r="C142" s="22">
        <v>30</v>
      </c>
      <c r="D142" s="22">
        <v>65</v>
      </c>
      <c r="E142" s="22">
        <v>125</v>
      </c>
      <c r="F142" s="70">
        <v>300</v>
      </c>
      <c r="G142" s="41">
        <v>1000</v>
      </c>
      <c r="H142" s="41">
        <v>50000</v>
      </c>
      <c r="I142" s="41">
        <v>500000</v>
      </c>
      <c r="J142" s="39"/>
      <c r="K142" s="20" t="s">
        <v>26</v>
      </c>
      <c r="L142" s="8" t="s">
        <v>24</v>
      </c>
      <c r="M142" s="357">
        <v>238.9</v>
      </c>
      <c r="N142" s="39"/>
      <c r="Q142" s="363" t="s">
        <v>134</v>
      </c>
      <c r="R142" s="364">
        <v>2.2250000000000001</v>
      </c>
      <c r="S142" s="364">
        <v>4.8970000000000002</v>
      </c>
      <c r="T142" s="364">
        <v>11.141</v>
      </c>
      <c r="U142" s="365">
        <v>380.1</v>
      </c>
      <c r="W142"/>
      <c r="X142"/>
      <c r="Y142"/>
      <c r="Z142"/>
      <c r="AA142"/>
      <c r="AB142"/>
      <c r="AC142"/>
      <c r="AD142" s="6"/>
      <c r="AE142" s="6"/>
      <c r="AF142" s="6"/>
      <c r="AG142" s="6"/>
      <c r="AH142" s="6"/>
      <c r="AI142" s="6"/>
      <c r="AJ142" s="6"/>
      <c r="AK142" s="6"/>
      <c r="AL142" s="6"/>
      <c r="AM142" s="6"/>
      <c r="AN142" s="7"/>
      <c r="AO142" s="7"/>
    </row>
    <row r="143" spans="1:41">
      <c r="B143" s="8" t="s">
        <v>25</v>
      </c>
      <c r="C143" s="21">
        <f>+(M142+C142*M143+M146*2.2)/C142</f>
        <v>19.585999999999999</v>
      </c>
      <c r="D143" s="21">
        <f>+(M142+D142*M143+M146*2.2)/D142</f>
        <v>12.376000000000001</v>
      </c>
      <c r="E143" s="21">
        <f>+(M142+100*M143+25*M144+M146*2.2)/E142</f>
        <v>9.7236000000000011</v>
      </c>
      <c r="F143" s="21">
        <f>+(M142+100*M143+200*M144+M146*2.2)/F142</f>
        <v>8.581666666666667</v>
      </c>
      <c r="G143" s="21">
        <f>+(M142+100*M143+500*M144+M145*400+M146*3.3)/G142</f>
        <v>8.8593000000000011</v>
      </c>
      <c r="H143" s="21">
        <f>(R145+(0.23781845605546*T142+0.599445008949875*S142+0.162736534994665*R142)*H142+U142*153.9)/H142</f>
        <v>7.1327422181045481</v>
      </c>
      <c r="I143" s="21">
        <f>(R154+(0.23781845605546*T150+0.599445008949875*S150+0.162736534994665*R150)*I142+U150*153.9)/I142</f>
        <v>4.5428096152975526</v>
      </c>
      <c r="J143" s="33"/>
      <c r="K143" s="20" t="s">
        <v>65</v>
      </c>
      <c r="L143" s="8" t="s">
        <v>25</v>
      </c>
      <c r="M143" s="358">
        <v>6.1959999999999997</v>
      </c>
      <c r="N143" s="194"/>
      <c r="Q143" s="148" t="s">
        <v>141</v>
      </c>
      <c r="R143" s="359">
        <v>2.1579999999999999</v>
      </c>
      <c r="S143" s="359">
        <v>4.4909999999999997</v>
      </c>
      <c r="T143" s="359">
        <v>7.5650000000000004</v>
      </c>
      <c r="U143" s="360">
        <v>297</v>
      </c>
      <c r="W143"/>
      <c r="X143"/>
      <c r="Y143"/>
      <c r="Z143"/>
      <c r="AA143"/>
      <c r="AB143"/>
      <c r="AC143"/>
      <c r="AD143" s="6"/>
      <c r="AE143" s="6"/>
      <c r="AF143" s="6"/>
      <c r="AG143" s="6"/>
      <c r="AH143" s="6"/>
      <c r="AI143" s="6"/>
      <c r="AJ143" s="6"/>
      <c r="AK143" s="6"/>
      <c r="AL143" s="6"/>
      <c r="AM143" s="6"/>
      <c r="AN143" s="7"/>
      <c r="AO143" s="7"/>
    </row>
    <row r="144" spans="1:41">
      <c r="B144" s="8" t="s">
        <v>1</v>
      </c>
      <c r="C144" s="21">
        <f>+C143/$C$137*100</f>
        <v>49.891734394002427</v>
      </c>
      <c r="D144" s="21">
        <f t="shared" ref="D144:I144" si="6">+D143/$C$137*100</f>
        <v>31.525584849391102</v>
      </c>
      <c r="E144" s="21">
        <f t="shared" si="6"/>
        <v>24.769083455198714</v>
      </c>
      <c r="F144" s="21">
        <f t="shared" si="6"/>
        <v>21.860218216644416</v>
      </c>
      <c r="G144" s="21">
        <f t="shared" si="6"/>
        <v>22.567438094393228</v>
      </c>
      <c r="H144" s="21">
        <f t="shared" si="6"/>
        <v>18.169349547970992</v>
      </c>
      <c r="I144" s="21">
        <f t="shared" si="6"/>
        <v>11.571972364390168</v>
      </c>
      <c r="J144" s="33"/>
      <c r="K144" s="20" t="s">
        <v>66</v>
      </c>
      <c r="L144" s="8" t="s">
        <v>25</v>
      </c>
      <c r="M144" s="358">
        <v>7.766</v>
      </c>
      <c r="N144" s="194"/>
      <c r="Q144" s="143" t="s">
        <v>142</v>
      </c>
      <c r="R144" s="361">
        <v>2.145</v>
      </c>
      <c r="S144" s="361">
        <v>4.4790000000000001</v>
      </c>
      <c r="T144" s="361">
        <v>6.7450000000000001</v>
      </c>
      <c r="U144" s="362">
        <v>191.6</v>
      </c>
      <c r="W144"/>
      <c r="X144"/>
      <c r="Y144"/>
      <c r="Z144"/>
      <c r="AA144"/>
      <c r="AB144"/>
      <c r="AC144"/>
      <c r="AD144" s="6"/>
      <c r="AE144" s="6"/>
      <c r="AF144" s="6"/>
      <c r="AG144" s="6"/>
      <c r="AH144" s="6"/>
      <c r="AI144" s="6"/>
      <c r="AJ144" s="6"/>
      <c r="AK144" s="6"/>
      <c r="AL144" s="6"/>
      <c r="AM144" s="6"/>
      <c r="AN144" s="7"/>
      <c r="AO144" s="7"/>
    </row>
    <row r="145" spans="1:41">
      <c r="B145" s="6" t="s">
        <v>320</v>
      </c>
      <c r="K145" s="20" t="s">
        <v>67</v>
      </c>
      <c r="L145" s="8" t="s">
        <v>25</v>
      </c>
      <c r="M145" s="358">
        <v>9.6839999999999993</v>
      </c>
      <c r="Q145" s="146" t="s">
        <v>138</v>
      </c>
      <c r="R145" s="362">
        <v>784.4</v>
      </c>
      <c r="S145" s="14"/>
      <c r="T145" s="14"/>
      <c r="U145" s="14"/>
      <c r="AC145" s="6"/>
      <c r="AD145" s="6"/>
      <c r="AE145" s="6"/>
      <c r="AF145" s="6"/>
      <c r="AG145" s="6"/>
      <c r="AH145" s="6"/>
      <c r="AI145" s="6"/>
      <c r="AJ145" s="6"/>
      <c r="AK145" s="6"/>
      <c r="AL145" s="6"/>
      <c r="AM145" s="6"/>
      <c r="AN145" s="7"/>
      <c r="AO145" s="7"/>
    </row>
    <row r="146" spans="1:41" ht="15.75">
      <c r="C146" s="250"/>
      <c r="D146" s="250"/>
      <c r="E146" s="250"/>
      <c r="F146" s="250"/>
      <c r="G146" s="250"/>
      <c r="H146" s="250"/>
      <c r="I146" s="250"/>
      <c r="K146" s="139" t="s">
        <v>68</v>
      </c>
      <c r="L146" s="8" t="s">
        <v>69</v>
      </c>
      <c r="M146" s="357">
        <v>74</v>
      </c>
      <c r="O146" s="34"/>
      <c r="P146" s="34"/>
      <c r="Q146" s="113" t="s">
        <v>165</v>
      </c>
      <c r="R146" s="14"/>
      <c r="V146" s="34"/>
      <c r="W146" s="34"/>
      <c r="X146" s="34"/>
      <c r="Y146" s="34"/>
      <c r="Z146" s="34"/>
      <c r="AC146" s="6"/>
      <c r="AD146" s="6"/>
      <c r="AE146" s="6"/>
      <c r="AF146" s="6"/>
      <c r="AG146" s="6"/>
      <c r="AH146" s="6"/>
      <c r="AI146" s="6"/>
      <c r="AJ146" s="6"/>
      <c r="AK146" s="6"/>
      <c r="AL146" s="6"/>
      <c r="AM146" s="6"/>
      <c r="AN146" s="7"/>
      <c r="AO146" s="7"/>
    </row>
    <row r="147" spans="1:41">
      <c r="C147" s="224"/>
      <c r="D147" s="224"/>
      <c r="E147" s="224"/>
      <c r="F147" s="224"/>
      <c r="G147" s="224"/>
      <c r="H147" s="224"/>
      <c r="I147" s="224"/>
      <c r="R147" s="52" t="s">
        <v>139</v>
      </c>
      <c r="S147" s="137"/>
      <c r="T147" s="138"/>
      <c r="V147" s="34"/>
      <c r="W147" s="34"/>
      <c r="X147" s="34"/>
      <c r="Y147" s="34"/>
      <c r="Z147" s="34"/>
      <c r="AC147" s="6"/>
      <c r="AD147" s="6"/>
      <c r="AE147" s="6"/>
      <c r="AF147" s="6"/>
      <c r="AG147" s="6"/>
      <c r="AH147" s="6"/>
      <c r="AI147" s="6"/>
      <c r="AJ147" s="6"/>
      <c r="AK147" s="6"/>
      <c r="AL147" s="6"/>
      <c r="AM147" s="6"/>
      <c r="AN147" s="7"/>
      <c r="AO147" s="7"/>
    </row>
    <row r="148" spans="1:41">
      <c r="M148" s="193"/>
      <c r="N148" s="194"/>
      <c r="Q148" s="105" t="s">
        <v>225</v>
      </c>
      <c r="R148" s="110" t="s">
        <v>135</v>
      </c>
      <c r="S148" s="110" t="s">
        <v>136</v>
      </c>
      <c r="T148" s="110" t="s">
        <v>125</v>
      </c>
      <c r="U148" s="105" t="s">
        <v>137</v>
      </c>
      <c r="V148" s="141"/>
      <c r="W148" s="142"/>
      <c r="AC148" s="6"/>
      <c r="AD148" s="6"/>
      <c r="AE148" s="6"/>
      <c r="AF148" s="6"/>
      <c r="AG148" s="6"/>
      <c r="AH148" s="6"/>
      <c r="AI148" s="6"/>
      <c r="AJ148" s="6"/>
      <c r="AK148" s="6"/>
      <c r="AL148" s="6"/>
      <c r="AM148" s="6"/>
      <c r="AN148" s="7"/>
      <c r="AO148" s="7"/>
    </row>
    <row r="149" spans="1:41">
      <c r="M149" s="193"/>
      <c r="N149" s="194"/>
      <c r="Q149" s="147" t="s">
        <v>140</v>
      </c>
      <c r="R149" s="359">
        <v>2.1509999999999998</v>
      </c>
      <c r="S149" s="359">
        <v>3.8839999999999999</v>
      </c>
      <c r="T149" s="359">
        <v>10.904999999999999</v>
      </c>
      <c r="U149" s="360">
        <v>561.9</v>
      </c>
      <c r="V149" s="141"/>
      <c r="W149" s="142"/>
      <c r="AC149" s="6"/>
      <c r="AD149" s="6"/>
      <c r="AE149" s="6"/>
      <c r="AF149" s="6"/>
      <c r="AG149" s="6"/>
      <c r="AH149" s="6"/>
      <c r="AI149" s="6"/>
      <c r="AJ149" s="6"/>
      <c r="AK149" s="6"/>
      <c r="AL149" s="6"/>
      <c r="AM149" s="6"/>
      <c r="AN149" s="7"/>
      <c r="AO149" s="7"/>
    </row>
    <row r="150" spans="1:41">
      <c r="M150" s="193"/>
      <c r="N150" s="194"/>
      <c r="Q150" s="148" t="s">
        <v>144</v>
      </c>
      <c r="R150" s="359">
        <v>2.1379999999999999</v>
      </c>
      <c r="S150" s="359">
        <v>3.6930000000000001</v>
      </c>
      <c r="T150" s="359">
        <v>7.9889999999999999</v>
      </c>
      <c r="U150" s="366">
        <v>207.8</v>
      </c>
      <c r="V150" s="141"/>
      <c r="W150" s="142"/>
      <c r="AC150" s="6"/>
      <c r="AD150" s="6"/>
      <c r="AE150" s="6"/>
      <c r="AF150" s="6"/>
      <c r="AG150" s="6"/>
      <c r="AH150" s="6"/>
      <c r="AI150" s="6"/>
      <c r="AJ150" s="6"/>
      <c r="AK150" s="6"/>
      <c r="AL150" s="6"/>
      <c r="AM150" s="6"/>
      <c r="AN150" s="7"/>
      <c r="AO150" s="7"/>
    </row>
    <row r="151" spans="1:41">
      <c r="M151" s="193"/>
      <c r="N151" s="194"/>
      <c r="Q151" s="148" t="s">
        <v>143</v>
      </c>
      <c r="R151" s="359">
        <v>2.0819999999999999</v>
      </c>
      <c r="S151" s="359">
        <v>3.5840000000000001</v>
      </c>
      <c r="T151" s="359">
        <v>6.3440000000000003</v>
      </c>
      <c r="U151" s="366">
        <v>194.4</v>
      </c>
      <c r="V151" s="141"/>
      <c r="W151" s="142"/>
      <c r="AC151" s="6"/>
      <c r="AD151" s="6"/>
      <c r="AE151" s="6"/>
      <c r="AF151" s="6"/>
      <c r="AG151" s="6"/>
      <c r="AH151" s="6"/>
      <c r="AI151" s="6"/>
      <c r="AJ151" s="6"/>
      <c r="AK151" s="6"/>
      <c r="AL151" s="6"/>
      <c r="AM151" s="6"/>
      <c r="AN151" s="7"/>
      <c r="AO151" s="7"/>
    </row>
    <row r="152" spans="1:41">
      <c r="M152" s="193"/>
      <c r="N152" s="194"/>
      <c r="Q152" s="385" t="s">
        <v>488</v>
      </c>
      <c r="R152" s="359">
        <v>2.0819999999999999</v>
      </c>
      <c r="S152" s="359">
        <v>3.5840000000000001</v>
      </c>
      <c r="T152" s="359">
        <v>6.1269999999999998</v>
      </c>
      <c r="U152" s="366">
        <v>177</v>
      </c>
      <c r="V152" s="141"/>
      <c r="W152" s="142"/>
      <c r="AC152" s="6"/>
      <c r="AD152" s="6"/>
      <c r="AE152" s="6"/>
      <c r="AF152" s="6"/>
      <c r="AG152" s="6"/>
      <c r="AH152" s="6"/>
      <c r="AI152" s="6"/>
      <c r="AJ152" s="6"/>
      <c r="AK152" s="6"/>
      <c r="AL152" s="6"/>
      <c r="AM152" s="6"/>
      <c r="AN152" s="7"/>
      <c r="AO152" s="7"/>
    </row>
    <row r="153" spans="1:41">
      <c r="Q153" s="385" t="s">
        <v>440</v>
      </c>
      <c r="R153" s="359">
        <v>2.0659999999999998</v>
      </c>
      <c r="S153" s="359">
        <v>3.4670000000000001</v>
      </c>
      <c r="T153" s="359">
        <v>4.6580000000000004</v>
      </c>
      <c r="U153" s="366">
        <v>152.5</v>
      </c>
      <c r="V153" s="141"/>
      <c r="W153" s="142"/>
      <c r="AC153" s="6"/>
      <c r="AD153" s="6"/>
      <c r="AE153" s="6"/>
      <c r="AF153" s="6"/>
      <c r="AG153" s="6"/>
      <c r="AH153" s="6"/>
      <c r="AI153" s="6"/>
      <c r="AJ153" s="6"/>
      <c r="AK153" s="6"/>
      <c r="AL153" s="6"/>
      <c r="AM153" s="6"/>
      <c r="AN153" s="7"/>
      <c r="AO153" s="7"/>
    </row>
    <row r="154" spans="1:41">
      <c r="Q154" s="146" t="s">
        <v>138</v>
      </c>
      <c r="R154" s="344">
        <v>8618</v>
      </c>
      <c r="S154" s="14"/>
      <c r="T154" s="14"/>
      <c r="U154" s="14"/>
      <c r="V154" s="141"/>
      <c r="W154" s="142"/>
      <c r="AC154" s="6"/>
      <c r="AD154" s="6"/>
      <c r="AE154" s="6"/>
      <c r="AF154" s="6"/>
      <c r="AG154" s="6"/>
      <c r="AH154" s="6"/>
      <c r="AI154" s="6"/>
      <c r="AJ154" s="6"/>
      <c r="AK154" s="6"/>
      <c r="AL154" s="6"/>
      <c r="AM154" s="6"/>
      <c r="AN154" s="7"/>
      <c r="AO154" s="7"/>
    </row>
    <row r="155" spans="1:4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row>
    <row r="156" spans="1:41" ht="23.25">
      <c r="A156" s="474"/>
      <c r="B156" s="14" t="s">
        <v>3</v>
      </c>
      <c r="C156" s="227" t="s">
        <v>7</v>
      </c>
      <c r="F156" s="202" t="s">
        <v>361</v>
      </c>
      <c r="AC156" s="6"/>
      <c r="AD156" s="6"/>
      <c r="AE156" s="91"/>
      <c r="AN156" s="7"/>
      <c r="AO156" s="7"/>
    </row>
    <row r="157" spans="1:41">
      <c r="B157" s="14" t="s">
        <v>12</v>
      </c>
      <c r="C157" s="15" t="s">
        <v>39</v>
      </c>
      <c r="AA157" s="150"/>
      <c r="AC157" s="6"/>
      <c r="AD157" s="6"/>
      <c r="AN157" s="7"/>
      <c r="AO157" s="7"/>
    </row>
    <row r="158" spans="1:41">
      <c r="B158" s="14" t="s">
        <v>300</v>
      </c>
      <c r="C158" s="277">
        <f>+TipoCambio!B13</f>
        <v>10.725602932664479</v>
      </c>
      <c r="E158" s="174"/>
      <c r="AC158" s="6"/>
      <c r="AD158" s="6"/>
      <c r="AN158" s="7"/>
      <c r="AO158" s="7"/>
    </row>
    <row r="159" spans="1:41" ht="18">
      <c r="B159" s="14" t="s">
        <v>15</v>
      </c>
      <c r="C159" s="264">
        <f>Resumen!D16</f>
        <v>44896</v>
      </c>
      <c r="K159" s="106" t="s">
        <v>204</v>
      </c>
      <c r="Q159" s="106" t="s">
        <v>205</v>
      </c>
      <c r="U159" s="166"/>
      <c r="AC159" s="6"/>
      <c r="AD159" s="6"/>
      <c r="AN159" s="7"/>
      <c r="AO159" s="7"/>
    </row>
    <row r="160" spans="1:41">
      <c r="Z160" s="34"/>
      <c r="AA160" s="34"/>
      <c r="AB160" s="34"/>
      <c r="AN160" s="7"/>
      <c r="AO160" s="7"/>
    </row>
    <row r="161" spans="1:41" ht="15.75">
      <c r="B161" s="19" t="s">
        <v>21</v>
      </c>
      <c r="K161" s="76" t="s">
        <v>152</v>
      </c>
      <c r="R161" s="110" t="s">
        <v>423</v>
      </c>
      <c r="S161" s="110" t="s">
        <v>424</v>
      </c>
      <c r="Z161" s="34"/>
      <c r="AA161" s="34"/>
      <c r="AB161" s="34"/>
      <c r="AN161" s="7"/>
      <c r="AO161" s="7"/>
    </row>
    <row r="162" spans="1:41" ht="25.5" customHeight="1">
      <c r="C162" s="492" t="s">
        <v>11</v>
      </c>
      <c r="D162" s="493"/>
      <c r="E162" s="493"/>
      <c r="F162" s="493"/>
      <c r="G162" s="493"/>
      <c r="H162" s="493"/>
      <c r="I162" s="494"/>
      <c r="J162" s="38"/>
      <c r="K162" s="105" t="s">
        <v>20</v>
      </c>
      <c r="L162" s="105" t="s">
        <v>0</v>
      </c>
      <c r="M162" s="105" t="s">
        <v>30</v>
      </c>
      <c r="N162" s="38"/>
      <c r="Q162" s="116" t="s">
        <v>225</v>
      </c>
      <c r="R162" s="110" t="s">
        <v>545</v>
      </c>
      <c r="S162" s="110" t="s">
        <v>546</v>
      </c>
      <c r="T162" s="38"/>
      <c r="U162" s="38"/>
      <c r="V162" s="38"/>
      <c r="Z162" s="34"/>
      <c r="AA162" s="34"/>
      <c r="AB162" s="34"/>
      <c r="AN162" s="7"/>
      <c r="AO162" s="7"/>
    </row>
    <row r="163" spans="1:41">
      <c r="C163" s="22">
        <v>30</v>
      </c>
      <c r="D163" s="22">
        <v>65</v>
      </c>
      <c r="E163" s="22">
        <v>125</v>
      </c>
      <c r="F163" s="70">
        <v>300</v>
      </c>
      <c r="G163" s="41">
        <v>1000</v>
      </c>
      <c r="H163" s="41">
        <v>50000</v>
      </c>
      <c r="I163" s="41">
        <v>500000</v>
      </c>
      <c r="J163" s="39"/>
      <c r="K163" s="271" t="s">
        <v>415</v>
      </c>
      <c r="L163" s="8" t="s">
        <v>40</v>
      </c>
      <c r="M163" s="104">
        <v>1.58602</v>
      </c>
      <c r="N163" s="39"/>
      <c r="Q163" s="105" t="s">
        <v>20</v>
      </c>
      <c r="R163" s="115" t="s">
        <v>156</v>
      </c>
      <c r="S163" s="114" t="s">
        <v>288</v>
      </c>
      <c r="T163" s="39"/>
      <c r="U163" s="39"/>
      <c r="V163" s="39"/>
      <c r="Z163" s="34"/>
      <c r="AA163" s="34"/>
      <c r="AB163" s="34"/>
      <c r="AN163" s="7"/>
      <c r="AO163" s="7"/>
    </row>
    <row r="164" spans="1:41">
      <c r="B164" s="8" t="s">
        <v>38</v>
      </c>
      <c r="C164" s="21">
        <f>M163/C163</f>
        <v>5.2867333333333336E-2</v>
      </c>
      <c r="D164" s="21">
        <f>M163/D163</f>
        <v>2.4400307692307693E-2</v>
      </c>
      <c r="E164" s="21">
        <f>(M163+(E163-100)*M164)/E163</f>
        <v>1.7448160000000001E-2</v>
      </c>
      <c r="F164" s="149">
        <f>(M166+(F163-100)*M167)/F163</f>
        <v>5.9011666666666671E-2</v>
      </c>
      <c r="G164" s="21">
        <f>(M166+400*M167+500*M168)/G163</f>
        <v>8.1952499999999998E-2</v>
      </c>
      <c r="H164" s="21">
        <f>(R164*153.9+H163*R165)/H163</f>
        <v>6.096902672E-2</v>
      </c>
      <c r="I164" s="21">
        <f>(S164*920.8+I163*S165)/I163</f>
        <v>3.2914284784000006E-2</v>
      </c>
      <c r="J164" s="33"/>
      <c r="K164" s="145" t="s">
        <v>151</v>
      </c>
      <c r="L164" s="8" t="s">
        <v>38</v>
      </c>
      <c r="M164" s="31">
        <v>2.3800000000000002E-2</v>
      </c>
      <c r="N164" s="33"/>
      <c r="Q164" s="70" t="s">
        <v>154</v>
      </c>
      <c r="R164" s="327">
        <v>7.6962400000000004</v>
      </c>
      <c r="S164" s="327">
        <v>4.7644900000000003</v>
      </c>
      <c r="T164" s="33"/>
      <c r="U164" s="33"/>
      <c r="V164" s="33"/>
      <c r="AC164" s="6"/>
      <c r="AD164" s="6"/>
      <c r="AE164" s="6"/>
      <c r="AF164" s="6"/>
      <c r="AG164" s="6"/>
      <c r="AH164" s="6"/>
      <c r="AI164" s="6"/>
      <c r="AJ164" s="6"/>
      <c r="AK164" s="6"/>
      <c r="AL164" s="6"/>
      <c r="AM164" s="6"/>
      <c r="AN164" s="7"/>
      <c r="AO164" s="7"/>
    </row>
    <row r="165" spans="1:41">
      <c r="B165" s="8" t="s">
        <v>1</v>
      </c>
      <c r="C165" s="21">
        <f>+C164/$C$158*100</f>
        <v>0.49290779889238268</v>
      </c>
      <c r="D165" s="21">
        <f t="shared" ref="D165:I165" si="7">+D164/$C$158*100</f>
        <v>0.22749590718109972</v>
      </c>
      <c r="E165" s="21">
        <f t="shared" si="7"/>
        <v>0.16267766119573746</v>
      </c>
      <c r="F165" s="21">
        <f t="shared" si="7"/>
        <v>0.55019439967284767</v>
      </c>
      <c r="G165" s="21">
        <f t="shared" si="7"/>
        <v>0.7640829192959987</v>
      </c>
      <c r="H165" s="21">
        <f t="shared" si="7"/>
        <v>0.56844381712398462</v>
      </c>
      <c r="I165" s="21">
        <f t="shared" si="7"/>
        <v>0.30687584642687643</v>
      </c>
      <c r="J165" s="33"/>
      <c r="K165" s="76" t="s">
        <v>236</v>
      </c>
      <c r="L165" s="33"/>
      <c r="M165" s="226"/>
      <c r="N165" s="33"/>
      <c r="Q165" s="70" t="s">
        <v>155</v>
      </c>
      <c r="R165" s="327">
        <v>3.7280000000000001E-2</v>
      </c>
      <c r="S165" s="327">
        <v>2.4140000000000002E-2</v>
      </c>
      <c r="T165" s="33"/>
      <c r="U165" s="33"/>
      <c r="V165" s="33"/>
      <c r="AC165" s="6"/>
      <c r="AD165" s="6"/>
      <c r="AE165" s="6"/>
      <c r="AF165" s="6"/>
      <c r="AG165" s="6"/>
      <c r="AH165" s="6"/>
      <c r="AI165" s="6"/>
      <c r="AJ165" s="6"/>
      <c r="AK165" s="6"/>
      <c r="AL165" s="6"/>
      <c r="AM165" s="6"/>
      <c r="AN165" s="7"/>
      <c r="AO165" s="7"/>
    </row>
    <row r="166" spans="1:41">
      <c r="K166" s="271" t="s">
        <v>415</v>
      </c>
      <c r="L166" s="8" t="s">
        <v>40</v>
      </c>
      <c r="M166" s="23">
        <v>2.8294999999999999</v>
      </c>
      <c r="S166" s="77"/>
      <c r="AC166" s="6"/>
      <c r="AD166" s="6"/>
      <c r="AE166" s="6"/>
      <c r="AF166" s="6"/>
      <c r="AG166" s="6"/>
      <c r="AH166" s="6"/>
      <c r="AI166" s="6"/>
      <c r="AJ166" s="6"/>
      <c r="AK166" s="6"/>
      <c r="AL166" s="6"/>
      <c r="AM166" s="6"/>
      <c r="AN166" s="7"/>
      <c r="AO166" s="7"/>
    </row>
    <row r="167" spans="1:41">
      <c r="A167" s="34"/>
      <c r="K167" s="268" t="s">
        <v>416</v>
      </c>
      <c r="L167" s="8" t="s">
        <v>38</v>
      </c>
      <c r="M167" s="225">
        <v>7.4370000000000006E-2</v>
      </c>
      <c r="AC167" s="6"/>
      <c r="AD167" s="6"/>
      <c r="AE167" s="6"/>
      <c r="AF167" s="6"/>
      <c r="AG167" s="6"/>
      <c r="AH167" s="6"/>
      <c r="AI167" s="6"/>
      <c r="AJ167" s="6"/>
      <c r="AK167" s="6"/>
      <c r="AL167" s="6"/>
      <c r="AM167" s="6"/>
      <c r="AN167" s="7"/>
      <c r="AO167" s="7"/>
    </row>
    <row r="168" spans="1:41">
      <c r="A168" s="34"/>
      <c r="K168" s="139" t="s">
        <v>153</v>
      </c>
      <c r="L168" s="8" t="s">
        <v>38</v>
      </c>
      <c r="M168" s="225">
        <v>9.8750000000000004E-2</v>
      </c>
      <c r="R168" s="297"/>
      <c r="W168" s="34"/>
      <c r="X168" s="34" t="s">
        <v>323</v>
      </c>
      <c r="Y168" s="34"/>
      <c r="Z168" s="34"/>
      <c r="AA168" s="34"/>
      <c r="AB168" s="34"/>
      <c r="AN168" s="7"/>
      <c r="AO168" s="7"/>
    </row>
    <row r="169" spans="1:41">
      <c r="A169" s="34"/>
      <c r="O169" s="76"/>
      <c r="P169" s="76"/>
      <c r="W169" s="34"/>
      <c r="X169" s="34" t="s">
        <v>323</v>
      </c>
      <c r="Y169" s="34"/>
      <c r="Z169" s="34"/>
      <c r="AA169" s="34"/>
      <c r="AB169" s="34"/>
      <c r="AN169" s="7"/>
      <c r="AO169" s="7"/>
    </row>
    <row r="170" spans="1:41">
      <c r="A170" s="34"/>
      <c r="W170" s="34"/>
      <c r="X170" s="34" t="s">
        <v>323</v>
      </c>
      <c r="Y170" s="34"/>
      <c r="Z170" s="92"/>
      <c r="AA170" s="34"/>
      <c r="AB170" s="34"/>
      <c r="AN170" s="7"/>
      <c r="AO170" s="7"/>
    </row>
    <row r="171" spans="1:41">
      <c r="A171" s="34"/>
      <c r="W171" s="34"/>
      <c r="X171" s="34" t="s">
        <v>323</v>
      </c>
      <c r="Y171" s="34"/>
      <c r="Z171" s="34"/>
      <c r="AA171" s="34"/>
      <c r="AB171" s="34"/>
      <c r="AN171" s="7"/>
      <c r="AO171" s="7"/>
    </row>
    <row r="172" spans="1:41" ht="30">
      <c r="A172" s="96"/>
      <c r="B172" s="133" t="s">
        <v>166</v>
      </c>
      <c r="C172" s="34"/>
      <c r="X172" s="6" t="s">
        <v>323</v>
      </c>
      <c r="AB172" s="34"/>
      <c r="AN172" s="7"/>
      <c r="AO172" s="7"/>
    </row>
    <row r="173" spans="1:4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93"/>
      <c r="AG173" s="7"/>
      <c r="AH173" s="7"/>
      <c r="AI173" s="7"/>
      <c r="AJ173" s="7"/>
      <c r="AK173" s="7"/>
      <c r="AL173" s="7"/>
      <c r="AM173" s="7"/>
      <c r="AN173" s="7"/>
      <c r="AO173" s="7"/>
    </row>
    <row r="174" spans="1:41" ht="23.25" customHeight="1">
      <c r="A174" s="474"/>
      <c r="B174" s="14" t="s">
        <v>3</v>
      </c>
      <c r="C174" s="227" t="s">
        <v>71</v>
      </c>
      <c r="E174" s="202" t="s">
        <v>360</v>
      </c>
      <c r="AB174" s="34"/>
      <c r="AN174" s="7"/>
      <c r="AO174" s="7"/>
    </row>
    <row r="175" spans="1:41" ht="12.75" customHeight="1">
      <c r="B175" s="14" t="s">
        <v>12</v>
      </c>
      <c r="C175" s="15" t="s">
        <v>72</v>
      </c>
      <c r="AB175" s="34"/>
      <c r="AN175" s="7"/>
      <c r="AO175" s="7"/>
    </row>
    <row r="176" spans="1:41" ht="12.75" customHeight="1">
      <c r="B176" s="14" t="s">
        <v>76</v>
      </c>
      <c r="C176" s="282">
        <f>+TipoCambio!B14</f>
        <v>603.23000192938457</v>
      </c>
      <c r="F176" s="18"/>
      <c r="Q176" s="106" t="s">
        <v>210</v>
      </c>
      <c r="AA176" s="106" t="s">
        <v>235</v>
      </c>
      <c r="AC176" s="6"/>
      <c r="AD176" s="6"/>
      <c r="AE176" s="6"/>
      <c r="AN176" s="7"/>
      <c r="AO176" s="7"/>
    </row>
    <row r="177" spans="1:41" ht="18" customHeight="1">
      <c r="B177" s="14" t="s">
        <v>15</v>
      </c>
      <c r="C177" s="264">
        <f>Resumen!D17</f>
        <v>44896</v>
      </c>
      <c r="F177" s="18"/>
      <c r="K177" s="106" t="s">
        <v>442</v>
      </c>
      <c r="S177" s="196"/>
      <c r="T177" s="196"/>
      <c r="W177" s="253" t="s">
        <v>561</v>
      </c>
      <c r="AA177" s="515" t="s">
        <v>260</v>
      </c>
      <c r="AB177" s="520"/>
      <c r="AC177" s="521"/>
      <c r="AD177" s="521"/>
      <c r="AE177" s="522"/>
      <c r="AN177" s="7"/>
      <c r="AO177" s="7"/>
    </row>
    <row r="178" spans="1:41" ht="24.75" customHeight="1">
      <c r="F178" s="202"/>
      <c r="R178" s="97"/>
      <c r="S178" s="128" t="s">
        <v>523</v>
      </c>
      <c r="U178" s="254" t="s">
        <v>20</v>
      </c>
      <c r="V178" s="254" t="s">
        <v>0</v>
      </c>
      <c r="W178" s="254" t="s">
        <v>30</v>
      </c>
      <c r="Z178" s="34"/>
      <c r="AA178" s="516"/>
      <c r="AB178" s="517" t="s">
        <v>289</v>
      </c>
      <c r="AC178" s="518"/>
      <c r="AD178" s="518"/>
      <c r="AE178" s="519"/>
      <c r="AN178" s="7"/>
      <c r="AO178" s="7"/>
    </row>
    <row r="179" spans="1:41" ht="25.5" customHeight="1">
      <c r="B179" s="19" t="s">
        <v>21</v>
      </c>
      <c r="L179" s="513" t="s">
        <v>259</v>
      </c>
      <c r="M179" s="514"/>
      <c r="Q179" s="105" t="s">
        <v>20</v>
      </c>
      <c r="R179" s="105" t="s">
        <v>0</v>
      </c>
      <c r="S179" s="105" t="s">
        <v>30</v>
      </c>
      <c r="U179" s="510" t="s">
        <v>307</v>
      </c>
      <c r="V179" s="511"/>
      <c r="W179" s="512"/>
      <c r="Z179" s="34"/>
      <c r="AA179" s="497" t="s">
        <v>261</v>
      </c>
      <c r="AB179" s="496" t="s">
        <v>262</v>
      </c>
      <c r="AC179" s="496"/>
      <c r="AD179" s="496" t="s">
        <v>264</v>
      </c>
      <c r="AE179" s="496"/>
      <c r="AN179" s="7"/>
      <c r="AO179" s="7"/>
    </row>
    <row r="180" spans="1:41" ht="25.5" customHeight="1">
      <c r="C180" s="492" t="s">
        <v>11</v>
      </c>
      <c r="D180" s="493"/>
      <c r="E180" s="493"/>
      <c r="F180" s="493"/>
      <c r="G180" s="493"/>
      <c r="H180" s="493"/>
      <c r="I180" s="494"/>
      <c r="K180" s="105" t="s">
        <v>20</v>
      </c>
      <c r="L180" s="105" t="s">
        <v>0</v>
      </c>
      <c r="M180" s="105" t="s">
        <v>290</v>
      </c>
      <c r="Q180" s="20" t="s">
        <v>268</v>
      </c>
      <c r="R180" s="8" t="s">
        <v>73</v>
      </c>
      <c r="S180" s="357">
        <v>92.56</v>
      </c>
      <c r="U180" s="29" t="s">
        <v>303</v>
      </c>
      <c r="V180" s="57" t="s">
        <v>167</v>
      </c>
      <c r="W180" s="337">
        <v>7804.74</v>
      </c>
      <c r="Z180" s="34"/>
      <c r="AA180" s="497"/>
      <c r="AB180" s="496" t="s">
        <v>263</v>
      </c>
      <c r="AC180" s="496"/>
      <c r="AD180" s="496" t="s">
        <v>265</v>
      </c>
      <c r="AE180" s="496"/>
      <c r="AN180" s="7"/>
      <c r="AO180" s="7"/>
    </row>
    <row r="181" spans="1:41" ht="15" customHeight="1">
      <c r="C181" s="22">
        <v>30</v>
      </c>
      <c r="D181" s="22">
        <v>65</v>
      </c>
      <c r="E181" s="22">
        <v>125</v>
      </c>
      <c r="F181" s="22">
        <v>300</v>
      </c>
      <c r="G181" s="41">
        <v>1000</v>
      </c>
      <c r="H181" s="41">
        <v>50000</v>
      </c>
      <c r="I181" s="41">
        <v>500000</v>
      </c>
      <c r="K181" s="20" t="s">
        <v>490</v>
      </c>
      <c r="L181" s="8" t="s">
        <v>441</v>
      </c>
      <c r="M181" s="434">
        <v>1065.08</v>
      </c>
      <c r="U181" s="27" t="s">
        <v>304</v>
      </c>
      <c r="V181" s="8" t="s">
        <v>167</v>
      </c>
      <c r="W181" s="357">
        <v>5449.37</v>
      </c>
      <c r="Z181" s="34"/>
      <c r="AA181" s="497"/>
      <c r="AB181" s="169" t="s">
        <v>271</v>
      </c>
      <c r="AC181" s="169" t="s">
        <v>272</v>
      </c>
      <c r="AD181" s="169" t="s">
        <v>271</v>
      </c>
      <c r="AE181" s="169" t="s">
        <v>273</v>
      </c>
      <c r="AN181" s="7"/>
      <c r="AO181" s="7"/>
    </row>
    <row r="182" spans="1:41" ht="14.1" customHeight="1">
      <c r="B182" s="8" t="s">
        <v>73</v>
      </c>
      <c r="C182" s="21">
        <f>($M$181+C181*$M$182)/C181</f>
        <v>87.602666666666664</v>
      </c>
      <c r="D182" s="21">
        <f>($M$181+D181*$M$182)/D181</f>
        <v>68.485846153846154</v>
      </c>
      <c r="E182" s="21">
        <f>($M$181+E181*$M$182)/E181</f>
        <v>60.620640000000002</v>
      </c>
      <c r="F182" s="21">
        <f>($M$183+F181*$M$184)/F181</f>
        <v>91.811333333333337</v>
      </c>
      <c r="G182" s="21">
        <f>+(M185+960*M186)/G181</f>
        <v>96.213160000000002</v>
      </c>
      <c r="H182" s="21">
        <f>(+S181*0+S180*3000+S182*47000+(153.9)*S183)/H181</f>
        <v>85.786473420000007</v>
      </c>
      <c r="I182" s="21">
        <f>(500000*(63%*W184+23%*W185+14%*W186)+(920.8)*W180)/I181</f>
        <v>50.324909183999999</v>
      </c>
      <c r="K182" s="304" t="s">
        <v>493</v>
      </c>
      <c r="L182" s="8" t="s">
        <v>73</v>
      </c>
      <c r="M182" s="434">
        <v>52.1</v>
      </c>
      <c r="Q182" s="20" t="s">
        <v>309</v>
      </c>
      <c r="R182" s="8" t="s">
        <v>73</v>
      </c>
      <c r="S182" s="357">
        <v>55.38</v>
      </c>
      <c r="U182" s="28" t="s">
        <v>305</v>
      </c>
      <c r="V182" s="56" t="s">
        <v>167</v>
      </c>
      <c r="W182" s="336">
        <v>3490.45</v>
      </c>
      <c r="Z182" s="34"/>
      <c r="AA182" s="168" t="s">
        <v>125</v>
      </c>
      <c r="AB182" s="170">
        <v>34.799999999999997</v>
      </c>
      <c r="AC182" s="170">
        <v>26</v>
      </c>
      <c r="AD182" s="171">
        <v>5552</v>
      </c>
      <c r="AE182" s="171">
        <v>4165</v>
      </c>
      <c r="AN182" s="7"/>
      <c r="AO182" s="7"/>
    </row>
    <row r="183" spans="1:41" ht="18.75" customHeight="1">
      <c r="B183" s="8" t="s">
        <v>1</v>
      </c>
      <c r="C183" s="21">
        <f t="shared" ref="C183:I183" si="8">+C182/$C$176*100</f>
        <v>14.522266198046566</v>
      </c>
      <c r="D183" s="21">
        <f t="shared" si="8"/>
        <v>11.353189651509286</v>
      </c>
      <c r="E183" s="21">
        <f t="shared" si="8"/>
        <v>10.049341015219662</v>
      </c>
      <c r="F183" s="21">
        <f t="shared" si="8"/>
        <v>15.219954750208359</v>
      </c>
      <c r="G183" s="21">
        <f t="shared" si="8"/>
        <v>15.94966425613276</v>
      </c>
      <c r="H183" s="21">
        <f>+H182/$C$176*100</f>
        <v>14.221188128179731</v>
      </c>
      <c r="I183" s="21">
        <f t="shared" si="8"/>
        <v>8.3425739805778338</v>
      </c>
      <c r="K183" s="20" t="s">
        <v>491</v>
      </c>
      <c r="L183" s="8" t="s">
        <v>441</v>
      </c>
      <c r="M183" s="304">
        <v>3660.4</v>
      </c>
      <c r="Q183" s="20" t="s">
        <v>308</v>
      </c>
      <c r="R183" s="8" t="s">
        <v>167</v>
      </c>
      <c r="S183" s="357">
        <v>9153.89</v>
      </c>
      <c r="U183" s="507" t="s">
        <v>306</v>
      </c>
      <c r="V183" s="508"/>
      <c r="W183" s="509"/>
      <c r="Z183" s="34"/>
      <c r="AA183" s="168" t="s">
        <v>135</v>
      </c>
      <c r="AB183" s="170">
        <v>6.9</v>
      </c>
      <c r="AC183" s="170">
        <v>6.9</v>
      </c>
      <c r="AD183" s="171">
        <v>5355</v>
      </c>
      <c r="AE183" s="171">
        <v>1983</v>
      </c>
      <c r="AN183" s="7"/>
      <c r="AO183" s="7"/>
    </row>
    <row r="184" spans="1:41" ht="16.5" customHeight="1">
      <c r="C184" s="250"/>
      <c r="D184" s="250"/>
      <c r="E184" s="250"/>
      <c r="F184" s="386"/>
      <c r="G184" s="250"/>
      <c r="H184" s="250"/>
      <c r="I184" s="250"/>
      <c r="K184" s="20" t="s">
        <v>492</v>
      </c>
      <c r="L184" s="20" t="s">
        <v>73</v>
      </c>
      <c r="M184" s="304">
        <v>79.61</v>
      </c>
      <c r="U184" s="29" t="s">
        <v>303</v>
      </c>
      <c r="V184" s="57" t="s">
        <v>73</v>
      </c>
      <c r="W184" s="337">
        <v>48.1</v>
      </c>
      <c r="X184" s="391">
        <f>+W184/$W$187</f>
        <v>0.625</v>
      </c>
      <c r="Z184" s="34"/>
      <c r="AA184" s="168" t="s">
        <v>266</v>
      </c>
      <c r="AB184" s="170">
        <v>6.2</v>
      </c>
      <c r="AC184" s="170">
        <v>6.2</v>
      </c>
      <c r="AD184" s="171">
        <v>2430</v>
      </c>
      <c r="AE184" s="171">
        <v>1983</v>
      </c>
      <c r="AN184" s="7"/>
      <c r="AO184" s="7"/>
    </row>
    <row r="185" spans="1:41" ht="21.75" customHeight="1">
      <c r="C185" s="387"/>
      <c r="D185" s="251"/>
      <c r="E185" s="251"/>
      <c r="F185" s="388"/>
      <c r="G185" s="251"/>
      <c r="H185" s="251"/>
      <c r="I185" s="251"/>
      <c r="K185" s="20" t="s">
        <v>494</v>
      </c>
      <c r="L185" s="8" t="s">
        <v>441</v>
      </c>
      <c r="M185" s="304">
        <v>7355.56</v>
      </c>
      <c r="Q185" s="53"/>
      <c r="R185" s="10"/>
      <c r="S185" s="33"/>
      <c r="T185" s="33"/>
      <c r="U185" s="20" t="s">
        <v>304</v>
      </c>
      <c r="V185" s="8" t="s">
        <v>73</v>
      </c>
      <c r="W185" s="357">
        <v>17.87</v>
      </c>
      <c r="X185" s="391">
        <f>+W185/$W$187</f>
        <v>0.2321985446985447</v>
      </c>
      <c r="Z185" s="34"/>
      <c r="AA185" s="501" t="s">
        <v>267</v>
      </c>
      <c r="AB185" s="502"/>
      <c r="AC185" s="502"/>
      <c r="AD185" s="502"/>
      <c r="AE185" s="503"/>
      <c r="AN185" s="7"/>
      <c r="AO185" s="7"/>
    </row>
    <row r="186" spans="1:41">
      <c r="K186" s="20" t="s">
        <v>495</v>
      </c>
      <c r="L186" s="20" t="s">
        <v>73</v>
      </c>
      <c r="M186" s="304">
        <v>92.56</v>
      </c>
      <c r="Q186" s="53"/>
      <c r="R186" s="10"/>
      <c r="S186" s="33"/>
      <c r="T186" s="33"/>
      <c r="U186" s="20" t="s">
        <v>305</v>
      </c>
      <c r="V186" s="8" t="s">
        <v>73</v>
      </c>
      <c r="W186" s="357">
        <v>10.99</v>
      </c>
      <c r="X186" s="391">
        <f>+W186/$W$187</f>
        <v>0.1428014553014553</v>
      </c>
      <c r="Y186" s="53"/>
      <c r="Z186" s="53"/>
      <c r="AA186" s="34"/>
      <c r="AB186" s="34"/>
      <c r="AN186" s="7"/>
      <c r="AO186" s="7"/>
    </row>
    <row r="187" spans="1:41">
      <c r="Q187" s="53"/>
      <c r="R187" s="10"/>
      <c r="S187" s="33"/>
      <c r="T187" s="33"/>
      <c r="V187" s="33"/>
      <c r="W187" s="33">
        <f>+W186+W185+W184</f>
        <v>76.960000000000008</v>
      </c>
      <c r="X187" s="53"/>
      <c r="Y187" s="392"/>
      <c r="Z187" s="53"/>
      <c r="AA187" s="34"/>
      <c r="AB187" s="34"/>
      <c r="AN187" s="7"/>
      <c r="AO187" s="7"/>
    </row>
    <row r="188" spans="1:41">
      <c r="A188" s="7"/>
      <c r="B188" s="7"/>
      <c r="C188" s="7"/>
      <c r="D188" s="7"/>
      <c r="E188" s="7"/>
      <c r="F188" s="7"/>
      <c r="G188" s="7"/>
      <c r="H188" s="7"/>
      <c r="I188" s="7"/>
      <c r="J188" s="7"/>
      <c r="K188" s="7"/>
      <c r="L188" s="7"/>
      <c r="M188" s="7"/>
      <c r="N188" s="7"/>
      <c r="O188" s="7"/>
      <c r="P188" s="7"/>
      <c r="Q188" s="7"/>
      <c r="R188" s="7"/>
      <c r="S188" s="7"/>
      <c r="T188" s="61"/>
      <c r="U188" s="7"/>
      <c r="V188" s="7"/>
      <c r="W188" s="7"/>
      <c r="X188" s="7"/>
      <c r="Y188" s="7"/>
      <c r="Z188" s="7"/>
      <c r="AA188" s="7"/>
      <c r="AB188" s="7"/>
      <c r="AC188" s="7"/>
      <c r="AD188" s="7"/>
      <c r="AE188" s="7"/>
      <c r="AF188" s="7"/>
      <c r="AG188" s="7"/>
      <c r="AH188" s="7"/>
      <c r="AI188" s="7"/>
      <c r="AJ188" s="7"/>
      <c r="AK188" s="7"/>
      <c r="AL188" s="7"/>
      <c r="AM188" s="7"/>
      <c r="AN188" s="7"/>
      <c r="AO188" s="7"/>
    </row>
    <row r="189" spans="1:41" ht="23.25">
      <c r="A189" s="474"/>
      <c r="B189" s="14" t="s">
        <v>3</v>
      </c>
      <c r="C189" s="227" t="s">
        <v>83</v>
      </c>
      <c r="E189" s="6" t="s">
        <v>329</v>
      </c>
      <c r="S189" s="167"/>
      <c r="AA189" s="6" t="s">
        <v>269</v>
      </c>
      <c r="AC189" s="6"/>
      <c r="AD189" s="6"/>
      <c r="AE189" s="6"/>
      <c r="AF189" s="6"/>
      <c r="AG189" s="6"/>
      <c r="AH189" s="6"/>
      <c r="AI189" s="6"/>
      <c r="AJ189" s="6"/>
      <c r="AK189" s="6"/>
      <c r="AL189" s="6"/>
      <c r="AM189" s="6"/>
      <c r="AN189" s="7"/>
      <c r="AO189" s="7"/>
    </row>
    <row r="190" spans="1:41">
      <c r="A190" s="34"/>
      <c r="B190" s="14" t="s">
        <v>12</v>
      </c>
      <c r="C190" s="15" t="s">
        <v>84</v>
      </c>
      <c r="E190" s="26"/>
      <c r="AC190" s="15"/>
      <c r="AD190" s="15"/>
      <c r="AE190" s="15"/>
      <c r="AF190" s="6"/>
      <c r="AG190" s="6"/>
      <c r="AH190" s="6"/>
      <c r="AI190" s="6"/>
      <c r="AJ190" s="6"/>
      <c r="AK190" s="6"/>
      <c r="AL190" s="6"/>
      <c r="AM190" s="6"/>
      <c r="AN190" s="7"/>
      <c r="AO190" s="7"/>
    </row>
    <row r="191" spans="1:41">
      <c r="B191" s="14" t="s">
        <v>76</v>
      </c>
      <c r="C191" s="279">
        <f>+TipoCambio!B15</f>
        <v>1</v>
      </c>
      <c r="S191" s="167"/>
      <c r="AC191" s="6"/>
      <c r="AD191" s="6"/>
      <c r="AE191" s="6"/>
      <c r="AF191" s="6"/>
      <c r="AG191" s="6"/>
      <c r="AH191" s="6"/>
      <c r="AI191" s="6"/>
      <c r="AJ191" s="6"/>
      <c r="AK191" s="6"/>
      <c r="AL191" s="6"/>
      <c r="AM191" s="6"/>
      <c r="AN191" s="7"/>
      <c r="AO191" s="7"/>
    </row>
    <row r="192" spans="1:41">
      <c r="B192" s="14" t="s">
        <v>15</v>
      </c>
      <c r="C192" s="264">
        <f>Resumen!D18</f>
        <v>44896</v>
      </c>
      <c r="M192" s="296"/>
      <c r="N192" s="296"/>
      <c r="O192" s="296"/>
      <c r="S192" s="167"/>
      <c r="AA192" s="100" t="s">
        <v>179</v>
      </c>
      <c r="AC192" s="6"/>
      <c r="AD192" s="6"/>
      <c r="AE192" s="6"/>
      <c r="AF192" s="6"/>
      <c r="AG192" s="6"/>
      <c r="AH192" s="6"/>
      <c r="AI192" s="6"/>
      <c r="AJ192" s="6"/>
      <c r="AK192" s="6"/>
      <c r="AL192" s="6"/>
      <c r="AM192" s="6"/>
      <c r="AN192" s="7"/>
      <c r="AO192" s="7"/>
    </row>
    <row r="193" spans="1:41" ht="18">
      <c r="K193" s="106" t="s">
        <v>204</v>
      </c>
      <c r="M193" s="296"/>
      <c r="N193" s="296"/>
      <c r="O193" s="296"/>
      <c r="Q193" s="106" t="s">
        <v>205</v>
      </c>
      <c r="AA193" s="100" t="s">
        <v>172</v>
      </c>
      <c r="AC193" s="6"/>
      <c r="AD193" s="6"/>
      <c r="AE193" s="6"/>
      <c r="AF193" s="6"/>
      <c r="AG193" s="6"/>
      <c r="AH193" s="6"/>
      <c r="AI193" s="6"/>
      <c r="AJ193" s="6"/>
      <c r="AK193" s="6"/>
      <c r="AL193" s="6"/>
      <c r="AM193" s="6"/>
      <c r="AN193" s="7"/>
      <c r="AO193" s="7"/>
    </row>
    <row r="194" spans="1:41" ht="15.75">
      <c r="B194" s="19" t="s">
        <v>21</v>
      </c>
      <c r="K194" s="18"/>
      <c r="M194" s="296"/>
      <c r="N194" s="296"/>
      <c r="O194" s="296"/>
      <c r="AA194" s="103" t="s">
        <v>177</v>
      </c>
      <c r="AC194" s="6"/>
      <c r="AD194" s="6"/>
      <c r="AE194" s="6"/>
      <c r="AF194" s="6"/>
      <c r="AG194" s="6"/>
      <c r="AH194" s="6"/>
      <c r="AI194" s="6"/>
      <c r="AJ194" s="6"/>
      <c r="AK194" s="6"/>
      <c r="AL194" s="6"/>
      <c r="AM194" s="6"/>
      <c r="AN194" s="7"/>
      <c r="AO194" s="7"/>
    </row>
    <row r="195" spans="1:41" ht="36.75" customHeight="1">
      <c r="C195" s="504" t="s">
        <v>11</v>
      </c>
      <c r="D195" s="505"/>
      <c r="E195" s="505"/>
      <c r="F195" s="505"/>
      <c r="G195" s="505"/>
      <c r="H195" s="505"/>
      <c r="I195" s="506"/>
      <c r="J195" s="38"/>
      <c r="L195" s="97"/>
      <c r="M195" s="110" t="s">
        <v>299</v>
      </c>
      <c r="N195" s="110" t="s">
        <v>310</v>
      </c>
      <c r="O195" s="110" t="s">
        <v>298</v>
      </c>
      <c r="P195" s="97"/>
      <c r="Q195" s="38"/>
      <c r="R195" s="38"/>
      <c r="S195" s="105" t="s">
        <v>238</v>
      </c>
      <c r="T195" s="105" t="s">
        <v>239</v>
      </c>
      <c r="W195" s="38"/>
      <c r="AA195" s="101" t="s">
        <v>173</v>
      </c>
      <c r="AC195" s="6"/>
      <c r="AD195" s="6"/>
      <c r="AE195" s="6"/>
      <c r="AF195" s="6"/>
      <c r="AG195" s="6"/>
      <c r="AH195" s="6"/>
      <c r="AI195" s="6"/>
      <c r="AJ195" s="6"/>
      <c r="AK195" s="6"/>
      <c r="AL195" s="6"/>
      <c r="AM195" s="6"/>
      <c r="AN195" s="7"/>
      <c r="AO195" s="7"/>
    </row>
    <row r="196" spans="1:41" ht="22.5" customHeight="1">
      <c r="C196" s="22">
        <v>30</v>
      </c>
      <c r="D196" s="22">
        <v>65</v>
      </c>
      <c r="E196" s="22">
        <v>125</v>
      </c>
      <c r="F196" s="22">
        <v>300</v>
      </c>
      <c r="G196" s="41">
        <v>1000</v>
      </c>
      <c r="H196" s="41">
        <v>50000</v>
      </c>
      <c r="I196" s="41">
        <v>500000</v>
      </c>
      <c r="J196" s="39"/>
      <c r="K196" s="105" t="s">
        <v>20</v>
      </c>
      <c r="L196" s="105" t="s">
        <v>0</v>
      </c>
      <c r="M196" s="105" t="s">
        <v>30</v>
      </c>
      <c r="N196" s="105" t="s">
        <v>30</v>
      </c>
      <c r="O196" s="105" t="s">
        <v>30</v>
      </c>
      <c r="P196" s="39"/>
      <c r="Q196" s="105" t="s">
        <v>20</v>
      </c>
      <c r="R196" s="105" t="s">
        <v>0</v>
      </c>
      <c r="S196" s="105" t="s">
        <v>30</v>
      </c>
      <c r="T196" s="105" t="s">
        <v>30</v>
      </c>
      <c r="W196" s="39"/>
      <c r="AA196" s="102" t="s">
        <v>178</v>
      </c>
      <c r="AC196" s="6"/>
      <c r="AD196" s="6"/>
      <c r="AE196" s="6"/>
      <c r="AF196" s="6"/>
      <c r="AG196" s="6"/>
      <c r="AH196" s="6"/>
      <c r="AI196" s="6"/>
      <c r="AJ196" s="6"/>
      <c r="AK196" s="6"/>
      <c r="AL196" s="6"/>
      <c r="AM196" s="6"/>
      <c r="AN196" s="7"/>
      <c r="AO196" s="7"/>
    </row>
    <row r="197" spans="1:41">
      <c r="B197" s="8" t="s">
        <v>1</v>
      </c>
      <c r="C197" s="27">
        <f>($M$197+C196*($M$198+$M$199))/C196*100</f>
        <v>22.430683333333334</v>
      </c>
      <c r="D197" s="27">
        <f>($M$197+D196*($M$198+$M$199))/D196*100</f>
        <v>20.927092307692309</v>
      </c>
      <c r="E197" s="27">
        <f>($N$197+99*($N$198+$N$199)+26*(N200+N201))/E196*100</f>
        <v>20.391235200000001</v>
      </c>
      <c r="F197" s="27">
        <f>($O$197+99*($O$198+$O$199)+100*(O200+O201)+101*(O202+O203))/F196*100</f>
        <v>20.523727000000001</v>
      </c>
      <c r="G197" s="21">
        <f>($O$197+99*($O$198+$O$199)+100*(O200+O201)+801*(O202+O203))/G196*100</f>
        <v>20.888548100000001</v>
      </c>
      <c r="H197" s="149">
        <f>(S197+(0.2798*S198+0.1477*S200+0.5725*S199)*H196+S201*153.9)/H196*100</f>
        <v>22.217818480600002</v>
      </c>
      <c r="I197" s="21">
        <f>(T197+(0.1775*T198+0.2158*T200+0.6068*T199)*I196+T201*920.8)/I196*100</f>
        <v>18.195693311079999</v>
      </c>
      <c r="J197" s="40"/>
      <c r="K197" s="304" t="s">
        <v>367</v>
      </c>
      <c r="L197" s="8" t="s">
        <v>171</v>
      </c>
      <c r="M197" s="451">
        <v>0.83771499999999999</v>
      </c>
      <c r="N197" s="452">
        <f>M197</f>
        <v>0.83771499999999999</v>
      </c>
      <c r="O197" s="452">
        <f>M197</f>
        <v>0.83771499999999999</v>
      </c>
      <c r="P197" s="40"/>
      <c r="Q197" s="304" t="s">
        <v>417</v>
      </c>
      <c r="R197" s="8" t="s">
        <v>171</v>
      </c>
      <c r="S197" s="329">
        <v>0.83771499999999999</v>
      </c>
      <c r="T197" s="389">
        <v>12.862377</v>
      </c>
      <c r="U197" s="296"/>
      <c r="W197" s="40"/>
      <c r="AA197" s="102" t="s">
        <v>174</v>
      </c>
      <c r="AC197" s="6"/>
      <c r="AD197" s="6"/>
      <c r="AE197" s="6"/>
      <c r="AF197" s="6"/>
      <c r="AG197" s="6"/>
      <c r="AH197" s="6"/>
      <c r="AI197" s="6"/>
      <c r="AJ197" s="6"/>
      <c r="AK197" s="6"/>
      <c r="AL197" s="6"/>
      <c r="AM197" s="6"/>
      <c r="AN197" s="7"/>
      <c r="AO197" s="7"/>
    </row>
    <row r="198" spans="1:41">
      <c r="B198" s="10"/>
      <c r="C198" s="33"/>
      <c r="D198" s="33"/>
      <c r="E198" s="33"/>
      <c r="F198" s="33"/>
      <c r="G198" s="33"/>
      <c r="H198" s="33"/>
      <c r="I198" s="33"/>
      <c r="J198" s="33"/>
      <c r="K198" s="20" t="s">
        <v>311</v>
      </c>
      <c r="L198" s="8" t="s">
        <v>35</v>
      </c>
      <c r="M198" s="451">
        <v>0.16426399999999999</v>
      </c>
      <c r="N198" s="452">
        <f>M198</f>
        <v>0.16426399999999999</v>
      </c>
      <c r="O198" s="452">
        <f>M198</f>
        <v>0.16426399999999999</v>
      </c>
      <c r="P198" s="33"/>
      <c r="Q198" s="20" t="s">
        <v>168</v>
      </c>
      <c r="R198" s="8" t="s">
        <v>35</v>
      </c>
      <c r="S198" s="329">
        <v>0.16747200000000001</v>
      </c>
      <c r="T198" s="329">
        <v>0.15514600000000001</v>
      </c>
      <c r="W198" s="33"/>
      <c r="AA198" s="100" t="s">
        <v>175</v>
      </c>
      <c r="AC198" s="6"/>
      <c r="AD198" s="6"/>
      <c r="AE198" s="6"/>
      <c r="AF198" s="6"/>
      <c r="AG198" s="6"/>
      <c r="AH198" s="6"/>
      <c r="AI198" s="6"/>
      <c r="AJ198" s="6"/>
      <c r="AK198" s="6"/>
      <c r="AL198" s="6"/>
      <c r="AM198" s="6"/>
      <c r="AN198" s="7"/>
      <c r="AO198" s="7"/>
    </row>
    <row r="199" spans="1:41" ht="14.25" customHeight="1">
      <c r="B199" s="10"/>
      <c r="C199" s="181"/>
      <c r="D199" s="181"/>
      <c r="E199" s="181"/>
      <c r="F199" s="181"/>
      <c r="G199" s="181"/>
      <c r="H199" s="181"/>
      <c r="I199" s="181"/>
      <c r="J199" s="33"/>
      <c r="K199" s="20" t="s">
        <v>368</v>
      </c>
      <c r="L199" s="8" t="s">
        <v>35</v>
      </c>
      <c r="M199" s="451">
        <v>3.2119000000000002E-2</v>
      </c>
      <c r="N199" s="452">
        <f>M199</f>
        <v>3.2119000000000002E-2</v>
      </c>
      <c r="O199" s="452">
        <f>M199</f>
        <v>3.2119000000000002E-2</v>
      </c>
      <c r="P199" s="33"/>
      <c r="Q199" s="20" t="s">
        <v>170</v>
      </c>
      <c r="R199" s="8" t="s">
        <v>35</v>
      </c>
      <c r="S199" s="328">
        <v>0.179421</v>
      </c>
      <c r="T199" s="328">
        <v>0.166216</v>
      </c>
      <c r="W199" s="33"/>
      <c r="AA199" s="100" t="s">
        <v>176</v>
      </c>
      <c r="AC199" s="6"/>
      <c r="AD199" s="6"/>
      <c r="AE199" s="6"/>
      <c r="AF199" s="6"/>
      <c r="AG199" s="6"/>
      <c r="AH199" s="6"/>
      <c r="AI199" s="6"/>
      <c r="AJ199" s="6"/>
      <c r="AK199" s="6"/>
      <c r="AL199" s="6"/>
      <c r="AM199" s="6"/>
      <c r="AN199" s="7"/>
      <c r="AO199" s="7"/>
    </row>
    <row r="200" spans="1:41">
      <c r="A200" s="34"/>
      <c r="C200" s="272"/>
      <c r="D200" s="272"/>
      <c r="E200" s="272"/>
      <c r="F200" s="272"/>
      <c r="G200" s="272"/>
      <c r="H200" s="272"/>
      <c r="I200" s="272"/>
      <c r="K200" s="20" t="s">
        <v>312</v>
      </c>
      <c r="L200" s="8" t="s">
        <v>35</v>
      </c>
      <c r="M200" s="453"/>
      <c r="N200" s="454">
        <v>0.16392499999999999</v>
      </c>
      <c r="O200" s="455">
        <f>N200</f>
        <v>0.16392499999999999</v>
      </c>
      <c r="Q200" s="20" t="s">
        <v>169</v>
      </c>
      <c r="R200" s="8" t="s">
        <v>35</v>
      </c>
      <c r="S200" s="328">
        <v>0.15556400000000001</v>
      </c>
      <c r="T200" s="328">
        <v>0.179421</v>
      </c>
      <c r="V200" s="34"/>
      <c r="AC200" s="6"/>
      <c r="AD200" s="6"/>
      <c r="AE200" s="6"/>
      <c r="AF200" s="6"/>
      <c r="AG200" s="6"/>
      <c r="AH200" s="6"/>
      <c r="AI200" s="6"/>
      <c r="AJ200" s="6"/>
      <c r="AK200" s="6"/>
      <c r="AL200" s="6"/>
      <c r="AM200" s="6"/>
      <c r="AN200" s="7"/>
      <c r="AO200" s="7"/>
    </row>
    <row r="201" spans="1:41">
      <c r="A201" s="34"/>
      <c r="K201" s="20" t="s">
        <v>369</v>
      </c>
      <c r="L201" s="8" t="s">
        <v>35</v>
      </c>
      <c r="M201" s="456"/>
      <c r="N201" s="454">
        <v>3.6436999999999997E-2</v>
      </c>
      <c r="O201" s="455">
        <f>N201</f>
        <v>3.6436999999999997E-2</v>
      </c>
      <c r="Q201" s="304" t="s">
        <v>371</v>
      </c>
      <c r="R201" s="8" t="s">
        <v>180</v>
      </c>
      <c r="S201" s="328">
        <v>16.116776999999999</v>
      </c>
      <c r="T201" s="328">
        <v>8.0440229999999993</v>
      </c>
      <c r="X201" s="34"/>
      <c r="Y201" s="34"/>
      <c r="Z201" s="34"/>
      <c r="AA201" s="34"/>
      <c r="AB201" s="34"/>
      <c r="AC201" s="6"/>
      <c r="AD201" s="6"/>
      <c r="AE201" s="6"/>
      <c r="AN201" s="7"/>
      <c r="AO201" s="7"/>
    </row>
    <row r="202" spans="1:41">
      <c r="A202" s="34"/>
      <c r="K202" s="304" t="s">
        <v>366</v>
      </c>
      <c r="L202" s="8" t="s">
        <v>35</v>
      </c>
      <c r="M202" s="456"/>
      <c r="N202" s="456"/>
      <c r="O202" s="454">
        <v>0.16236200000000001</v>
      </c>
      <c r="Q202" s="53"/>
      <c r="R202" s="10"/>
      <c r="S202" s="482" t="s">
        <v>512</v>
      </c>
      <c r="T202" s="482" t="s">
        <v>511</v>
      </c>
      <c r="X202" s="34"/>
      <c r="Y202" s="34"/>
      <c r="Z202" s="34"/>
      <c r="AA202" s="34"/>
      <c r="AB202" s="34"/>
      <c r="AC202" s="6"/>
      <c r="AD202" s="6"/>
      <c r="AE202" s="6"/>
      <c r="AN202" s="7"/>
      <c r="AO202" s="7"/>
    </row>
    <row r="203" spans="1:41">
      <c r="A203" s="34"/>
      <c r="K203" s="304" t="s">
        <v>370</v>
      </c>
      <c r="L203" s="8" t="s">
        <v>35</v>
      </c>
      <c r="M203" s="456"/>
      <c r="N203" s="456"/>
      <c r="O203" s="454">
        <v>4.8086999999999998E-2</v>
      </c>
      <c r="Q203" s="53"/>
      <c r="R203" s="10"/>
      <c r="S203" s="303"/>
      <c r="T203" s="303"/>
      <c r="X203" s="34"/>
      <c r="Y203" s="34"/>
      <c r="Z203" s="34"/>
      <c r="AA203" s="34"/>
      <c r="AB203" s="34"/>
      <c r="AC203" s="6"/>
      <c r="AD203" s="6"/>
      <c r="AE203" s="6"/>
      <c r="AN203" s="7"/>
      <c r="AO203" s="7"/>
    </row>
    <row r="204" spans="1:41">
      <c r="A204" s="34"/>
      <c r="K204" s="53"/>
      <c r="L204" s="10"/>
      <c r="M204" s="99"/>
      <c r="N204" s="99"/>
      <c r="O204" s="99"/>
      <c r="Q204" s="53"/>
      <c r="R204" s="10"/>
      <c r="S204" s="303"/>
      <c r="T204" s="303"/>
      <c r="X204" s="34"/>
      <c r="Y204" s="34"/>
      <c r="Z204" s="34"/>
      <c r="AA204" s="34"/>
      <c r="AB204" s="34"/>
      <c r="AC204" s="6"/>
      <c r="AD204" s="6"/>
      <c r="AE204" s="6"/>
      <c r="AN204" s="7"/>
      <c r="AO204" s="7"/>
    </row>
    <row r="205" spans="1:4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row>
    <row r="206" spans="1:41" ht="23.25">
      <c r="A206" s="474"/>
      <c r="B206" s="14" t="s">
        <v>3</v>
      </c>
      <c r="C206" s="227" t="s">
        <v>74</v>
      </c>
      <c r="E206" s="6" t="s">
        <v>328</v>
      </c>
      <c r="AN206" s="7"/>
      <c r="AO206" s="7"/>
    </row>
    <row r="207" spans="1:41">
      <c r="B207" s="14" t="s">
        <v>12</v>
      </c>
      <c r="C207" s="15" t="s">
        <v>249</v>
      </c>
      <c r="E207" s="26"/>
      <c r="AA207" s="6" t="s">
        <v>270</v>
      </c>
      <c r="AN207" s="7"/>
      <c r="AO207" s="7"/>
    </row>
    <row r="208" spans="1:41">
      <c r="B208" s="14" t="s">
        <v>77</v>
      </c>
      <c r="C208" s="283">
        <f>+TipoCambio!B16</f>
        <v>7.8199787767702107</v>
      </c>
      <c r="D208" s="9"/>
      <c r="M208" s="293"/>
      <c r="AN208" s="7"/>
      <c r="AO208" s="7"/>
    </row>
    <row r="209" spans="1:41" ht="18">
      <c r="B209" s="14" t="s">
        <v>15</v>
      </c>
      <c r="C209" s="264">
        <f>Resumen!D19</f>
        <v>44896</v>
      </c>
      <c r="K209" s="106" t="s">
        <v>204</v>
      </c>
      <c r="Q209" s="106" t="s">
        <v>205</v>
      </c>
      <c r="S209" s="34"/>
      <c r="AN209" s="7"/>
      <c r="AO209" s="7"/>
    </row>
    <row r="210" spans="1:41">
      <c r="X210" s="34"/>
      <c r="Y210" s="34"/>
      <c r="Z210" s="34"/>
      <c r="AA210" s="34"/>
      <c r="AB210" s="34"/>
      <c r="AN210" s="7"/>
      <c r="AO210" s="7"/>
    </row>
    <row r="211" spans="1:41" ht="25.5" customHeight="1">
      <c r="B211" s="19" t="s">
        <v>21</v>
      </c>
      <c r="L211" s="97"/>
      <c r="M211" s="110" t="s">
        <v>313</v>
      </c>
      <c r="N211" s="110" t="s">
        <v>314</v>
      </c>
      <c r="O211" s="110" t="s">
        <v>315</v>
      </c>
      <c r="Q211" s="38"/>
      <c r="R211" s="38"/>
      <c r="S211" s="105" t="s">
        <v>226</v>
      </c>
      <c r="T211" s="105" t="s">
        <v>227</v>
      </c>
      <c r="X211" s="34"/>
      <c r="Y211" s="34"/>
      <c r="Z211" s="34"/>
      <c r="AA211" s="34"/>
      <c r="AB211" s="34"/>
      <c r="AN211" s="7"/>
      <c r="AO211" s="7"/>
    </row>
    <row r="212" spans="1:41" ht="33.75" customHeight="1">
      <c r="C212" s="492" t="s">
        <v>11</v>
      </c>
      <c r="D212" s="493"/>
      <c r="E212" s="493"/>
      <c r="F212" s="493"/>
      <c r="G212" s="493"/>
      <c r="H212" s="493"/>
      <c r="I212" s="494"/>
      <c r="J212" s="38"/>
      <c r="K212" s="105" t="s">
        <v>20</v>
      </c>
      <c r="L212" s="105" t="s">
        <v>0</v>
      </c>
      <c r="M212" s="105" t="s">
        <v>30</v>
      </c>
      <c r="N212" s="105" t="s">
        <v>30</v>
      </c>
      <c r="O212" s="105" t="s">
        <v>30</v>
      </c>
      <c r="P212" s="38"/>
      <c r="Q212" s="105" t="s">
        <v>20</v>
      </c>
      <c r="R212" s="105" t="s">
        <v>0</v>
      </c>
      <c r="S212" s="105" t="s">
        <v>30</v>
      </c>
      <c r="T212" s="105" t="s">
        <v>30</v>
      </c>
      <c r="U212" s="38"/>
      <c r="V212" s="38"/>
      <c r="W212" s="38"/>
      <c r="X212" s="34"/>
      <c r="Y212" s="34"/>
      <c r="Z212" s="34"/>
      <c r="AA212" s="34"/>
      <c r="AB212" s="34"/>
      <c r="AN212" s="7"/>
      <c r="AO212" s="7"/>
    </row>
    <row r="213" spans="1:41">
      <c r="C213" s="22">
        <v>30</v>
      </c>
      <c r="D213" s="22">
        <v>65</v>
      </c>
      <c r="E213" s="22">
        <v>125</v>
      </c>
      <c r="F213" s="22">
        <v>300</v>
      </c>
      <c r="G213" s="41">
        <v>1000</v>
      </c>
      <c r="H213" s="41">
        <v>50000</v>
      </c>
      <c r="I213" s="41">
        <v>500000</v>
      </c>
      <c r="J213" s="39"/>
      <c r="K213" s="20" t="s">
        <v>181</v>
      </c>
      <c r="L213" s="8" t="s">
        <v>182</v>
      </c>
      <c r="M213" s="394">
        <v>11.461893999999999</v>
      </c>
      <c r="N213" s="98">
        <f>M213</f>
        <v>11.461893999999999</v>
      </c>
      <c r="O213" s="98">
        <f>M213</f>
        <v>11.461893999999999</v>
      </c>
      <c r="P213" s="39"/>
      <c r="Q213" s="20" t="s">
        <v>96</v>
      </c>
      <c r="R213" s="8" t="s">
        <v>182</v>
      </c>
      <c r="S213" s="377">
        <v>137.54272499999999</v>
      </c>
      <c r="T213" s="378">
        <v>900.55620199999998</v>
      </c>
      <c r="U213" s="294"/>
      <c r="X213" s="189"/>
      <c r="Y213" s="189"/>
      <c r="Z213" s="191" t="e">
        <f t="shared" ref="Z213:AA216" si="9">S213/X213-1</f>
        <v>#DIV/0!</v>
      </c>
      <c r="AA213" s="191" t="e">
        <f t="shared" si="9"/>
        <v>#DIV/0!</v>
      </c>
      <c r="AB213" s="34"/>
      <c r="AN213" s="7"/>
      <c r="AO213" s="7"/>
    </row>
    <row r="214" spans="1:41">
      <c r="B214" s="8" t="s">
        <v>75</v>
      </c>
      <c r="C214" s="21">
        <f>(M213+M214*C213)/C213</f>
        <v>1.7680901333333334</v>
      </c>
      <c r="D214" s="21">
        <f>(N213+N214*D213)/D213</f>
        <v>1.5623638307692307</v>
      </c>
      <c r="E214" s="21">
        <f>($O$213+$O$214*E213)/E213</f>
        <v>1.565735152</v>
      </c>
      <c r="F214" s="21">
        <f>($O$213+$O$214*F213)/F213</f>
        <v>1.5122463133333333</v>
      </c>
      <c r="G214" s="21">
        <f>($O$213+$O$214*G213)/G213</f>
        <v>1.485501894</v>
      </c>
      <c r="H214" s="21">
        <f>(S213+S214*H213+153.9*S215+153.9*S216)/H213</f>
        <v>1.2662005506180001</v>
      </c>
      <c r="I214" s="21">
        <f>(T213+T214*I213+920.8*T215+665*T216)/I213</f>
        <v>1.1013599067024002</v>
      </c>
      <c r="J214" s="33"/>
      <c r="K214" s="20" t="s">
        <v>16</v>
      </c>
      <c r="L214" s="8" t="s">
        <v>75</v>
      </c>
      <c r="M214" s="448">
        <v>1.3860269999999999</v>
      </c>
      <c r="N214" s="98">
        <f>M214</f>
        <v>1.3860269999999999</v>
      </c>
      <c r="O214" s="393">
        <v>1.47404</v>
      </c>
      <c r="P214" s="33"/>
      <c r="Q214" s="20" t="s">
        <v>16</v>
      </c>
      <c r="R214" s="8" t="s">
        <v>75</v>
      </c>
      <c r="S214" s="379">
        <v>1.0904640000000001</v>
      </c>
      <c r="T214" s="378">
        <v>1.0328010000000001</v>
      </c>
      <c r="U214" s="294"/>
      <c r="X214" s="77"/>
      <c r="Y214" s="77"/>
      <c r="Z214" s="191" t="e">
        <f t="shared" si="9"/>
        <v>#DIV/0!</v>
      </c>
      <c r="AA214" s="191" t="e">
        <f t="shared" si="9"/>
        <v>#DIV/0!</v>
      </c>
      <c r="AB214" s="34"/>
      <c r="AN214" s="7"/>
      <c r="AO214" s="7"/>
    </row>
    <row r="215" spans="1:41">
      <c r="B215" s="8" t="s">
        <v>1</v>
      </c>
      <c r="C215" s="21">
        <f t="shared" ref="C215:I215" si="10">+C214/$C$208*100</f>
        <v>22.609909614915679</v>
      </c>
      <c r="D215" s="21">
        <f t="shared" si="10"/>
        <v>19.979131342534341</v>
      </c>
      <c r="E215" s="21">
        <f t="shared" si="10"/>
        <v>20.0222429842281</v>
      </c>
      <c r="F215" s="21">
        <f t="shared" si="10"/>
        <v>19.338240633408951</v>
      </c>
      <c r="G215" s="21">
        <f t="shared" si="10"/>
        <v>18.99623945799938</v>
      </c>
      <c r="H215" s="21">
        <f t="shared" si="10"/>
        <v>16.191866842136921</v>
      </c>
      <c r="I215" s="21">
        <f t="shared" si="10"/>
        <v>14.083924498287212</v>
      </c>
      <c r="J215" s="33"/>
      <c r="K215" s="62"/>
      <c r="L215" s="245"/>
      <c r="M215" s="265"/>
      <c r="N215" s="265"/>
      <c r="O215" s="94"/>
      <c r="P215" s="33"/>
      <c r="Q215" s="20" t="s">
        <v>183</v>
      </c>
      <c r="R215" s="8" t="s">
        <v>185</v>
      </c>
      <c r="S215" s="379">
        <v>23.757249000000002</v>
      </c>
      <c r="T215" s="378">
        <v>26.180873999999999</v>
      </c>
      <c r="U215" s="294"/>
      <c r="X215" s="77"/>
      <c r="Y215" s="77"/>
      <c r="Z215" s="191" t="e">
        <f t="shared" si="9"/>
        <v>#DIV/0!</v>
      </c>
      <c r="AA215" s="191" t="e">
        <f t="shared" si="9"/>
        <v>#DIV/0!</v>
      </c>
      <c r="AB215" s="34"/>
      <c r="AN215" s="7"/>
      <c r="AO215" s="7"/>
    </row>
    <row r="216" spans="1:41">
      <c r="C216" s="248"/>
      <c r="D216" s="248"/>
      <c r="E216" s="248"/>
      <c r="F216" s="248"/>
      <c r="G216" s="248"/>
      <c r="H216" s="248"/>
      <c r="I216" s="248"/>
      <c r="K216" s="249"/>
      <c r="L216" s="249"/>
      <c r="M216" s="99"/>
      <c r="N216" s="99"/>
      <c r="Q216" s="20" t="s">
        <v>184</v>
      </c>
      <c r="R216" s="8" t="s">
        <v>185</v>
      </c>
      <c r="S216" s="378">
        <v>32.443432000000001</v>
      </c>
      <c r="T216" s="378">
        <v>13.942178</v>
      </c>
      <c r="U216" s="294"/>
      <c r="X216" s="190"/>
      <c r="Y216" s="190"/>
      <c r="Z216" s="191" t="e">
        <f t="shared" si="9"/>
        <v>#DIV/0!</v>
      </c>
      <c r="AA216" s="191" t="e">
        <f t="shared" si="9"/>
        <v>#DIV/0!</v>
      </c>
      <c r="AB216" s="34"/>
      <c r="AN216" s="7"/>
      <c r="AO216" s="7"/>
    </row>
    <row r="217" spans="1:41">
      <c r="A217" s="7"/>
      <c r="B217" s="7"/>
      <c r="C217" s="273"/>
      <c r="D217" s="273"/>
      <c r="E217" s="273"/>
      <c r="F217" s="273"/>
      <c r="G217" s="273"/>
      <c r="H217" s="273"/>
      <c r="I217" s="273"/>
      <c r="J217" s="7"/>
      <c r="K217" s="7"/>
      <c r="L217" s="7"/>
      <c r="M217" s="7"/>
      <c r="N217" s="7"/>
      <c r="O217" s="7"/>
      <c r="P217" s="7"/>
      <c r="Q217" s="7"/>
      <c r="R217" s="7"/>
      <c r="S217" s="7"/>
      <c r="T217" s="7"/>
      <c r="U217" s="7"/>
      <c r="V217" s="7"/>
      <c r="W217" s="7"/>
      <c r="X217" s="7"/>
      <c r="Y217" s="7"/>
      <c r="Z217" s="7"/>
      <c r="AA217" s="7"/>
      <c r="AB217" s="7"/>
      <c r="AN217" s="7"/>
      <c r="AO217" s="7"/>
    </row>
    <row r="218" spans="1:41" ht="23.25">
      <c r="A218" s="474"/>
      <c r="B218" s="14" t="s">
        <v>3</v>
      </c>
      <c r="C218" s="227" t="s">
        <v>85</v>
      </c>
      <c r="E218" s="6" t="s">
        <v>330</v>
      </c>
      <c r="N218" s="34"/>
      <c r="Y218" s="34"/>
      <c r="Z218" s="34"/>
      <c r="AA218" s="34"/>
      <c r="AB218" s="34"/>
      <c r="AN218" s="7"/>
      <c r="AO218" s="7"/>
    </row>
    <row r="219" spans="1:41">
      <c r="B219" s="14" t="s">
        <v>12</v>
      </c>
      <c r="C219" s="15" t="s">
        <v>86</v>
      </c>
      <c r="E219" s="26"/>
      <c r="Y219" s="34"/>
      <c r="Z219" s="34"/>
      <c r="AA219" s="152">
        <v>38777</v>
      </c>
      <c r="AB219" s="34"/>
      <c r="AN219" s="7"/>
      <c r="AO219" s="7"/>
    </row>
    <row r="220" spans="1:41">
      <c r="B220" s="14" t="s">
        <v>87</v>
      </c>
      <c r="C220" s="284">
        <f>+TipoCambio!B17</f>
        <v>19.10814200270114</v>
      </c>
      <c r="Y220" s="34"/>
      <c r="Z220" s="34"/>
      <c r="AA220" s="34"/>
      <c r="AB220" s="34"/>
      <c r="AN220" s="7"/>
      <c r="AO220" s="7"/>
    </row>
    <row r="221" spans="1:41" ht="18">
      <c r="B221" s="14" t="s">
        <v>15</v>
      </c>
      <c r="C221" s="264">
        <f>Resumen!D20</f>
        <v>44896</v>
      </c>
      <c r="K221" s="106" t="s">
        <v>204</v>
      </c>
      <c r="Q221" s="106" t="s">
        <v>205</v>
      </c>
      <c r="Y221" s="34"/>
      <c r="Z221" s="34"/>
      <c r="AA221" s="34"/>
      <c r="AB221" s="34"/>
      <c r="AN221" s="7"/>
      <c r="AO221" s="7"/>
    </row>
    <row r="222" spans="1:41">
      <c r="T222" s="34"/>
      <c r="U222" s="34"/>
      <c r="V222" s="34"/>
      <c r="W222" s="34"/>
      <c r="X222" s="34"/>
      <c r="Y222" s="34"/>
      <c r="Z222" s="34"/>
      <c r="AA222" s="34"/>
      <c r="AB222" s="34"/>
      <c r="AL222" s="6"/>
      <c r="AM222" s="6"/>
      <c r="AN222" s="7"/>
      <c r="AO222" s="7"/>
    </row>
    <row r="223" spans="1:41" ht="25.5">
      <c r="B223" s="19" t="s">
        <v>21</v>
      </c>
      <c r="L223" s="97"/>
      <c r="M223" s="110" t="s">
        <v>362</v>
      </c>
      <c r="N223" s="110" t="s">
        <v>363</v>
      </c>
      <c r="Q223" s="420" t="s">
        <v>478</v>
      </c>
      <c r="R223" s="38"/>
      <c r="S223" s="105" t="s">
        <v>459</v>
      </c>
      <c r="T223" s="34"/>
      <c r="U223" s="421" t="s">
        <v>479</v>
      </c>
      <c r="V223" s="38"/>
      <c r="W223" s="415" t="s">
        <v>480</v>
      </c>
      <c r="X223" s="34"/>
      <c r="Y223" s="34"/>
      <c r="Z223" s="34"/>
      <c r="AA223" s="34"/>
      <c r="AB223" s="34"/>
      <c r="AL223" s="6"/>
      <c r="AM223" s="6"/>
      <c r="AN223" s="7"/>
      <c r="AO223" s="7"/>
    </row>
    <row r="224" spans="1:41" ht="33.75" customHeight="1">
      <c r="C224" s="492" t="s">
        <v>11</v>
      </c>
      <c r="D224" s="493"/>
      <c r="E224" s="493"/>
      <c r="F224" s="493"/>
      <c r="G224" s="493"/>
      <c r="H224" s="493"/>
      <c r="I224" s="494"/>
      <c r="J224" s="38"/>
      <c r="K224" s="105" t="s">
        <v>20</v>
      </c>
      <c r="L224" s="105" t="s">
        <v>0</v>
      </c>
      <c r="M224" s="105" t="s">
        <v>30</v>
      </c>
      <c r="N224" s="117" t="s">
        <v>30</v>
      </c>
      <c r="O224" s="38"/>
      <c r="P224" s="38"/>
      <c r="Q224" s="105" t="s">
        <v>20</v>
      </c>
      <c r="R224" s="105" t="s">
        <v>0</v>
      </c>
      <c r="S224" s="105" t="s">
        <v>30</v>
      </c>
      <c r="T224" s="34"/>
      <c r="U224" s="105" t="s">
        <v>20</v>
      </c>
      <c r="V224" s="105" t="s">
        <v>0</v>
      </c>
      <c r="W224" s="105" t="s">
        <v>30</v>
      </c>
      <c r="X224" s="34"/>
      <c r="Y224" s="34"/>
      <c r="Z224" s="34"/>
      <c r="AA224" s="34" t="s">
        <v>245</v>
      </c>
      <c r="AB224" s="34" t="s">
        <v>248</v>
      </c>
      <c r="AL224" s="6"/>
      <c r="AM224" s="6"/>
      <c r="AN224" s="7"/>
      <c r="AO224" s="7"/>
    </row>
    <row r="225" spans="1:41">
      <c r="C225" s="22">
        <v>30</v>
      </c>
      <c r="D225" s="22">
        <v>65</v>
      </c>
      <c r="E225" s="22">
        <v>125</v>
      </c>
      <c r="F225" s="22">
        <v>300</v>
      </c>
      <c r="G225" s="41">
        <v>1000</v>
      </c>
      <c r="H225" s="41">
        <v>50000</v>
      </c>
      <c r="I225" s="41">
        <v>500000</v>
      </c>
      <c r="J225" s="39"/>
      <c r="K225" s="139" t="s">
        <v>188</v>
      </c>
      <c r="L225" s="8" t="s">
        <v>25</v>
      </c>
      <c r="M225" s="330">
        <v>0.93899999999999995</v>
      </c>
      <c r="N225" s="32">
        <f>M225</f>
        <v>0.93899999999999995</v>
      </c>
      <c r="O225" s="422"/>
      <c r="P225" s="39"/>
      <c r="Q225" s="304" t="s">
        <v>460</v>
      </c>
      <c r="R225" s="354" t="s">
        <v>24</v>
      </c>
      <c r="S225" s="323">
        <v>505.9</v>
      </c>
      <c r="T225" s="34"/>
      <c r="U225" s="304" t="s">
        <v>460</v>
      </c>
      <c r="V225" s="354" t="s">
        <v>24</v>
      </c>
      <c r="W225" s="324">
        <v>505.9</v>
      </c>
      <c r="X225" s="34"/>
      <c r="Y225" s="34"/>
      <c r="Z225" s="34"/>
      <c r="AA225" s="34" t="s">
        <v>242</v>
      </c>
      <c r="AB225" s="34" t="s">
        <v>242</v>
      </c>
      <c r="AL225" s="6"/>
      <c r="AM225" s="6"/>
      <c r="AN225" s="7"/>
      <c r="AO225" s="7"/>
    </row>
    <row r="226" spans="1:41">
      <c r="B226" s="8" t="s">
        <v>25</v>
      </c>
      <c r="C226" s="21">
        <f>$M$225</f>
        <v>0.93899999999999995</v>
      </c>
      <c r="D226" s="21">
        <f>$M$225</f>
        <v>0.93899999999999995</v>
      </c>
      <c r="E226" s="21">
        <f>(75*M225+(E225-75)*M226)/E225</f>
        <v>1.0218</v>
      </c>
      <c r="F226" s="21">
        <f>($N$225*75+$N$226*65+$N$227*(F225-145))/F225</f>
        <v>2.2118166666666665</v>
      </c>
      <c r="G226" s="21">
        <f>($N$225*75+$N$226*65+$N$227*(G225-145))/G225</f>
        <v>3.0057450000000001</v>
      </c>
      <c r="H226" s="21">
        <f>(S225+S226*H225+153.9*(S227+S228))/H225</f>
        <v>3.67738772</v>
      </c>
      <c r="I226" s="21">
        <f>(W225+(7.23%*W226+70.75%*W227+22.02%*W228)*I225+920.8*(W229+W230))/I225</f>
        <v>2.6033129320000001</v>
      </c>
      <c r="J226" s="33"/>
      <c r="K226" s="271" t="s">
        <v>418</v>
      </c>
      <c r="L226" s="8" t="s">
        <v>25</v>
      </c>
      <c r="M226" s="330">
        <v>1.1459999999999999</v>
      </c>
      <c r="N226" s="32">
        <f>M226</f>
        <v>1.1459999999999999</v>
      </c>
      <c r="O226" s="33"/>
      <c r="P226" s="33"/>
      <c r="Q226" s="304" t="s">
        <v>461</v>
      </c>
      <c r="R226" s="8" t="s">
        <v>25</v>
      </c>
      <c r="S226" s="401">
        <v>1.929</v>
      </c>
      <c r="T226" s="34"/>
      <c r="U226" s="20" t="s">
        <v>27</v>
      </c>
      <c r="V226" s="8" t="s">
        <v>25</v>
      </c>
      <c r="W226" s="367">
        <v>1.0647</v>
      </c>
      <c r="X226" s="34"/>
      <c r="Y226" s="34"/>
      <c r="Z226" s="34"/>
      <c r="AA226" s="34" t="s">
        <v>243</v>
      </c>
      <c r="AB226" s="34" t="s">
        <v>246</v>
      </c>
      <c r="AL226" s="6"/>
      <c r="AM226" s="6"/>
      <c r="AN226" s="7"/>
      <c r="AO226" s="7"/>
    </row>
    <row r="227" spans="1:41">
      <c r="B227" s="8" t="s">
        <v>1</v>
      </c>
      <c r="C227" s="21">
        <f>C226/C220*100</f>
        <v>4.9141355547141226</v>
      </c>
      <c r="D227" s="21">
        <f>+D226/C220*100</f>
        <v>4.9141355547141226</v>
      </c>
      <c r="E227" s="21">
        <f>+E226/C220*100</f>
        <v>5.3474586898901926</v>
      </c>
      <c r="F227" s="21">
        <f>+F226/$C$220*100</f>
        <v>11.575257638100044</v>
      </c>
      <c r="G227" s="21">
        <f>+G226/$C$220*100</f>
        <v>15.730179310867095</v>
      </c>
      <c r="H227" s="21">
        <f>+H226/$C$220*100</f>
        <v>19.245134976912784</v>
      </c>
      <c r="I227" s="21">
        <f>+I226/$C$220*100</f>
        <v>13.62410291713341</v>
      </c>
      <c r="J227" s="33"/>
      <c r="K227" s="139" t="s">
        <v>230</v>
      </c>
      <c r="L227" s="8" t="s">
        <v>25</v>
      </c>
      <c r="M227" s="32"/>
      <c r="N227" s="330">
        <v>3.3460000000000001</v>
      </c>
      <c r="O227" s="33"/>
      <c r="P227" s="33"/>
      <c r="Q227" s="304" t="s">
        <v>462</v>
      </c>
      <c r="R227" s="354" t="s">
        <v>69</v>
      </c>
      <c r="S227" s="401">
        <v>266.5</v>
      </c>
      <c r="T227" s="34"/>
      <c r="U227" s="20" t="s">
        <v>241</v>
      </c>
      <c r="V227" s="8" t="s">
        <v>25</v>
      </c>
      <c r="W227" s="367">
        <v>1.7563</v>
      </c>
      <c r="X227" s="34"/>
      <c r="Y227" s="34"/>
      <c r="Z227" s="34"/>
      <c r="AA227" s="34" t="s">
        <v>244</v>
      </c>
      <c r="AB227" s="34" t="s">
        <v>247</v>
      </c>
      <c r="AL227" s="6"/>
      <c r="AM227" s="6"/>
      <c r="AN227" s="7"/>
      <c r="AO227" s="7"/>
    </row>
    <row r="228" spans="1:41">
      <c r="C228" s="248"/>
      <c r="D228" s="248"/>
      <c r="E228" s="248"/>
      <c r="F228" s="248"/>
      <c r="G228" s="248"/>
      <c r="H228" s="248"/>
      <c r="I228" s="248"/>
      <c r="J228" s="248"/>
      <c r="K228" s="248"/>
      <c r="L228" s="248"/>
      <c r="M228" s="248"/>
      <c r="N228" s="248"/>
      <c r="Q228" s="304" t="s">
        <v>463</v>
      </c>
      <c r="R228" s="354" t="s">
        <v>69</v>
      </c>
      <c r="S228" s="401">
        <v>298.24</v>
      </c>
      <c r="T228" s="34"/>
      <c r="U228" s="20" t="s">
        <v>240</v>
      </c>
      <c r="V228" s="8" t="s">
        <v>25</v>
      </c>
      <c r="W228" s="367">
        <v>2.0503999999999998</v>
      </c>
      <c r="X228" s="34"/>
      <c r="Y228" s="34"/>
      <c r="Z228" s="34"/>
      <c r="AA228" s="34"/>
      <c r="AB228" s="34"/>
      <c r="AL228" s="6"/>
      <c r="AM228" s="6"/>
      <c r="AN228" s="7"/>
      <c r="AO228" s="7"/>
    </row>
    <row r="229" spans="1:41">
      <c r="A229" s="34"/>
      <c r="C229" s="224"/>
      <c r="D229" s="224"/>
      <c r="E229" s="224"/>
      <c r="F229" s="224"/>
      <c r="G229" s="224"/>
      <c r="H229" s="224"/>
      <c r="I229" s="224"/>
      <c r="T229" s="34"/>
      <c r="U229" s="304" t="s">
        <v>462</v>
      </c>
      <c r="V229" s="354" t="s">
        <v>69</v>
      </c>
      <c r="W229" s="401">
        <v>66.650000000000006</v>
      </c>
      <c r="X229" s="34"/>
      <c r="Y229" s="34"/>
      <c r="Z229" s="34"/>
      <c r="AA229" s="34"/>
      <c r="AB229" s="34"/>
      <c r="AL229" s="6"/>
      <c r="AM229" s="6"/>
      <c r="AN229" s="7"/>
      <c r="AO229" s="7"/>
    </row>
    <row r="230" spans="1:41">
      <c r="A230" s="34"/>
      <c r="C230" s="267"/>
      <c r="D230" s="267"/>
      <c r="E230" s="267"/>
      <c r="F230" s="267"/>
      <c r="G230" s="267"/>
      <c r="H230" s="267"/>
      <c r="I230" s="267"/>
      <c r="L230" s="47"/>
      <c r="M230" s="47"/>
      <c r="N230" s="47"/>
      <c r="T230" s="34"/>
      <c r="U230" s="304" t="s">
        <v>463</v>
      </c>
      <c r="V230" s="354" t="s">
        <v>69</v>
      </c>
      <c r="W230" s="401">
        <v>384.72</v>
      </c>
      <c r="X230" s="34"/>
      <c r="Y230" s="34"/>
      <c r="Z230" s="34"/>
      <c r="AA230" s="34"/>
      <c r="AB230" s="34"/>
      <c r="AL230" s="7"/>
      <c r="AM230" s="7"/>
      <c r="AN230" s="7"/>
      <c r="AO230" s="7"/>
    </row>
    <row r="231" spans="1:41">
      <c r="C231" s="193"/>
      <c r="D231" s="193"/>
      <c r="E231" s="193"/>
      <c r="F231" s="193"/>
      <c r="G231" s="193"/>
      <c r="H231" s="193"/>
      <c r="I231" s="193"/>
      <c r="T231" s="34"/>
      <c r="U231" s="34"/>
      <c r="V231" s="34"/>
      <c r="W231" s="34"/>
      <c r="X231" s="34"/>
      <c r="Y231" s="34"/>
      <c r="Z231" s="34"/>
      <c r="AA231" s="34"/>
      <c r="AB231" s="34"/>
      <c r="AL231" s="6"/>
      <c r="AM231" s="6"/>
      <c r="AN231" s="7"/>
      <c r="AO231" s="7"/>
    </row>
    <row r="232" spans="1:4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N232" s="7"/>
      <c r="AO232" s="7"/>
    </row>
    <row r="233" spans="1:41" ht="23.25">
      <c r="A233" s="474"/>
      <c r="B233" s="14" t="s">
        <v>3</v>
      </c>
      <c r="C233" s="227" t="s">
        <v>78</v>
      </c>
      <c r="E233" s="6" t="s">
        <v>356</v>
      </c>
      <c r="K233" s="298"/>
      <c r="L233"/>
      <c r="M233"/>
      <c r="AB233" s="34"/>
      <c r="AN233" s="238"/>
      <c r="AO233" s="238"/>
    </row>
    <row r="234" spans="1:41">
      <c r="B234" s="14" t="s">
        <v>12</v>
      </c>
      <c r="C234" s="15" t="s">
        <v>78</v>
      </c>
      <c r="E234" s="26"/>
      <c r="K234"/>
      <c r="L234"/>
      <c r="M234"/>
      <c r="Q234" s="18"/>
      <c r="AB234" s="34"/>
      <c r="AN234" s="238"/>
      <c r="AO234" s="238"/>
    </row>
    <row r="235" spans="1:41">
      <c r="B235" s="14" t="s">
        <v>79</v>
      </c>
      <c r="C235" s="276">
        <v>1</v>
      </c>
      <c r="K235"/>
      <c r="L235"/>
      <c r="M235"/>
      <c r="AB235" s="34"/>
      <c r="AN235" s="238"/>
      <c r="AO235" s="238"/>
    </row>
    <row r="236" spans="1:41">
      <c r="B236" s="14" t="s">
        <v>15</v>
      </c>
      <c r="C236" s="264">
        <f>Resumen!D21</f>
        <v>44896</v>
      </c>
      <c r="AB236" s="34"/>
      <c r="AN236" s="238"/>
      <c r="AO236" s="238"/>
    </row>
    <row r="237" spans="1:41" ht="18">
      <c r="K237" s="106" t="s">
        <v>204</v>
      </c>
      <c r="Q237" s="106" t="s">
        <v>205</v>
      </c>
      <c r="W237" s="34"/>
      <c r="X237" s="34"/>
      <c r="Y237" s="34"/>
      <c r="Z237" s="34"/>
      <c r="AA237" s="34"/>
      <c r="AB237" s="34"/>
      <c r="AN237" s="238"/>
      <c r="AO237" s="238"/>
    </row>
    <row r="238" spans="1:41" ht="38.25">
      <c r="B238" s="19" t="s">
        <v>21</v>
      </c>
      <c r="K238" s="6" t="s">
        <v>443</v>
      </c>
      <c r="M238" s="128" t="s">
        <v>538</v>
      </c>
      <c r="Q238" s="38"/>
      <c r="R238" s="38"/>
      <c r="S238" s="105" t="s">
        <v>228</v>
      </c>
      <c r="T238" s="105" t="s">
        <v>229</v>
      </c>
      <c r="W238" s="34"/>
      <c r="X238" s="34"/>
      <c r="Y238" s="34"/>
      <c r="Z238" s="34"/>
      <c r="AA238" s="34"/>
      <c r="AB238" s="34"/>
      <c r="AN238" s="238"/>
      <c r="AO238" s="238"/>
    </row>
    <row r="239" spans="1:41" ht="33.75" customHeight="1">
      <c r="C239" s="492" t="s">
        <v>11</v>
      </c>
      <c r="D239" s="493"/>
      <c r="E239" s="493"/>
      <c r="F239" s="493"/>
      <c r="G239" s="493"/>
      <c r="H239" s="493"/>
      <c r="I239" s="494"/>
      <c r="J239" s="38"/>
      <c r="K239" s="105" t="s">
        <v>20</v>
      </c>
      <c r="L239" s="105" t="s">
        <v>0</v>
      </c>
      <c r="M239" s="105" t="s">
        <v>30</v>
      </c>
      <c r="N239" s="38"/>
      <c r="Q239" s="105" t="s">
        <v>20</v>
      </c>
      <c r="R239" s="105" t="s">
        <v>0</v>
      </c>
      <c r="S239" s="105" t="s">
        <v>30</v>
      </c>
      <c r="T239" s="105" t="s">
        <v>30</v>
      </c>
      <c r="U239" s="38"/>
      <c r="V239" s="302"/>
      <c r="W239" s="34"/>
      <c r="X239" s="34"/>
      <c r="Y239" s="34"/>
      <c r="Z239" s="34"/>
      <c r="AA239" s="34"/>
      <c r="AB239" s="34"/>
      <c r="AN239" s="238"/>
      <c r="AO239" s="238"/>
    </row>
    <row r="240" spans="1:41">
      <c r="C240" s="22">
        <v>30</v>
      </c>
      <c r="D240" s="22">
        <v>65</v>
      </c>
      <c r="E240" s="22">
        <v>125</v>
      </c>
      <c r="F240" s="22">
        <v>300</v>
      </c>
      <c r="G240" s="41">
        <v>1000</v>
      </c>
      <c r="H240" s="41">
        <v>50000</v>
      </c>
      <c r="I240" s="41">
        <v>500000</v>
      </c>
      <c r="J240" s="39"/>
      <c r="K240" s="139" t="s">
        <v>80</v>
      </c>
      <c r="L240" s="8" t="s">
        <v>81</v>
      </c>
      <c r="M240" s="27">
        <v>2.84</v>
      </c>
      <c r="N240" s="184"/>
      <c r="Q240" s="20" t="s">
        <v>96</v>
      </c>
      <c r="R240" s="8" t="s">
        <v>81</v>
      </c>
      <c r="S240" s="21">
        <v>5.0999999999999996</v>
      </c>
      <c r="T240" s="21">
        <v>12.91</v>
      </c>
      <c r="U240" s="186"/>
      <c r="V240" s="186"/>
      <c r="W240" s="34"/>
      <c r="X240" s="34"/>
      <c r="Y240" s="34"/>
      <c r="Z240" s="34"/>
      <c r="AA240" s="34"/>
      <c r="AB240" s="34"/>
      <c r="AN240" s="238"/>
      <c r="AO240" s="238"/>
    </row>
    <row r="241" spans="1:41">
      <c r="B241" s="8" t="s">
        <v>82</v>
      </c>
      <c r="C241" s="21">
        <f>(M240+M241*20)/C240*(1-13.88%)</f>
        <v>0.17179217599999999</v>
      </c>
      <c r="D241" s="21">
        <f>(M240+M241*55)/D240*(1-13.88%)</f>
        <v>0.15219523876923075</v>
      </c>
      <c r="E241" s="21">
        <f>(M240+M241*115)/E240*(1-16.51%)</f>
        <v>0.13973086775999999</v>
      </c>
      <c r="F241" s="21">
        <f>(M240+M241*290)/F240*(1-3.91%)</f>
        <v>0.15513346140000001</v>
      </c>
      <c r="G241" s="21">
        <f>(M246+M247*990)/G240</f>
        <v>0.24456829999999999</v>
      </c>
      <c r="H241" s="23">
        <f>(S240+(0.4037*S241+0.5963*S242)*H240+153.9*S243+138.7*S244)/H240*(1-3.02%)</f>
        <v>0.23808533266699999</v>
      </c>
      <c r="I241" s="23">
        <f>(T240+(0.3945*T241+0.6055*T242)*I240+920.8*T243+665*T244)/I240</f>
        <v>0.22522939200000003</v>
      </c>
      <c r="J241" s="33"/>
      <c r="K241" s="271" t="s">
        <v>319</v>
      </c>
      <c r="L241" s="8" t="s">
        <v>82</v>
      </c>
      <c r="M241" s="31">
        <v>0.15722</v>
      </c>
      <c r="N241" s="185"/>
      <c r="Q241" s="20" t="s">
        <v>186</v>
      </c>
      <c r="R241" s="8" t="s">
        <v>82</v>
      </c>
      <c r="S241" s="104">
        <v>0.2495</v>
      </c>
      <c r="T241" s="104">
        <v>0.23632</v>
      </c>
      <c r="U241" s="186"/>
      <c r="V241" s="186"/>
      <c r="W241" s="34"/>
      <c r="X241" s="34"/>
      <c r="Y241" s="34"/>
      <c r="Z241" s="34"/>
      <c r="AA241" s="34"/>
      <c r="AB241" s="34"/>
      <c r="AN241" s="238"/>
      <c r="AO241" s="238"/>
    </row>
    <row r="242" spans="1:41">
      <c r="B242" s="8" t="s">
        <v>1</v>
      </c>
      <c r="C242" s="21">
        <f t="shared" ref="C242:I242" si="11">C241/$C$235*100</f>
        <v>17.179217599999998</v>
      </c>
      <c r="D242" s="21">
        <f t="shared" si="11"/>
        <v>15.219523876923075</v>
      </c>
      <c r="E242" s="21">
        <f t="shared" si="11"/>
        <v>13.973086775999999</v>
      </c>
      <c r="F242" s="21">
        <f t="shared" si="11"/>
        <v>15.513346140000001</v>
      </c>
      <c r="G242" s="21">
        <f t="shared" si="11"/>
        <v>24.45683</v>
      </c>
      <c r="H242" s="21">
        <f t="shared" si="11"/>
        <v>23.8085332667</v>
      </c>
      <c r="I242" s="21">
        <f t="shared" si="11"/>
        <v>22.522939200000003</v>
      </c>
      <c r="J242" s="33"/>
      <c r="K242" s="37"/>
      <c r="L242" s="37"/>
      <c r="M242" s="37"/>
      <c r="N242" s="33"/>
      <c r="Q242" s="20" t="s">
        <v>187</v>
      </c>
      <c r="R242" s="8" t="s">
        <v>82</v>
      </c>
      <c r="S242" s="104">
        <v>0.16814999999999999</v>
      </c>
      <c r="T242" s="104">
        <v>0.17484</v>
      </c>
      <c r="U242" s="186"/>
      <c r="V242" s="186"/>
      <c r="W242" s="34"/>
      <c r="X242" s="34"/>
      <c r="Y242" s="34"/>
      <c r="Z242" s="34"/>
      <c r="AA242" s="34"/>
      <c r="AB242" s="34"/>
      <c r="AN242" s="238"/>
      <c r="AO242" s="238"/>
    </row>
    <row r="243" spans="1:41">
      <c r="B243" s="34"/>
      <c r="C243" s="34"/>
      <c r="D243" s="34"/>
      <c r="E243" s="34"/>
      <c r="F243" s="34"/>
      <c r="G243" s="34"/>
      <c r="H243" s="34"/>
      <c r="I243" s="34"/>
      <c r="J243" s="34"/>
      <c r="K243" s="37"/>
      <c r="L243" s="34"/>
      <c r="M243" s="34"/>
      <c r="N243" s="34"/>
      <c r="Q243" s="20" t="s">
        <v>199</v>
      </c>
      <c r="R243" s="8" t="s">
        <v>201</v>
      </c>
      <c r="S243" s="21">
        <v>12.94</v>
      </c>
      <c r="T243" s="21">
        <v>12.82</v>
      </c>
      <c r="U243" s="187"/>
      <c r="V243" s="187"/>
      <c r="W243" s="34"/>
      <c r="X243" s="34"/>
      <c r="Y243" s="34"/>
      <c r="Z243" s="34"/>
      <c r="AA243" s="34"/>
      <c r="AB243" s="34"/>
      <c r="AN243" s="238"/>
      <c r="AO243" s="238"/>
    </row>
    <row r="244" spans="1:41" ht="38.25">
      <c r="A244" s="62"/>
      <c r="B244" s="62"/>
      <c r="C244" s="62"/>
      <c r="D244" s="62"/>
      <c r="E244" s="62"/>
      <c r="F244" s="62"/>
      <c r="G244" s="62"/>
      <c r="H244" s="62"/>
      <c r="I244" s="62"/>
      <c r="J244" s="62"/>
      <c r="K244" s="6" t="s">
        <v>444</v>
      </c>
      <c r="M244" s="128" t="s">
        <v>539</v>
      </c>
      <c r="N244" s="62"/>
      <c r="Q244" s="20" t="s">
        <v>200</v>
      </c>
      <c r="R244" s="8" t="s">
        <v>201</v>
      </c>
      <c r="S244" s="21">
        <v>1.65</v>
      </c>
      <c r="T244" s="21">
        <v>1.88</v>
      </c>
      <c r="U244" s="188"/>
      <c r="V244" s="188"/>
      <c r="W244" s="34"/>
      <c r="X244" s="34"/>
      <c r="Y244" s="34"/>
      <c r="Z244" s="34"/>
      <c r="AA244" s="34"/>
      <c r="AB244" s="34"/>
      <c r="AN244" s="238"/>
      <c r="AO244" s="238"/>
    </row>
    <row r="245" spans="1:41" ht="22.5">
      <c r="A245" s="62"/>
      <c r="B245" s="62"/>
      <c r="C245" s="62"/>
      <c r="D245" s="62"/>
      <c r="E245" s="62"/>
      <c r="F245" s="62"/>
      <c r="G245" s="62"/>
      <c r="H245" s="62"/>
      <c r="I245" s="62"/>
      <c r="J245" s="62"/>
      <c r="K245" s="390" t="s">
        <v>20</v>
      </c>
      <c r="L245" s="390" t="s">
        <v>0</v>
      </c>
      <c r="M245" s="390" t="s">
        <v>30</v>
      </c>
      <c r="N245" s="62"/>
      <c r="O245" s="62"/>
      <c r="P245" s="62"/>
      <c r="Q245" s="62"/>
      <c r="R245" s="62"/>
      <c r="S245" s="62"/>
      <c r="T245" s="62"/>
      <c r="U245" s="62"/>
      <c r="V245" s="62"/>
      <c r="W245" s="34"/>
      <c r="X245" s="34"/>
      <c r="Y245" s="34"/>
      <c r="Z245" s="34"/>
      <c r="AA245" s="34"/>
      <c r="AB245" s="34"/>
      <c r="AN245" s="238"/>
      <c r="AO245" s="238"/>
    </row>
    <row r="246" spans="1:41">
      <c r="A246" s="62"/>
      <c r="B246" s="62"/>
      <c r="C246" s="62"/>
      <c r="D246" s="62"/>
      <c r="E246" s="62"/>
      <c r="G246" s="62"/>
      <c r="H246" s="62"/>
      <c r="I246" s="62"/>
      <c r="J246" s="62"/>
      <c r="K246" s="139" t="s">
        <v>80</v>
      </c>
      <c r="L246" s="8" t="s">
        <v>81</v>
      </c>
      <c r="M246" s="27">
        <v>2.84</v>
      </c>
      <c r="N246" s="62"/>
      <c r="O246" s="62"/>
      <c r="P246" s="62"/>
      <c r="Q246" s="62"/>
      <c r="R246" s="62"/>
      <c r="S246" s="62"/>
      <c r="T246" s="62"/>
      <c r="U246" s="62"/>
      <c r="V246" s="62"/>
      <c r="W246" s="34"/>
      <c r="X246" s="34"/>
      <c r="Y246" s="34"/>
      <c r="Z246" s="34"/>
      <c r="AA246" s="34"/>
      <c r="AB246" s="34"/>
      <c r="AN246" s="238"/>
      <c r="AO246" s="238"/>
    </row>
    <row r="247" spans="1:41">
      <c r="A247" s="62"/>
      <c r="B247" s="62"/>
      <c r="C247" s="62"/>
      <c r="D247" s="62"/>
      <c r="E247" s="62"/>
      <c r="F247" s="62"/>
      <c r="G247" s="62"/>
      <c r="H247" s="62"/>
      <c r="I247" s="62"/>
      <c r="J247" s="62"/>
      <c r="K247" s="271" t="s">
        <v>319</v>
      </c>
      <c r="L247" s="8" t="s">
        <v>82</v>
      </c>
      <c r="M247" s="31">
        <v>0.24417</v>
      </c>
      <c r="N247" s="62"/>
      <c r="O247" s="62"/>
      <c r="P247" s="62"/>
      <c r="Q247" s="62"/>
      <c r="R247" s="62"/>
      <c r="S247" s="62"/>
      <c r="T247" s="62"/>
      <c r="U247" s="62"/>
      <c r="V247" s="62"/>
      <c r="W247" s="34"/>
      <c r="X247" s="34"/>
      <c r="Y247" s="34"/>
      <c r="Z247" s="34"/>
      <c r="AA247" s="34"/>
      <c r="AB247" s="34"/>
      <c r="AN247" s="238"/>
      <c r="AO247" s="238"/>
    </row>
    <row r="248" spans="1:41">
      <c r="A248" s="62"/>
      <c r="B248" s="62"/>
      <c r="C248" s="403"/>
      <c r="D248" s="403"/>
      <c r="E248" s="403"/>
      <c r="F248" s="403"/>
      <c r="G248" s="403"/>
      <c r="H248" s="62"/>
      <c r="I248" s="62"/>
      <c r="J248" s="62"/>
      <c r="K248" s="62"/>
      <c r="L248" s="62"/>
      <c r="M248" s="62"/>
      <c r="N248" s="62"/>
      <c r="O248" s="62"/>
      <c r="P248" s="62"/>
      <c r="Q248" s="62"/>
      <c r="R248" s="62"/>
      <c r="S248" s="62"/>
      <c r="T248" s="62"/>
      <c r="U248" s="62"/>
      <c r="V248" s="62"/>
      <c r="W248" s="34"/>
      <c r="X248" s="34"/>
      <c r="Y248" s="34"/>
      <c r="Z248" s="34"/>
      <c r="AA248" s="34"/>
      <c r="AB248" s="34"/>
      <c r="AN248" s="238"/>
      <c r="AO248" s="238"/>
    </row>
    <row r="249" spans="1:41">
      <c r="A249" s="62"/>
      <c r="B249" s="62"/>
      <c r="C249" s="62"/>
      <c r="D249" s="62"/>
      <c r="E249" s="62"/>
      <c r="F249" s="62"/>
      <c r="G249" s="62"/>
      <c r="H249" s="62"/>
      <c r="I249" s="62"/>
      <c r="J249" s="62"/>
      <c r="K249" s="62"/>
      <c r="L249" s="62"/>
      <c r="M249" s="62"/>
      <c r="N249" s="62"/>
      <c r="O249" s="62"/>
      <c r="P249" s="62"/>
      <c r="Q249" s="62"/>
      <c r="R249" s="62"/>
      <c r="S249" s="62"/>
      <c r="T249" s="62"/>
      <c r="U249" s="62"/>
      <c r="V249" s="62"/>
      <c r="W249" s="34"/>
      <c r="X249" s="34"/>
      <c r="Y249" s="34"/>
      <c r="Z249" s="34"/>
      <c r="AA249" s="34"/>
      <c r="AB249" s="34"/>
      <c r="AN249" s="238"/>
      <c r="AO249" s="238"/>
    </row>
    <row r="250" spans="1:41">
      <c r="A250" s="62"/>
      <c r="B250" s="62"/>
      <c r="C250" s="62"/>
      <c r="D250" s="62"/>
      <c r="E250" s="62"/>
      <c r="F250" s="62"/>
      <c r="G250" s="62"/>
      <c r="H250" s="62"/>
      <c r="I250" s="62"/>
      <c r="J250" s="62"/>
      <c r="K250" s="62"/>
      <c r="L250" s="62"/>
      <c r="M250" s="62"/>
      <c r="N250" s="62"/>
      <c r="O250" s="62"/>
      <c r="P250" s="62"/>
      <c r="Q250" s="62"/>
      <c r="R250" s="62"/>
      <c r="S250" s="62"/>
      <c r="T250" s="62"/>
      <c r="U250" s="62"/>
      <c r="V250" s="62"/>
      <c r="W250" s="34"/>
      <c r="X250" s="34"/>
      <c r="Y250" s="34"/>
      <c r="Z250" s="34"/>
      <c r="AA250" s="34"/>
      <c r="AB250" s="34"/>
      <c r="AN250" s="238"/>
      <c r="AO250" s="238"/>
    </row>
    <row r="251" spans="1:41">
      <c r="A251" s="62"/>
      <c r="B251" s="62"/>
      <c r="C251" s="62"/>
      <c r="D251" s="62"/>
      <c r="E251" s="62"/>
      <c r="F251" s="62"/>
      <c r="G251" s="62"/>
      <c r="H251" s="62"/>
      <c r="I251" s="62"/>
      <c r="J251" s="62"/>
      <c r="K251" s="62"/>
      <c r="L251" s="62"/>
      <c r="M251" s="62"/>
      <c r="N251" s="62"/>
      <c r="O251" s="62"/>
      <c r="P251" s="62"/>
      <c r="Q251" s="62"/>
      <c r="R251" s="62"/>
      <c r="S251" s="62"/>
      <c r="T251" s="62"/>
      <c r="U251" s="62"/>
      <c r="V251" s="62"/>
      <c r="W251" s="34"/>
      <c r="X251" s="34"/>
      <c r="Y251" s="34"/>
      <c r="Z251" s="34"/>
      <c r="AA251" s="34"/>
      <c r="AB251" s="34"/>
      <c r="AN251" s="238"/>
      <c r="AO251" s="238"/>
    </row>
    <row r="252" spans="1:41">
      <c r="A252" s="62"/>
      <c r="B252" s="62"/>
      <c r="C252" s="62"/>
      <c r="D252" s="62"/>
      <c r="E252" s="62"/>
      <c r="F252" s="62"/>
      <c r="G252" s="62"/>
      <c r="H252" s="62"/>
      <c r="I252" s="62"/>
      <c r="J252" s="62"/>
      <c r="K252" s="62"/>
      <c r="L252" s="62"/>
      <c r="M252" s="62"/>
      <c r="N252" s="62"/>
      <c r="O252" s="62"/>
      <c r="P252" s="62"/>
      <c r="Q252" s="62"/>
      <c r="R252" s="62"/>
      <c r="S252" s="62"/>
      <c r="T252" s="62"/>
      <c r="U252" s="62"/>
      <c r="V252" s="62"/>
      <c r="W252" s="34"/>
      <c r="X252" s="34"/>
      <c r="Y252" s="34"/>
      <c r="Z252" s="34"/>
      <c r="AA252" s="34"/>
      <c r="AB252" s="34"/>
      <c r="AN252" s="238"/>
      <c r="AO252" s="238"/>
    </row>
    <row r="253" spans="1:41">
      <c r="A253" s="62"/>
      <c r="B253" s="62"/>
      <c r="C253" s="62"/>
      <c r="D253" s="62"/>
      <c r="E253" s="62"/>
      <c r="F253" s="62"/>
      <c r="G253" s="62"/>
      <c r="H253" s="62"/>
      <c r="I253" s="62"/>
      <c r="J253" s="62"/>
      <c r="K253" s="62"/>
      <c r="L253" s="62"/>
      <c r="M253" s="62"/>
      <c r="N253" s="62"/>
      <c r="O253" s="62"/>
      <c r="P253" s="62"/>
      <c r="Q253" s="62"/>
      <c r="R253" s="62"/>
      <c r="S253" s="62"/>
      <c r="T253" s="62"/>
      <c r="U253" s="62"/>
      <c r="V253" s="62"/>
      <c r="W253" s="34"/>
      <c r="X253" s="34"/>
      <c r="Y253" s="34"/>
      <c r="Z253" s="34"/>
      <c r="AA253" s="34"/>
      <c r="AB253" s="34"/>
      <c r="AN253" s="238"/>
      <c r="AO253" s="238"/>
    </row>
    <row r="254" spans="1:41">
      <c r="A254" s="62"/>
      <c r="B254" s="62"/>
      <c r="C254" s="62"/>
      <c r="D254" s="62"/>
      <c r="E254" s="62"/>
      <c r="F254" s="62"/>
      <c r="G254" s="62"/>
      <c r="H254" s="62"/>
      <c r="I254" s="62"/>
      <c r="J254" s="62"/>
      <c r="K254" s="62"/>
      <c r="L254" s="62"/>
      <c r="M254" s="62"/>
      <c r="N254" s="62"/>
      <c r="O254" s="62"/>
      <c r="P254" s="62"/>
      <c r="Q254" s="62"/>
      <c r="R254" s="62"/>
      <c r="S254" s="62"/>
      <c r="T254" s="62"/>
      <c r="U254" s="62"/>
      <c r="V254" s="62"/>
      <c r="W254" s="34"/>
      <c r="X254" s="34"/>
      <c r="Y254" s="34"/>
      <c r="Z254" s="34"/>
      <c r="AA254" s="34"/>
      <c r="AB254" s="34"/>
      <c r="AN254" s="238"/>
      <c r="AO254" s="238"/>
    </row>
    <row r="255" spans="1:41">
      <c r="A255" s="62"/>
      <c r="B255" s="62"/>
      <c r="C255" s="62"/>
      <c r="D255" s="62"/>
      <c r="E255" s="62"/>
      <c r="F255" s="62"/>
      <c r="G255" s="62"/>
      <c r="H255" s="62"/>
      <c r="I255" s="62"/>
      <c r="J255" s="62"/>
      <c r="K255" s="62"/>
      <c r="L255" s="62"/>
      <c r="M255" s="62"/>
      <c r="N255" s="62"/>
      <c r="O255" s="62"/>
      <c r="P255" s="62"/>
      <c r="Q255" s="62"/>
      <c r="R255" s="62"/>
      <c r="S255" s="62"/>
      <c r="T255" s="62"/>
      <c r="U255" s="62"/>
      <c r="V255" s="62"/>
      <c r="W255" s="34"/>
      <c r="X255" s="34"/>
      <c r="Y255" s="34"/>
      <c r="Z255" s="34"/>
      <c r="AA255" s="34"/>
      <c r="AB255" s="34"/>
    </row>
    <row r="256" spans="1:41">
      <c r="A256" s="62"/>
      <c r="B256" s="62"/>
      <c r="C256" s="62"/>
      <c r="D256" s="62"/>
      <c r="E256" s="62"/>
      <c r="F256" s="62"/>
      <c r="G256" s="62"/>
      <c r="H256" s="62"/>
      <c r="I256" s="62"/>
      <c r="J256" s="62"/>
      <c r="K256" s="62"/>
      <c r="L256" s="62"/>
      <c r="M256" s="62"/>
      <c r="N256" s="62"/>
      <c r="O256" s="62"/>
      <c r="P256" s="62"/>
      <c r="Q256" s="62"/>
      <c r="R256" s="62"/>
      <c r="S256" s="62"/>
      <c r="T256" s="62"/>
      <c r="U256" s="62"/>
      <c r="V256" s="62"/>
      <c r="W256" s="34"/>
      <c r="X256" s="34"/>
      <c r="Y256" s="34"/>
      <c r="Z256" s="34"/>
      <c r="AA256" s="34"/>
      <c r="AB256" s="34"/>
    </row>
    <row r="257" spans="1:28">
      <c r="A257" s="62"/>
      <c r="B257" s="62"/>
      <c r="C257" s="62"/>
      <c r="D257" s="62"/>
      <c r="E257" s="62"/>
      <c r="F257" s="62"/>
      <c r="G257" s="62"/>
      <c r="H257" s="62"/>
      <c r="I257" s="62"/>
      <c r="J257" s="62"/>
      <c r="K257" s="62"/>
      <c r="L257" s="62"/>
      <c r="M257" s="62"/>
      <c r="N257" s="62"/>
      <c r="O257" s="62"/>
      <c r="P257" s="62"/>
      <c r="Q257" s="62"/>
      <c r="R257" s="62"/>
      <c r="S257" s="62"/>
      <c r="T257" s="62"/>
      <c r="U257" s="62"/>
      <c r="V257" s="62"/>
      <c r="W257" s="34"/>
      <c r="X257" s="34"/>
      <c r="Y257" s="34"/>
      <c r="Z257" s="34"/>
      <c r="AA257" s="34"/>
      <c r="AB257" s="34"/>
    </row>
    <row r="258" spans="1:28">
      <c r="A258" s="62"/>
      <c r="B258" s="62"/>
      <c r="C258" s="62"/>
      <c r="D258" s="62"/>
      <c r="E258" s="62"/>
      <c r="F258" s="62"/>
      <c r="G258" s="62"/>
      <c r="H258" s="62"/>
      <c r="I258" s="62"/>
      <c r="J258" s="62"/>
      <c r="K258" s="62"/>
      <c r="L258" s="62"/>
      <c r="M258" s="62"/>
      <c r="N258" s="62"/>
      <c r="O258" s="62"/>
      <c r="P258" s="62"/>
      <c r="Q258" s="62"/>
      <c r="R258" s="62"/>
      <c r="S258" s="62"/>
      <c r="T258" s="62"/>
      <c r="U258" s="62"/>
      <c r="V258" s="62"/>
      <c r="W258" s="34"/>
      <c r="X258" s="34"/>
      <c r="Y258" s="34"/>
      <c r="Z258" s="34"/>
      <c r="AA258" s="34"/>
      <c r="AB258" s="34"/>
    </row>
    <row r="259" spans="1:28">
      <c r="A259" s="62"/>
      <c r="B259" s="62"/>
      <c r="C259" s="62"/>
      <c r="D259" s="62"/>
      <c r="E259" s="62"/>
      <c r="F259" s="62"/>
      <c r="G259" s="62"/>
      <c r="H259" s="62"/>
      <c r="I259" s="62"/>
      <c r="J259" s="62"/>
      <c r="K259" s="62"/>
      <c r="L259" s="62"/>
      <c r="M259" s="62"/>
      <c r="N259" s="62"/>
      <c r="O259" s="62"/>
      <c r="P259" s="62"/>
      <c r="Q259" s="62"/>
      <c r="R259" s="62"/>
      <c r="S259" s="62"/>
      <c r="T259" s="62"/>
      <c r="U259" s="62"/>
      <c r="V259" s="62"/>
      <c r="W259" s="34"/>
      <c r="X259" s="34"/>
      <c r="Y259" s="34"/>
      <c r="Z259" s="34"/>
      <c r="AA259" s="34"/>
      <c r="AB259" s="34"/>
    </row>
    <row r="260" spans="1:28">
      <c r="A260" s="62"/>
      <c r="B260" s="62"/>
      <c r="C260" s="62"/>
      <c r="D260" s="62"/>
      <c r="E260" s="62"/>
      <c r="F260" s="62"/>
      <c r="G260" s="62"/>
      <c r="H260" s="62"/>
      <c r="I260" s="62"/>
      <c r="J260" s="62"/>
      <c r="K260" s="62"/>
      <c r="L260" s="62"/>
      <c r="M260" s="62"/>
      <c r="N260" s="62"/>
      <c r="O260" s="62"/>
      <c r="P260" s="62"/>
      <c r="Q260" s="62"/>
      <c r="R260" s="62"/>
      <c r="S260" s="62"/>
      <c r="T260" s="62"/>
      <c r="U260" s="62"/>
      <c r="V260" s="62"/>
      <c r="W260" s="34"/>
      <c r="X260" s="34"/>
      <c r="Y260" s="34"/>
      <c r="Z260" s="34"/>
      <c r="AA260" s="34"/>
      <c r="AB260" s="34"/>
    </row>
    <row r="261" spans="1:28">
      <c r="A261" s="62"/>
      <c r="B261" s="62"/>
      <c r="C261" s="62"/>
      <c r="D261" s="62"/>
      <c r="E261" s="62"/>
      <c r="F261" s="62"/>
      <c r="G261" s="62"/>
      <c r="H261" s="62"/>
      <c r="I261" s="62"/>
      <c r="J261" s="62"/>
      <c r="K261" s="62"/>
      <c r="L261" s="62"/>
      <c r="M261" s="62"/>
      <c r="N261" s="62"/>
      <c r="O261" s="62"/>
      <c r="P261" s="62"/>
      <c r="Q261" s="62"/>
      <c r="R261" s="62"/>
      <c r="S261" s="62"/>
      <c r="T261" s="62"/>
      <c r="U261" s="62"/>
      <c r="V261" s="62"/>
      <c r="W261" s="34"/>
      <c r="X261" s="34"/>
      <c r="Y261" s="34"/>
      <c r="Z261" s="34"/>
      <c r="AA261" s="34"/>
      <c r="AB261" s="34"/>
    </row>
    <row r="262" spans="1:28">
      <c r="A262" s="62"/>
      <c r="B262" s="62"/>
      <c r="C262" s="62"/>
      <c r="D262" s="62"/>
      <c r="E262" s="62"/>
      <c r="F262" s="62"/>
      <c r="G262" s="62"/>
      <c r="H262" s="62"/>
      <c r="I262" s="62"/>
      <c r="J262" s="62"/>
      <c r="K262" s="62"/>
      <c r="L262" s="62"/>
      <c r="M262" s="62"/>
      <c r="N262" s="62"/>
      <c r="O262" s="62"/>
      <c r="P262" s="62"/>
      <c r="Q262" s="62"/>
      <c r="R262" s="62"/>
      <c r="S262" s="62"/>
      <c r="T262" s="62"/>
      <c r="U262" s="62"/>
      <c r="V262" s="62"/>
      <c r="W262" s="34"/>
      <c r="X262" s="34"/>
      <c r="Y262" s="34"/>
      <c r="Z262" s="34"/>
      <c r="AA262" s="34"/>
      <c r="AB262" s="34"/>
    </row>
    <row r="263" spans="1:28">
      <c r="A263" s="62"/>
      <c r="B263" s="62"/>
      <c r="C263" s="62"/>
      <c r="D263" s="62"/>
      <c r="E263" s="62"/>
      <c r="F263" s="62"/>
      <c r="G263" s="62"/>
      <c r="H263" s="62"/>
      <c r="I263" s="62"/>
      <c r="J263" s="62"/>
      <c r="K263" s="62"/>
      <c r="L263" s="62"/>
      <c r="M263" s="62"/>
      <c r="N263" s="62"/>
      <c r="O263" s="62"/>
      <c r="P263" s="62"/>
      <c r="Q263" s="62"/>
      <c r="R263" s="62"/>
      <c r="S263" s="62"/>
      <c r="T263" s="62"/>
      <c r="U263" s="62"/>
      <c r="V263" s="62"/>
      <c r="W263" s="34"/>
      <c r="X263" s="34"/>
      <c r="Y263" s="34"/>
      <c r="Z263" s="34"/>
      <c r="AA263" s="34"/>
      <c r="AB263" s="34"/>
    </row>
    <row r="264" spans="1:28">
      <c r="A264" s="62"/>
      <c r="B264" s="62"/>
      <c r="C264" s="62"/>
      <c r="D264" s="62"/>
      <c r="E264" s="62"/>
      <c r="F264" s="62"/>
      <c r="G264" s="62"/>
      <c r="H264" s="62"/>
      <c r="I264" s="62"/>
      <c r="J264" s="62"/>
      <c r="K264" s="62"/>
      <c r="L264" s="62"/>
      <c r="M264" s="62"/>
      <c r="N264" s="62"/>
      <c r="O264" s="62"/>
      <c r="P264" s="62"/>
      <c r="Q264" s="62"/>
      <c r="R264" s="62"/>
      <c r="S264" s="62"/>
      <c r="T264" s="62"/>
      <c r="U264" s="62"/>
      <c r="V264" s="62"/>
      <c r="W264" s="34"/>
      <c r="X264" s="34"/>
      <c r="Y264" s="34"/>
      <c r="Z264" s="34"/>
      <c r="AA264" s="34"/>
      <c r="AB264" s="34"/>
    </row>
    <row r="265" spans="1:28">
      <c r="A265" s="62"/>
      <c r="B265" s="62"/>
      <c r="C265" s="62"/>
      <c r="D265" s="62"/>
      <c r="E265" s="62"/>
      <c r="F265" s="62"/>
      <c r="G265" s="62"/>
      <c r="H265" s="62"/>
      <c r="I265" s="62"/>
      <c r="J265" s="62"/>
      <c r="K265" s="62"/>
      <c r="L265" s="62"/>
      <c r="M265" s="62"/>
      <c r="N265" s="62"/>
      <c r="O265" s="62"/>
      <c r="P265" s="62"/>
      <c r="Q265" s="62"/>
      <c r="R265" s="62"/>
      <c r="S265" s="62"/>
      <c r="T265" s="62"/>
      <c r="U265" s="62"/>
      <c r="V265" s="62"/>
      <c r="W265" s="34"/>
      <c r="X265" s="34"/>
      <c r="Y265" s="34"/>
      <c r="Z265" s="34"/>
      <c r="AA265" s="34"/>
      <c r="AB265" s="34"/>
    </row>
    <row r="266" spans="1:28">
      <c r="A266" s="62"/>
      <c r="B266" s="62"/>
      <c r="C266" s="62"/>
      <c r="D266" s="62"/>
      <c r="E266" s="62"/>
      <c r="F266" s="62"/>
      <c r="G266" s="62"/>
      <c r="H266" s="62"/>
      <c r="I266" s="62"/>
      <c r="J266" s="62"/>
      <c r="K266" s="62"/>
      <c r="L266" s="62"/>
      <c r="M266" s="62"/>
      <c r="N266" s="62"/>
      <c r="O266" s="62"/>
      <c r="P266" s="62"/>
      <c r="Q266" s="62"/>
      <c r="R266" s="62"/>
      <c r="S266" s="62"/>
      <c r="T266" s="62"/>
      <c r="U266" s="62"/>
      <c r="V266" s="62"/>
      <c r="W266" s="34"/>
      <c r="X266" s="34"/>
      <c r="Y266" s="34"/>
      <c r="Z266" s="34"/>
      <c r="AA266" s="34"/>
      <c r="AB266" s="34"/>
    </row>
    <row r="267" spans="1:28">
      <c r="A267" s="62"/>
      <c r="B267" s="62"/>
      <c r="C267" s="62"/>
      <c r="D267" s="62"/>
      <c r="E267" s="62"/>
      <c r="F267" s="62"/>
      <c r="G267" s="62"/>
      <c r="H267" s="62"/>
      <c r="I267" s="62"/>
      <c r="J267" s="62"/>
      <c r="K267" s="62"/>
      <c r="L267" s="62"/>
      <c r="M267" s="62"/>
      <c r="N267" s="62"/>
      <c r="O267" s="62"/>
      <c r="P267" s="62"/>
      <c r="Q267" s="62"/>
      <c r="R267" s="62"/>
      <c r="S267" s="62"/>
      <c r="T267" s="62"/>
      <c r="U267" s="62"/>
      <c r="V267" s="62"/>
      <c r="W267" s="34"/>
      <c r="X267" s="34"/>
      <c r="Y267" s="34"/>
      <c r="Z267" s="34"/>
      <c r="AA267" s="34"/>
      <c r="AB267" s="34"/>
    </row>
    <row r="268" spans="1:28">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c r="AB268" s="34"/>
    </row>
    <row r="269" spans="1:28">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c r="AB269" s="34"/>
    </row>
    <row r="270" spans="1:28">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c r="AB270" s="34"/>
    </row>
    <row r="271" spans="1:28">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c r="AB271" s="34"/>
    </row>
    <row r="272" spans="1:28">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34"/>
    </row>
    <row r="273" spans="1:28">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c r="AB273" s="34"/>
    </row>
    <row r="274" spans="1:28">
      <c r="A274" s="62"/>
      <c r="B274" s="62"/>
      <c r="C274" s="62"/>
      <c r="D274" s="62"/>
      <c r="E274" s="62"/>
      <c r="F274" s="62"/>
      <c r="G274" s="62"/>
      <c r="H274" s="94"/>
      <c r="I274" s="62"/>
      <c r="J274" s="62"/>
      <c r="K274" s="62"/>
      <c r="L274" s="62"/>
      <c r="M274" s="62"/>
      <c r="N274" s="62"/>
      <c r="O274" s="62"/>
      <c r="P274" s="62"/>
      <c r="Q274" s="62"/>
      <c r="R274" s="62"/>
      <c r="S274" s="62"/>
      <c r="T274" s="62"/>
      <c r="U274" s="62"/>
      <c r="V274" s="62"/>
      <c r="W274" s="62"/>
      <c r="X274" s="62"/>
      <c r="Y274" s="62"/>
      <c r="Z274" s="62"/>
      <c r="AA274" s="62"/>
      <c r="AB274" s="34"/>
    </row>
    <row r="275" spans="1:28">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c r="AB275" s="34"/>
    </row>
    <row r="276" spans="1:28">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c r="AB276" s="34"/>
    </row>
    <row r="277" spans="1:28">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34"/>
    </row>
    <row r="278" spans="1:28">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c r="AB278" s="34"/>
    </row>
    <row r="279" spans="1:28">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c r="AB279" s="34"/>
    </row>
    <row r="280" spans="1:28">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c r="AB280" s="34"/>
    </row>
    <row r="281" spans="1:28">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c r="AB281" s="34"/>
    </row>
    <row r="282" spans="1:28">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c r="AB282" s="34"/>
    </row>
    <row r="283" spans="1:28">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c r="AB283" s="34"/>
    </row>
    <row r="284" spans="1:28">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c r="AB284" s="34"/>
    </row>
    <row r="285" spans="1:28">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c r="AB285" s="34"/>
    </row>
    <row r="286" spans="1:28">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34"/>
    </row>
    <row r="287" spans="1:28">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row>
    <row r="288" spans="1:28">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row>
    <row r="289" spans="1:28">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row>
    <row r="290" spans="1:28">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row>
    <row r="291" spans="1:28">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row>
    <row r="292" spans="1:28">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row>
    <row r="293" spans="1:28">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row>
    <row r="294" spans="1:28">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c r="AB294" s="62"/>
    </row>
    <row r="295" spans="1:28">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c r="AB295" s="62"/>
    </row>
    <row r="296" spans="1:28">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c r="AB296" s="62"/>
    </row>
    <row r="297" spans="1:28">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c r="AA297" s="62"/>
      <c r="AB297" s="62"/>
    </row>
    <row r="298" spans="1:28">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c r="AA298" s="62"/>
      <c r="AB298" s="62"/>
    </row>
    <row r="299" spans="1:28">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c r="AA299" s="62"/>
      <c r="AB299" s="62"/>
    </row>
    <row r="300" spans="1:28">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c r="AA300" s="62"/>
      <c r="AB300" s="62"/>
    </row>
  </sheetData>
  <mergeCells count="31">
    <mergeCell ref="R38:V38"/>
    <mergeCell ref="AA185:AE185"/>
    <mergeCell ref="C239:I239"/>
    <mergeCell ref="C195:I195"/>
    <mergeCell ref="C212:I212"/>
    <mergeCell ref="C224:I224"/>
    <mergeCell ref="U183:W183"/>
    <mergeCell ref="U179:W179"/>
    <mergeCell ref="C180:I180"/>
    <mergeCell ref="L179:M179"/>
    <mergeCell ref="AA177:AA178"/>
    <mergeCell ref="AB178:AE178"/>
    <mergeCell ref="AB177:AE177"/>
    <mergeCell ref="AD180:AE180"/>
    <mergeCell ref="C162:I162"/>
    <mergeCell ref="C75:I75"/>
    <mergeCell ref="C90:I90"/>
    <mergeCell ref="C125:I125"/>
    <mergeCell ref="C141:I141"/>
    <mergeCell ref="AE125:AG125"/>
    <mergeCell ref="C108:I108"/>
    <mergeCell ref="AB180:AC180"/>
    <mergeCell ref="AB179:AC179"/>
    <mergeCell ref="AD179:AE179"/>
    <mergeCell ref="AA179:AA181"/>
    <mergeCell ref="Q75:R75"/>
    <mergeCell ref="C13:I13"/>
    <mergeCell ref="C27:I27"/>
    <mergeCell ref="C47:I47"/>
    <mergeCell ref="C61:I61"/>
    <mergeCell ref="M74:N74"/>
  </mergeCells>
  <phoneticPr fontId="0" type="noConversion"/>
  <hyperlinks>
    <hyperlink ref="K9" r:id="rId1"/>
    <hyperlink ref="Q43" r:id="rId2"/>
    <hyperlink ref="K102" r:id="rId3"/>
    <hyperlink ref="C25" r:id="rId4"/>
    <hyperlink ref="K26" r:id="rId5"/>
    <hyperlink ref="R38" r:id="rId6"/>
    <hyperlink ref="F102" r:id="rId7"/>
    <hyperlink ref="K10" r:id="rId8"/>
    <hyperlink ref="K44" r:id="rId9"/>
  </hyperlinks>
  <printOptions horizontalCentered="1"/>
  <pageMargins left="0.47244094488188981" right="0.47244094488188981" top="0.59055118110236227" bottom="0.39370078740157483" header="0" footer="0.39370078740157483"/>
  <pageSetup paperSize="9" scale="45" fitToHeight="6" orientation="landscape" r:id="rId10"/>
  <headerFooter alignWithMargins="0">
    <oddFooter>&amp;R&amp;14Página &amp;P de &amp;N</oddFooter>
  </headerFooter>
  <rowBreaks count="3" manualBreakCount="3">
    <brk id="67" min="1" max="21" man="1"/>
    <brk id="133" min="1" max="21" man="1"/>
    <brk id="204" min="1" max="21" man="1"/>
  </rowBreaks>
  <drawing r:id="rId11"/>
  <legacy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topLeftCell="A4" zoomScale="85" zoomScaleNormal="85" workbookViewId="0">
      <selection activeCell="F24" sqref="F24"/>
    </sheetView>
  </sheetViews>
  <sheetFormatPr baseColWidth="10" defaultRowHeight="12.75"/>
  <cols>
    <col min="2" max="2" width="18.28515625" customWidth="1"/>
    <col min="3" max="3" width="63.42578125" bestFit="1" customWidth="1"/>
    <col min="4" max="4" width="12.42578125" bestFit="1" customWidth="1"/>
    <col min="5" max="5" width="18.5703125" style="333" customWidth="1"/>
    <col min="6" max="6" width="17.42578125" style="333" bestFit="1" customWidth="1"/>
    <col min="7" max="7" width="29.140625" style="333" customWidth="1"/>
    <col min="15" max="15" width="20.85546875" customWidth="1"/>
    <col min="16" max="16" width="14.28515625" customWidth="1"/>
  </cols>
  <sheetData>
    <row r="1" spans="1:17">
      <c r="B1" t="s">
        <v>374</v>
      </c>
      <c r="C1" s="306"/>
    </row>
    <row r="2" spans="1:17">
      <c r="E2" s="439">
        <v>44896</v>
      </c>
      <c r="F2" s="439">
        <v>44805</v>
      </c>
      <c r="G2" s="450" t="s">
        <v>554</v>
      </c>
      <c r="O2" s="324" t="s">
        <v>551</v>
      </c>
      <c r="P2" s="324" t="s">
        <v>552</v>
      </c>
      <c r="Q2" s="523" t="s">
        <v>553</v>
      </c>
    </row>
    <row r="3" spans="1:17" ht="38.25" customHeight="1">
      <c r="B3" s="295" t="s">
        <v>372</v>
      </c>
      <c r="D3" s="305" t="s">
        <v>382</v>
      </c>
      <c r="E3" s="440" t="s">
        <v>373</v>
      </c>
      <c r="F3" s="439"/>
      <c r="G3" s="332" t="s">
        <v>434</v>
      </c>
      <c r="O3" s="463" t="s">
        <v>372</v>
      </c>
      <c r="P3" s="463" t="s">
        <v>372</v>
      </c>
      <c r="Q3" s="524"/>
    </row>
    <row r="4" spans="1:17">
      <c r="A4" t="s">
        <v>8</v>
      </c>
      <c r="B4" s="299">
        <f>E4/$E$15</f>
        <v>165.58999614123096</v>
      </c>
      <c r="C4" t="s">
        <v>347</v>
      </c>
      <c r="D4" t="s">
        <v>334</v>
      </c>
      <c r="E4" s="470">
        <v>171.65058999999999</v>
      </c>
      <c r="F4" s="334">
        <v>137.86716000000001</v>
      </c>
      <c r="G4" s="396">
        <f>+(E4-F4)/F4</f>
        <v>0.24504334462246105</v>
      </c>
      <c r="N4" s="460" t="s">
        <v>8</v>
      </c>
      <c r="O4" s="466">
        <v>137.4</v>
      </c>
      <c r="P4" s="466">
        <v>118.94000371609066</v>
      </c>
      <c r="Q4" s="461">
        <f>+(O4-P4)/P4</f>
        <v>0.15520426859892564</v>
      </c>
    </row>
    <row r="5" spans="1:17">
      <c r="A5" t="s">
        <v>2</v>
      </c>
      <c r="B5" s="299">
        <f>E5/$E$15</f>
        <v>6.9100038587690529</v>
      </c>
      <c r="C5" t="s">
        <v>352</v>
      </c>
      <c r="D5" t="s">
        <v>341</v>
      </c>
      <c r="E5" s="470">
        <v>7.1629100000000001</v>
      </c>
      <c r="F5" s="334">
        <v>6.9334899999999999</v>
      </c>
      <c r="G5" s="396">
        <f t="shared" ref="G4:G18" si="0">+(E5-F5)/F5</f>
        <v>3.3088675400123196E-2</v>
      </c>
      <c r="N5" s="460" t="s">
        <v>2</v>
      </c>
      <c r="O5" s="467">
        <v>6.9099960135539158</v>
      </c>
      <c r="P5" s="467">
        <v>6.9099962839093276</v>
      </c>
      <c r="Q5" s="462">
        <f t="shared" ref="Q5:Q18" si="1">+(O5-P5)/P5</f>
        <v>-3.9125261538137411E-8</v>
      </c>
    </row>
    <row r="6" spans="1:17">
      <c r="A6" t="s">
        <v>41</v>
      </c>
      <c r="B6" s="299">
        <f t="shared" ref="B6:B17" si="2">E6/$E$15</f>
        <v>5.3179625699401889</v>
      </c>
      <c r="C6" t="s">
        <v>349</v>
      </c>
      <c r="D6" t="s">
        <v>338</v>
      </c>
      <c r="E6" s="470">
        <v>5.5125999999999999</v>
      </c>
      <c r="F6" s="334">
        <v>5.0286</v>
      </c>
      <c r="G6" s="396">
        <f t="shared" si="0"/>
        <v>9.6249453128107218E-2</v>
      </c>
      <c r="N6" s="460" t="s">
        <v>41</v>
      </c>
      <c r="O6" s="467">
        <v>5.0115606936416182</v>
      </c>
      <c r="P6" s="467">
        <v>4.7035488665923451</v>
      </c>
      <c r="Q6" s="461">
        <f t="shared" si="1"/>
        <v>6.5484985015670377E-2</v>
      </c>
    </row>
    <row r="7" spans="1:17">
      <c r="A7" t="s">
        <v>5</v>
      </c>
      <c r="B7" s="299">
        <f>E7/$E$15</f>
        <v>915.81000385876916</v>
      </c>
      <c r="C7" t="s">
        <v>353</v>
      </c>
      <c r="D7" t="s">
        <v>343</v>
      </c>
      <c r="E7" s="470">
        <v>949.32865000000004</v>
      </c>
      <c r="F7" s="334">
        <v>913.1241</v>
      </c>
      <c r="G7" s="396">
        <f t="shared" si="0"/>
        <v>3.9649101365301871E-2</v>
      </c>
      <c r="L7" s="424"/>
      <c r="N7" s="479" t="s">
        <v>5</v>
      </c>
      <c r="O7" s="480">
        <v>910.02999800677685</v>
      </c>
      <c r="P7" s="480">
        <v>829.59000371609068</v>
      </c>
      <c r="Q7" s="481">
        <f t="shared" si="1"/>
        <v>9.696355299649323E-2</v>
      </c>
    </row>
    <row r="8" spans="1:17">
      <c r="A8" t="s">
        <v>28</v>
      </c>
      <c r="B8" s="299">
        <f>E8/$E$15</f>
        <v>4881.4100038587685</v>
      </c>
      <c r="C8" t="s">
        <v>348</v>
      </c>
      <c r="D8" s="305" t="s">
        <v>337</v>
      </c>
      <c r="E8" s="470">
        <v>5060.0696099999996</v>
      </c>
      <c r="F8" s="334">
        <v>4395.0826500000003</v>
      </c>
      <c r="G8" s="396">
        <f t="shared" si="0"/>
        <v>0.15130249257087333</v>
      </c>
      <c r="N8" s="460" t="s">
        <v>28</v>
      </c>
      <c r="O8" s="467">
        <v>4380.1900039864458</v>
      </c>
      <c r="P8" s="467">
        <v>3989.8400037160905</v>
      </c>
      <c r="Q8" s="461">
        <f t="shared" si="1"/>
        <v>9.78360034253975E-2</v>
      </c>
    </row>
    <row r="9" spans="1:17">
      <c r="A9" t="s">
        <v>6</v>
      </c>
      <c r="B9" s="300">
        <f t="shared" si="2"/>
        <v>1</v>
      </c>
      <c r="C9" s="305" t="s">
        <v>378</v>
      </c>
      <c r="D9" t="s">
        <v>335</v>
      </c>
      <c r="E9" s="470">
        <v>1.0366</v>
      </c>
      <c r="F9" s="335">
        <v>1.0034000000000001</v>
      </c>
      <c r="G9" s="396">
        <f t="shared" si="0"/>
        <v>3.3087502491528697E-2</v>
      </c>
      <c r="N9" s="460" t="s">
        <v>6</v>
      </c>
      <c r="O9" s="467">
        <v>1</v>
      </c>
      <c r="P9" s="467">
        <v>1</v>
      </c>
      <c r="Q9" s="461">
        <f t="shared" si="1"/>
        <v>0</v>
      </c>
    </row>
    <row r="10" spans="1:17">
      <c r="A10" t="s">
        <v>9</v>
      </c>
      <c r="B10" s="299">
        <f t="shared" si="2"/>
        <v>7238.4300019293842</v>
      </c>
      <c r="C10" t="s">
        <v>346</v>
      </c>
      <c r="D10" t="s">
        <v>333</v>
      </c>
      <c r="E10" s="470">
        <v>7503.3565399999998</v>
      </c>
      <c r="F10" s="334">
        <v>6895.0336799999995</v>
      </c>
      <c r="G10" s="396">
        <f t="shared" si="0"/>
        <v>8.8226234741176815E-2</v>
      </c>
      <c r="N10" s="460" t="s">
        <v>9</v>
      </c>
      <c r="O10" s="467">
        <v>6871.6700019932223</v>
      </c>
      <c r="P10" s="467">
        <v>6859.2349962839098</v>
      </c>
      <c r="Q10" s="461">
        <f t="shared" si="1"/>
        <v>1.8128852147578131E-3</v>
      </c>
    </row>
    <row r="11" spans="1:17">
      <c r="A11" t="s">
        <v>4</v>
      </c>
      <c r="B11" s="431">
        <f>E11/$E$15</f>
        <v>3.8680011576307161</v>
      </c>
      <c r="C11" s="305" t="s">
        <v>438</v>
      </c>
      <c r="D11" t="s">
        <v>342</v>
      </c>
      <c r="E11" s="470">
        <v>4.0095700000000001</v>
      </c>
      <c r="F11" s="334">
        <v>3.8666</v>
      </c>
      <c r="G11" s="396">
        <f t="shared" si="0"/>
        <v>3.6975637510991581E-2</v>
      </c>
      <c r="N11" s="464" t="s">
        <v>4</v>
      </c>
      <c r="O11" s="468">
        <v>3.8534981064381104</v>
      </c>
      <c r="P11" s="468">
        <v>3.9719992567818654</v>
      </c>
      <c r="Q11" s="465">
        <f t="shared" si="1"/>
        <v>-2.9834132053631154E-2</v>
      </c>
    </row>
    <row r="12" spans="1:17">
      <c r="A12" t="s">
        <v>10</v>
      </c>
      <c r="B12" s="299">
        <f t="shared" si="2"/>
        <v>39.257003665830602</v>
      </c>
      <c r="C12" t="s">
        <v>354</v>
      </c>
      <c r="D12" t="s">
        <v>344</v>
      </c>
      <c r="E12" s="470">
        <v>40.693809999999999</v>
      </c>
      <c r="F12" s="334">
        <v>40.558430000000001</v>
      </c>
      <c r="G12" s="396">
        <f t="shared" si="0"/>
        <v>3.3379004068943949E-3</v>
      </c>
      <c r="N12" s="460" t="s">
        <v>10</v>
      </c>
      <c r="O12" s="467">
        <v>40.420998604743872</v>
      </c>
      <c r="P12" s="467">
        <v>39.912002972872543</v>
      </c>
      <c r="Q12" s="461">
        <f t="shared" si="1"/>
        <v>1.2752946330889085E-2</v>
      </c>
    </row>
    <row r="13" spans="1:17">
      <c r="A13" t="s">
        <v>7</v>
      </c>
      <c r="B13" s="299">
        <f>E13/$E$15</f>
        <v>10.725602932664479</v>
      </c>
      <c r="C13" t="s">
        <v>345</v>
      </c>
      <c r="D13" t="s">
        <v>510</v>
      </c>
      <c r="E13" s="470">
        <v>11.11816</v>
      </c>
      <c r="F13" s="457">
        <v>7.8773900000000001</v>
      </c>
      <c r="G13" s="396">
        <f t="shared" si="0"/>
        <v>0.41140149211858235</v>
      </c>
      <c r="N13" s="460" t="s">
        <v>7</v>
      </c>
      <c r="O13" s="467">
        <v>7.8506976280645802</v>
      </c>
      <c r="P13" s="467">
        <v>4.9585005574136005</v>
      </c>
      <c r="Q13" s="461">
        <f t="shared" si="1"/>
        <v>0.58328057790106935</v>
      </c>
    </row>
    <row r="14" spans="1:17">
      <c r="A14" t="s">
        <v>71</v>
      </c>
      <c r="B14" s="301">
        <f t="shared" si="2"/>
        <v>603.23000192938457</v>
      </c>
      <c r="C14" t="s">
        <v>350</v>
      </c>
      <c r="D14" t="s">
        <v>339</v>
      </c>
      <c r="E14" s="470">
        <v>625.30822000000001</v>
      </c>
      <c r="F14" s="334">
        <v>638.34802999999999</v>
      </c>
      <c r="G14" s="396">
        <f t="shared" si="0"/>
        <v>-2.0427430472370986E-2</v>
      </c>
      <c r="N14" s="460" t="s">
        <v>71</v>
      </c>
      <c r="O14" s="467">
        <v>636.18500099661151</v>
      </c>
      <c r="P14" s="467">
        <v>676.34000371609068</v>
      </c>
      <c r="Q14" s="461">
        <f t="shared" si="1"/>
        <v>-5.9371030101503741E-2</v>
      </c>
    </row>
    <row r="15" spans="1:17">
      <c r="A15" t="s">
        <v>83</v>
      </c>
      <c r="B15" s="299">
        <f t="shared" si="2"/>
        <v>1</v>
      </c>
      <c r="C15" s="305" t="s">
        <v>379</v>
      </c>
      <c r="D15" s="322" t="s">
        <v>335</v>
      </c>
      <c r="E15" s="470">
        <v>1.0366</v>
      </c>
      <c r="F15" s="335">
        <v>1.0034000000000001</v>
      </c>
      <c r="G15" s="396">
        <f t="shared" si="0"/>
        <v>3.3087502491528697E-2</v>
      </c>
      <c r="N15" s="460" t="s">
        <v>83</v>
      </c>
      <c r="O15" s="467">
        <v>1</v>
      </c>
      <c r="P15" s="467">
        <v>1</v>
      </c>
      <c r="Q15" s="461">
        <f t="shared" si="1"/>
        <v>0</v>
      </c>
    </row>
    <row r="16" spans="1:17">
      <c r="A16" t="s">
        <v>74</v>
      </c>
      <c r="B16" s="299">
        <f t="shared" si="2"/>
        <v>7.8199787767702107</v>
      </c>
      <c r="C16" t="s">
        <v>351</v>
      </c>
      <c r="D16" t="s">
        <v>340</v>
      </c>
      <c r="E16" s="470">
        <v>8.1061899999999998</v>
      </c>
      <c r="F16" s="334">
        <v>7.75997</v>
      </c>
      <c r="G16" s="396">
        <f t="shared" si="0"/>
        <v>4.4616151866566464E-2</v>
      </c>
      <c r="N16" s="460" t="s">
        <v>74</v>
      </c>
      <c r="O16" s="467">
        <v>7.7336755032888176</v>
      </c>
      <c r="P16" s="467">
        <v>7.6677443329617248</v>
      </c>
      <c r="Q16" s="461">
        <f t="shared" si="1"/>
        <v>8.5985092178505664E-3</v>
      </c>
    </row>
    <row r="17" spans="1:17">
      <c r="A17" t="s">
        <v>85</v>
      </c>
      <c r="B17" s="300">
        <f t="shared" si="2"/>
        <v>19.10814200270114</v>
      </c>
      <c r="C17" s="305" t="s">
        <v>380</v>
      </c>
      <c r="D17" s="305" t="s">
        <v>336</v>
      </c>
      <c r="E17" s="470">
        <v>19.807500000000001</v>
      </c>
      <c r="F17" s="335">
        <v>20.0077</v>
      </c>
      <c r="G17" s="396">
        <f t="shared" si="0"/>
        <v>-1.0006147633161174E-2</v>
      </c>
      <c r="N17" s="460" t="s">
        <v>85</v>
      </c>
      <c r="O17" s="467">
        <v>19.939904325293998</v>
      </c>
      <c r="P17" s="467">
        <v>19.416016350798959</v>
      </c>
      <c r="Q17" s="461">
        <f t="shared" si="1"/>
        <v>2.6982258617302916E-2</v>
      </c>
    </row>
    <row r="18" spans="1:17">
      <c r="A18" t="s">
        <v>78</v>
      </c>
      <c r="B18" s="300">
        <f>E18/$E$15</f>
        <v>1</v>
      </c>
      <c r="C18" s="305" t="s">
        <v>381</v>
      </c>
      <c r="D18" s="305" t="s">
        <v>335</v>
      </c>
      <c r="E18" s="470">
        <v>1.0366</v>
      </c>
      <c r="F18" s="335">
        <v>1.0034000000000001</v>
      </c>
      <c r="G18" s="396">
        <f t="shared" si="0"/>
        <v>3.3087502491528697E-2</v>
      </c>
      <c r="N18" s="460" t="s">
        <v>78</v>
      </c>
      <c r="O18" s="467">
        <v>1</v>
      </c>
      <c r="P18" s="467">
        <v>1</v>
      </c>
      <c r="Q18" s="461">
        <f t="shared" si="1"/>
        <v>0</v>
      </c>
    </row>
    <row r="20" spans="1:17">
      <c r="A20" t="s">
        <v>331</v>
      </c>
    </row>
    <row r="21" spans="1:17">
      <c r="A21" s="298" t="s">
        <v>332</v>
      </c>
    </row>
    <row r="22" spans="1:17">
      <c r="A22" s="298" t="s">
        <v>435</v>
      </c>
    </row>
    <row r="23" spans="1:17">
      <c r="A23" s="305" t="s">
        <v>375</v>
      </c>
    </row>
    <row r="24" spans="1:17">
      <c r="A24" s="305" t="s">
        <v>376</v>
      </c>
    </row>
    <row r="25" spans="1:17">
      <c r="A25" s="305" t="s">
        <v>377</v>
      </c>
    </row>
    <row r="26" spans="1:17">
      <c r="A26" s="298" t="s">
        <v>435</v>
      </c>
    </row>
    <row r="27" spans="1:17">
      <c r="A27" s="298" t="s">
        <v>515</v>
      </c>
    </row>
    <row r="31" spans="1:17">
      <c r="B31" t="s">
        <v>372</v>
      </c>
    </row>
    <row r="32" spans="1:17">
      <c r="A32" t="s">
        <v>8</v>
      </c>
      <c r="B32" s="469">
        <v>137.4</v>
      </c>
      <c r="C32" s="471">
        <f>+(B4-B32)/B32</f>
        <v>0.20516736638450472</v>
      </c>
    </row>
    <row r="33" spans="1:3">
      <c r="A33" t="s">
        <v>2</v>
      </c>
      <c r="B33" s="469">
        <v>6.9099960135539158</v>
      </c>
      <c r="C33" s="471">
        <f t="shared" ref="C33:C46" si="3">+(B5-B33)/B33</f>
        <v>1.1353429324261256E-6</v>
      </c>
    </row>
    <row r="34" spans="1:3">
      <c r="A34" t="s">
        <v>41</v>
      </c>
      <c r="B34" s="469">
        <v>5.0115606936416182</v>
      </c>
      <c r="C34" s="471">
        <f t="shared" si="3"/>
        <v>6.1139013379068907E-2</v>
      </c>
    </row>
    <row r="35" spans="1:3">
      <c r="A35" t="s">
        <v>5</v>
      </c>
      <c r="B35" s="469">
        <v>910.02999800677685</v>
      </c>
      <c r="C35" s="471">
        <f t="shared" si="3"/>
        <v>6.3514454080109027E-3</v>
      </c>
    </row>
    <row r="36" spans="1:3">
      <c r="A36" t="s">
        <v>28</v>
      </c>
      <c r="B36" s="469">
        <v>4380.1900039864458</v>
      </c>
      <c r="C36" s="471">
        <f t="shared" si="3"/>
        <v>0.11442882601351959</v>
      </c>
    </row>
    <row r="37" spans="1:3">
      <c r="A37" t="s">
        <v>6</v>
      </c>
      <c r="B37" s="469">
        <v>1</v>
      </c>
      <c r="C37" s="471">
        <f t="shared" si="3"/>
        <v>0</v>
      </c>
    </row>
    <row r="38" spans="1:3">
      <c r="A38" t="s">
        <v>9</v>
      </c>
      <c r="B38" s="469">
        <v>6871.6700019932223</v>
      </c>
      <c r="C38" s="471">
        <f t="shared" si="3"/>
        <v>5.3372760890697327E-2</v>
      </c>
    </row>
    <row r="39" spans="1:3">
      <c r="A39" t="s">
        <v>4</v>
      </c>
      <c r="B39" s="469">
        <v>3.8534981064381104</v>
      </c>
      <c r="C39" s="472">
        <f t="shared" si="3"/>
        <v>3.76360667425141E-3</v>
      </c>
    </row>
    <row r="40" spans="1:3">
      <c r="A40" t="s">
        <v>10</v>
      </c>
      <c r="B40" s="469">
        <v>40.420998604743872</v>
      </c>
      <c r="C40" s="471">
        <f t="shared" si="3"/>
        <v>-2.8796788280650278E-2</v>
      </c>
    </row>
    <row r="41" spans="1:3">
      <c r="A41" t="s">
        <v>7</v>
      </c>
      <c r="B41" s="469">
        <v>7.8506976280645802</v>
      </c>
      <c r="C41" s="471">
        <f t="shared" si="3"/>
        <v>0.3661974312095172</v>
      </c>
    </row>
    <row r="42" spans="1:3">
      <c r="A42" t="s">
        <v>71</v>
      </c>
      <c r="B42" s="469">
        <v>636.18500099661151</v>
      </c>
      <c r="C42" s="471">
        <f t="shared" si="3"/>
        <v>-5.1800968296331247E-2</v>
      </c>
    </row>
    <row r="43" spans="1:3">
      <c r="A43" t="s">
        <v>83</v>
      </c>
      <c r="B43" s="469">
        <v>1</v>
      </c>
      <c r="C43" s="471">
        <f t="shared" si="3"/>
        <v>0</v>
      </c>
    </row>
    <row r="44" spans="1:3">
      <c r="A44" t="s">
        <v>74</v>
      </c>
      <c r="B44" s="469">
        <v>7.7336755032888176</v>
      </c>
      <c r="C44" s="471">
        <f t="shared" si="3"/>
        <v>1.1159412292989515E-2</v>
      </c>
    </row>
    <row r="45" spans="1:3">
      <c r="A45" t="s">
        <v>85</v>
      </c>
      <c r="B45" s="469">
        <v>19.939904325293998</v>
      </c>
      <c r="C45" s="471">
        <f t="shared" si="3"/>
        <v>-4.1713456043906812E-2</v>
      </c>
    </row>
    <row r="46" spans="1:3">
      <c r="A46" t="s">
        <v>78</v>
      </c>
      <c r="B46" s="469">
        <v>1</v>
      </c>
      <c r="C46" s="396">
        <f t="shared" si="3"/>
        <v>0</v>
      </c>
    </row>
  </sheetData>
  <mergeCells count="1">
    <mergeCell ref="Q2:Q3"/>
  </mergeCells>
  <phoneticPr fontId="55" type="noConversion"/>
  <conditionalFormatting sqref="G4:G18">
    <cfRule type="colorScale" priority="2">
      <colorScale>
        <cfvo type="min"/>
        <cfvo type="percentile" val="50"/>
        <cfvo type="max"/>
        <color rgb="FF63BE7B"/>
        <color rgb="FFFCFCFF"/>
        <color rgb="FFF8696B"/>
      </colorScale>
    </cfRule>
  </conditionalFormatting>
  <conditionalFormatting sqref="Q4:Q18">
    <cfRule type="dataBar" priority="1">
      <dataBar>
        <cfvo type="min"/>
        <cfvo type="max"/>
        <color rgb="FF63C384"/>
      </dataBar>
      <extLst>
        <ext xmlns:x14="http://schemas.microsoft.com/office/spreadsheetml/2009/9/main" uri="{B025F937-C7B1-47D3-B67F-A62EFF666E3E}">
          <x14:id>{72D31A5E-DA97-4829-8C53-44871DC564F1}</x14:id>
        </ext>
      </extLst>
    </cfRule>
  </conditionalFormatting>
  <hyperlinks>
    <hyperlink ref="A21" r:id="rId1"/>
    <hyperlink ref="A22" r:id="rId2"/>
    <hyperlink ref="A26" r:id="rId3"/>
    <hyperlink ref="A27" r:id="rId4"/>
  </hyperlinks>
  <pageMargins left="0.75" right="0.75" top="1" bottom="1" header="0" footer="0"/>
  <pageSetup paperSize="9" orientation="portrait" r:id="rId5"/>
  <headerFooter alignWithMargins="0"/>
  <drawing r:id="rId6"/>
  <extLst>
    <ext xmlns:x14="http://schemas.microsoft.com/office/spreadsheetml/2009/9/main" uri="{78C0D931-6437-407d-A8EE-F0AAD7539E65}">
      <x14:conditionalFormattings>
        <x14:conditionalFormatting xmlns:xm="http://schemas.microsoft.com/office/excel/2006/main">
          <x14:cfRule type="dataBar" id="{72D31A5E-DA97-4829-8C53-44871DC564F1}">
            <x14:dataBar minLength="0" maxLength="100" border="1" negativeBarBorderColorSameAsPositive="0">
              <x14:cfvo type="autoMin"/>
              <x14:cfvo type="autoMax"/>
              <x14:borderColor rgb="FF63C384"/>
              <x14:negativeFillColor rgb="FFFF0000"/>
              <x14:negativeBorderColor rgb="FFFF0000"/>
              <x14:axisColor rgb="FF000000"/>
            </x14:dataBar>
          </x14:cfRule>
          <xm:sqref>Q4:Q18</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62"/>
  <sheetViews>
    <sheetView showGridLines="0" tabSelected="1" topLeftCell="A127" zoomScaleNormal="100" workbookViewId="0">
      <selection activeCell="K153" sqref="K153"/>
    </sheetView>
  </sheetViews>
  <sheetFormatPr baseColWidth="10" defaultColWidth="11.42578125" defaultRowHeight="12.75"/>
  <cols>
    <col min="1" max="8" width="11.42578125" style="62"/>
    <col min="9" max="9" width="11.42578125" style="62" customWidth="1"/>
    <col min="10" max="10" width="2.28515625" style="311" customWidth="1"/>
    <col min="11" max="16384" width="11.42578125" style="310"/>
  </cols>
  <sheetData>
    <row r="1" spans="2:13">
      <c r="J1" s="309" t="s">
        <v>419</v>
      </c>
      <c r="L1" s="317"/>
    </row>
    <row r="2" spans="2:13">
      <c r="L2" s="315"/>
      <c r="M2" s="316"/>
    </row>
    <row r="3" spans="2:13">
      <c r="L3" s="315"/>
      <c r="M3" s="315"/>
    </row>
    <row r="4" spans="2:13" ht="15.75">
      <c r="B4" s="312" t="str">
        <f>CONCATENATE(MONTH(Data!$C$10)/3,"° Trimestre - ",YEAR(Data!$C$10))</f>
        <v>4° Trimestre - 2022</v>
      </c>
      <c r="C4" s="313"/>
      <c r="D4" s="313"/>
      <c r="E4" s="313"/>
      <c r="F4" s="313"/>
      <c r="G4" s="313"/>
      <c r="H4" s="313"/>
    </row>
    <row r="27" spans="1:10">
      <c r="A27" s="314"/>
      <c r="B27" s="314"/>
      <c r="C27" s="314"/>
      <c r="D27" s="314"/>
      <c r="E27" s="314"/>
      <c r="F27" s="314"/>
      <c r="G27" s="314"/>
      <c r="H27" s="314"/>
      <c r="I27" s="314"/>
      <c r="J27" s="309" t="s">
        <v>419</v>
      </c>
    </row>
    <row r="31" spans="1:10" ht="15.75">
      <c r="B31" s="312" t="str">
        <f>CONCATENATE(MONTH(Data!$C$10)/3,"° Trimestre - ",YEAR(Data!$C$10))</f>
        <v>4° Trimestre - 2022</v>
      </c>
      <c r="C31" s="313"/>
      <c r="D31" s="313"/>
      <c r="E31" s="313"/>
      <c r="F31" s="313"/>
      <c r="G31" s="313"/>
      <c r="H31" s="313"/>
    </row>
    <row r="54" spans="2:10">
      <c r="J54" s="309" t="s">
        <v>419</v>
      </c>
    </row>
    <row r="58" spans="2:10" ht="15.75">
      <c r="B58" s="312" t="str">
        <f>CONCATENATE(MONTH(Data!$C$10)/3,"° Trimestre - ",YEAR(Data!$C$10))</f>
        <v>4° Trimestre - 2022</v>
      </c>
      <c r="C58" s="313"/>
      <c r="D58" s="313"/>
      <c r="E58" s="313"/>
      <c r="F58" s="313"/>
      <c r="G58" s="313"/>
      <c r="H58" s="313"/>
    </row>
    <row r="81" spans="2:10">
      <c r="J81" s="309" t="s">
        <v>419</v>
      </c>
    </row>
    <row r="85" spans="2:10" ht="15.75">
      <c r="B85" s="312" t="str">
        <f>CONCATENATE(MONTH(Data!$C$10)/3,"° Trimestre - ",YEAR(Data!$C$10))</f>
        <v>4° Trimestre - 2022</v>
      </c>
      <c r="C85" s="313"/>
      <c r="D85" s="313"/>
      <c r="E85" s="313"/>
      <c r="F85" s="313"/>
      <c r="G85" s="313"/>
      <c r="H85" s="313"/>
    </row>
    <row r="108" spans="2:10">
      <c r="J108" s="309" t="s">
        <v>419</v>
      </c>
    </row>
    <row r="112" spans="2:10" ht="15.75">
      <c r="B112" s="312" t="str">
        <f>CONCATENATE(MONTH(Data!$C$10)/3,"° Trimestre - ",YEAR(Data!$C$10))</f>
        <v>4° Trimestre - 2022</v>
      </c>
      <c r="C112" s="313"/>
      <c r="D112" s="313"/>
      <c r="E112" s="313"/>
      <c r="F112" s="313"/>
      <c r="G112" s="313"/>
      <c r="H112" s="313"/>
    </row>
    <row r="135" spans="2:10">
      <c r="J135" s="309" t="s">
        <v>419</v>
      </c>
    </row>
    <row r="139" spans="2:10" ht="15.75">
      <c r="B139" s="312" t="str">
        <f>CONCATENATE(MONTH(Data!$C$10)/3,"° Trimestre - ",YEAR(Data!$C$10))</f>
        <v>4° Trimestre - 2022</v>
      </c>
      <c r="C139" s="313"/>
      <c r="D139" s="313"/>
      <c r="E139" s="313"/>
      <c r="F139" s="313"/>
      <c r="G139" s="313"/>
      <c r="H139" s="313"/>
    </row>
    <row r="162" spans="10:10">
      <c r="J162" s="309" t="s">
        <v>419</v>
      </c>
    </row>
  </sheetData>
  <printOptions horizontalCentered="1"/>
  <pageMargins left="0.31496062992125984" right="0.39370078740157483" top="0.74803149606299213" bottom="0.74803149606299213" header="0.31496062992125984" footer="0.31496062992125984"/>
  <pageSetup paperSize="9" scale="130" fitToHeight="7" orientation="landscape" r:id="rId1"/>
  <rowBreaks count="5" manualBreakCount="5">
    <brk id="27" max="8" man="1"/>
    <brk id="54" max="8" man="1"/>
    <brk id="81" max="8" man="1"/>
    <brk id="108" max="8" man="1"/>
    <brk id="135" max="8" man="1"/>
  </row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20"/>
  <sheetViews>
    <sheetView workbookViewId="0">
      <selection activeCell="B17" sqref="B17"/>
    </sheetView>
  </sheetViews>
  <sheetFormatPr baseColWidth="10" defaultRowHeight="12.75"/>
  <sheetData>
    <row r="2" spans="1:32">
      <c r="A2" t="s">
        <v>477</v>
      </c>
      <c r="B2" s="298" t="s">
        <v>332</v>
      </c>
      <c r="G2" s="298" t="s">
        <v>515</v>
      </c>
    </row>
    <row r="3" spans="1:32">
      <c r="A3" t="s">
        <v>8</v>
      </c>
      <c r="B3" s="298" t="s">
        <v>470</v>
      </c>
      <c r="E3" s="298" t="s">
        <v>514</v>
      </c>
    </row>
    <row r="4" spans="1:32">
      <c r="A4" t="s">
        <v>2</v>
      </c>
      <c r="B4" s="298" t="s">
        <v>471</v>
      </c>
      <c r="E4" s="298" t="s">
        <v>516</v>
      </c>
      <c r="T4" s="298" t="s">
        <v>517</v>
      </c>
      <c r="AF4" s="298" t="s">
        <v>516</v>
      </c>
    </row>
    <row r="5" spans="1:32">
      <c r="A5" t="s">
        <v>41</v>
      </c>
      <c r="B5" s="298" t="s">
        <v>428</v>
      </c>
      <c r="F5" s="298" t="s">
        <v>518</v>
      </c>
      <c r="T5" s="298" t="s">
        <v>537</v>
      </c>
    </row>
    <row r="6" spans="1:32">
      <c r="A6" t="s">
        <v>5</v>
      </c>
      <c r="B6" s="298" t="s">
        <v>529</v>
      </c>
      <c r="E6" s="298" t="s">
        <v>519</v>
      </c>
    </row>
    <row r="7" spans="1:32">
      <c r="A7" t="s">
        <v>28</v>
      </c>
      <c r="B7" s="298" t="s">
        <v>521</v>
      </c>
      <c r="F7" s="298"/>
    </row>
    <row r="8" spans="1:32">
      <c r="A8" t="s">
        <v>6</v>
      </c>
      <c r="B8" s="298" t="s">
        <v>472</v>
      </c>
      <c r="G8" s="298" t="s">
        <v>527</v>
      </c>
      <c r="M8" s="298" t="s">
        <v>530</v>
      </c>
    </row>
    <row r="9" spans="1:32">
      <c r="A9" t="s">
        <v>9</v>
      </c>
      <c r="B9" s="298" t="s">
        <v>473</v>
      </c>
    </row>
    <row r="10" spans="1:32">
      <c r="A10" t="s">
        <v>4</v>
      </c>
      <c r="B10" s="298" t="s">
        <v>543</v>
      </c>
      <c r="L10" s="298" t="s">
        <v>544</v>
      </c>
    </row>
    <row r="11" spans="1:32">
      <c r="A11" t="s">
        <v>10</v>
      </c>
      <c r="B11" s="298" t="s">
        <v>474</v>
      </c>
    </row>
    <row r="12" spans="1:32">
      <c r="A12" t="s">
        <v>7</v>
      </c>
      <c r="B12" s="298" t="s">
        <v>528</v>
      </c>
    </row>
    <row r="13" spans="1:32">
      <c r="A13" t="s">
        <v>71</v>
      </c>
      <c r="B13" s="298" t="s">
        <v>547</v>
      </c>
      <c r="E13" s="298" t="s">
        <v>548</v>
      </c>
      <c r="H13" s="298" t="s">
        <v>550</v>
      </c>
      <c r="Q13" s="298" t="s">
        <v>522</v>
      </c>
    </row>
    <row r="14" spans="1:32">
      <c r="A14" t="s">
        <v>83</v>
      </c>
      <c r="B14" s="298" t="s">
        <v>524</v>
      </c>
    </row>
    <row r="15" spans="1:32">
      <c r="A15" t="s">
        <v>74</v>
      </c>
      <c r="B15" s="298" t="s">
        <v>475</v>
      </c>
      <c r="F15" s="298" t="s">
        <v>525</v>
      </c>
      <c r="J15" s="298" t="s">
        <v>526</v>
      </c>
    </row>
    <row r="16" spans="1:32">
      <c r="A16" t="s">
        <v>85</v>
      </c>
      <c r="B16" s="298" t="s">
        <v>534</v>
      </c>
      <c r="I16" s="298" t="s">
        <v>535</v>
      </c>
      <c r="Q16" s="298" t="s">
        <v>536</v>
      </c>
    </row>
    <row r="17" spans="1:2">
      <c r="A17" t="s">
        <v>78</v>
      </c>
      <c r="B17" s="298" t="s">
        <v>476</v>
      </c>
    </row>
    <row r="20" spans="1:2">
      <c r="B20" s="298"/>
    </row>
  </sheetData>
  <hyperlinks>
    <hyperlink ref="B3" r:id="rId1"/>
    <hyperlink ref="B4" r:id="rId2"/>
    <hyperlink ref="B8" r:id="rId3"/>
    <hyperlink ref="B9" r:id="rId4"/>
    <hyperlink ref="B11" r:id="rId5"/>
    <hyperlink ref="B15" r:id="rId6"/>
    <hyperlink ref="B17" r:id="rId7"/>
    <hyperlink ref="B2" r:id="rId8"/>
    <hyperlink ref="E3" r:id="rId9"/>
    <hyperlink ref="G2" r:id="rId10"/>
    <hyperlink ref="E4" r:id="rId11"/>
    <hyperlink ref="T4" r:id="rId12"/>
    <hyperlink ref="F5" r:id="rId13"/>
    <hyperlink ref="E6" r:id="rId14"/>
    <hyperlink ref="Q13" r:id="rId15"/>
    <hyperlink ref="B14" r:id="rId16"/>
    <hyperlink ref="F15" r:id="rId17"/>
    <hyperlink ref="J15" r:id="rId18"/>
    <hyperlink ref="G8" r:id="rId19"/>
    <hyperlink ref="B12" r:id="rId20"/>
    <hyperlink ref="M8" r:id="rId21"/>
    <hyperlink ref="I16" r:id="rId22"/>
    <hyperlink ref="Q16" r:id="rId23"/>
    <hyperlink ref="AF4" r:id="rId24"/>
    <hyperlink ref="T5" r:id="rId25"/>
    <hyperlink ref="B6" r:id="rId26"/>
    <hyperlink ref="B7" r:id="rId27"/>
    <hyperlink ref="B10" r:id="rId28"/>
    <hyperlink ref="L10" r:id="rId29"/>
    <hyperlink ref="E13" r:id="rId30"/>
    <hyperlink ref="B5" r:id="rId31"/>
    <hyperlink ref="B13" r:id="rId32"/>
    <hyperlink ref="B16" r:id="rId33"/>
    <hyperlink ref="H13" r:id="rId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7</vt:i4>
      </vt:variant>
    </vt:vector>
  </HeadingPairs>
  <TitlesOfParts>
    <vt:vector size="12" baseType="lpstr">
      <vt:lpstr>Resumen</vt:lpstr>
      <vt:lpstr>Data</vt:lpstr>
      <vt:lpstr>TipoCambio</vt:lpstr>
      <vt:lpstr>Graficos</vt:lpstr>
      <vt:lpstr>Referencia</vt:lpstr>
      <vt:lpstr>Data!Área_de_impresión</vt:lpstr>
      <vt:lpstr>Graficos!Área_de_impresión</vt:lpstr>
      <vt:lpstr>Resumen!Área_de_impresión</vt:lpstr>
      <vt:lpstr>Resumen!CompResidencial</vt:lpstr>
      <vt:lpstr>FR_FOSE</vt:lpstr>
      <vt:lpstr>Data!Títulos_a_imprimir</vt:lpstr>
      <vt:lpstr>Resumen!Títulos_a_imprimir</vt:lpstr>
    </vt:vector>
  </TitlesOfParts>
  <Company>OSINERG - GART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OSINERG - GART</dc:creator>
  <cp:lastModifiedBy>Abel Huanca Astoquillca</cp:lastModifiedBy>
  <cp:lastPrinted>2018-12-07T14:36:02Z</cp:lastPrinted>
  <dcterms:created xsi:type="dcterms:W3CDTF">2004-01-15T22:01:20Z</dcterms:created>
  <dcterms:modified xsi:type="dcterms:W3CDTF">2023-01-03T22:11:55Z</dcterms:modified>
</cp:coreProperties>
</file>