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tables/table15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tables/table16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tables/table17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9.xml" ContentType="application/vnd.openxmlformats-officedocument.drawing+xml"/>
  <Override PartName="/xl/tables/table22.xml" ContentType="application/vnd.openxmlformats-officedocument.spreadsheetml.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baljon\Documents\source\Personal\InnovationConcepts\ProjectDb\Dashboards\"/>
    </mc:Choice>
  </mc:AlternateContent>
  <bookViews>
    <workbookView xWindow="0" yWindow="0" windowWidth="28800" windowHeight="12435" tabRatio="787" firstSheet="11" activeTab="17"/>
  </bookViews>
  <sheets>
    <sheet name="All C04B" sheetId="1" r:id="rId1"/>
    <sheet name="Concrete compositions" sheetId="2" r:id="rId2"/>
    <sheet name="Cement fillers" sheetId="6" r:id="rId3"/>
    <sheet name="Lime &amp; Cements" sheetId="7" r:id="rId4"/>
    <sheet name="Attributes" sheetId="8" r:id="rId5"/>
    <sheet name="After treatment" sheetId="9" r:id="rId6"/>
    <sheet name="Concrete compositions (2)" sheetId="10" r:id="rId7"/>
    <sheet name="All C04B (2)" sheetId="11" r:id="rId8"/>
    <sheet name="Cement fillers (2)" sheetId="12" r:id="rId9"/>
    <sheet name="Cement fillers (3)" sheetId="13" r:id="rId10"/>
    <sheet name="Construction" sheetId="14" r:id="rId11"/>
    <sheet name="Fly ash in Construction" sheetId="15" r:id="rId12"/>
    <sheet name="Fly ash in Concrete" sheetId="16" r:id="rId13"/>
    <sheet name="Carbon mineralization" sheetId="17" r:id="rId14"/>
    <sheet name="Carbon in Cement" sheetId="19" r:id="rId15"/>
    <sheet name="Carbon in Concrete Fillers" sheetId="21" r:id="rId16"/>
    <sheet name="Carbon in Construction" sheetId="20" r:id="rId17"/>
    <sheet name="FInal" sheetId="22" r:id="rId18"/>
    <sheet name="Sheet1" sheetId="23" r:id="rId1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2" i="22" l="1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S36" i="22"/>
  <c r="S37" i="22"/>
  <c r="S38" i="22"/>
  <c r="S39" i="22"/>
  <c r="S40" i="22"/>
  <c r="S41" i="22"/>
  <c r="S42" i="22"/>
  <c r="S43" i="22"/>
  <c r="S44" i="22"/>
  <c r="S45" i="22"/>
  <c r="S46" i="22"/>
  <c r="S47" i="22"/>
  <c r="S48" i="22"/>
  <c r="S49" i="22"/>
  <c r="S50" i="22"/>
  <c r="S51" i="22"/>
  <c r="S52" i="22"/>
  <c r="S53" i="22"/>
  <c r="S54" i="22"/>
  <c r="S55" i="22"/>
  <c r="S56" i="22"/>
  <c r="S57" i="22"/>
  <c r="S58" i="22"/>
  <c r="S59" i="22"/>
  <c r="S60" i="22"/>
  <c r="S61" i="22"/>
  <c r="S62" i="22"/>
  <c r="S63" i="22"/>
  <c r="S64" i="22"/>
  <c r="S65" i="22"/>
  <c r="S66" i="22"/>
  <c r="S67" i="22"/>
  <c r="S68" i="22"/>
  <c r="S69" i="22"/>
  <c r="C2" i="23"/>
  <c r="C3" i="23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V33" i="22"/>
  <c r="Z32" i="22" s="1"/>
  <c r="W33" i="22"/>
  <c r="Y30" i="22" s="1"/>
  <c r="Y32" i="22" l="1"/>
  <c r="Y27" i="22"/>
  <c r="Y31" i="22"/>
  <c r="Z25" i="22"/>
  <c r="Y23" i="22"/>
  <c r="Z29" i="22"/>
  <c r="Y24" i="22"/>
  <c r="Y28" i="22"/>
  <c r="Z22" i="22"/>
  <c r="Z26" i="22"/>
  <c r="Z30" i="22"/>
  <c r="Y25" i="22"/>
  <c r="Y29" i="22"/>
  <c r="Z23" i="22"/>
  <c r="Z27" i="22"/>
  <c r="Z31" i="22"/>
  <c r="Y22" i="22"/>
  <c r="Y26" i="22"/>
  <c r="Z24" i="22"/>
  <c r="Z28" i="22"/>
  <c r="C16" i="22"/>
  <c r="C14" i="22"/>
  <c r="B14" i="22"/>
  <c r="C17" i="19" l="1"/>
  <c r="D31" i="16"/>
  <c r="D30" i="16"/>
  <c r="C15" i="21" l="1"/>
  <c r="B15" i="21"/>
  <c r="C11" i="21"/>
  <c r="C15" i="20"/>
  <c r="B15" i="20"/>
  <c r="C11" i="20"/>
  <c r="C15" i="19"/>
  <c r="B15" i="19"/>
  <c r="C11" i="19"/>
  <c r="I2" i="17"/>
  <c r="I3" i="17"/>
  <c r="I4" i="17"/>
  <c r="I5" i="17"/>
  <c r="I6" i="17"/>
  <c r="I7" i="17"/>
  <c r="I8" i="17"/>
  <c r="I9" i="17"/>
  <c r="I10" i="17"/>
  <c r="C11" i="17"/>
  <c r="C11" i="15"/>
  <c r="I11" i="17" l="1"/>
  <c r="J3" i="17" s="1"/>
  <c r="C8" i="14"/>
  <c r="J7" i="17" l="1"/>
  <c r="J4" i="17"/>
  <c r="J10" i="17"/>
  <c r="J8" i="17"/>
  <c r="J5" i="17"/>
  <c r="J9" i="17"/>
  <c r="J2" i="17"/>
  <c r="J6" i="17"/>
  <c r="C9" i="13"/>
  <c r="C9" i="12"/>
  <c r="C17" i="11"/>
  <c r="C9" i="11"/>
  <c r="C9" i="10"/>
  <c r="C30" i="1" l="1"/>
  <c r="C22" i="1"/>
  <c r="C22" i="2"/>
  <c r="C22" i="6"/>
  <c r="C22" i="7"/>
  <c r="C22" i="8"/>
  <c r="C22" i="9"/>
</calcChain>
</file>

<file path=xl/sharedStrings.xml><?xml version="1.0" encoding="utf-8"?>
<sst xmlns="http://schemas.openxmlformats.org/spreadsheetml/2006/main" count="172" uniqueCount="30">
  <si>
    <t>y</t>
  </si>
  <si>
    <t>in_area_filings</t>
  </si>
  <si>
    <t>on_topic_in_area_filings</t>
  </si>
  <si>
    <t>number_of_filed_families</t>
  </si>
  <si>
    <t>number_of_filed_families_band</t>
  </si>
  <si>
    <t>on_topic_as_fraction_of_area</t>
  </si>
  <si>
    <t>in_area_as_fraction_of_ww</t>
  </si>
  <si>
    <t>on_topic_as_fraction_of_ww</t>
  </si>
  <si>
    <t>Column1</t>
  </si>
  <si>
    <t>Column2</t>
  </si>
  <si>
    <t>number_of_filed_families_text</t>
  </si>
  <si>
    <t>number_of_filed_families_band_text</t>
  </si>
  <si>
    <t>Absolute # on topic</t>
  </si>
  <si>
    <t>On topic share</t>
  </si>
  <si>
    <t>Technology area share</t>
  </si>
  <si>
    <t>(No column name)</t>
  </si>
  <si>
    <t>Concrete among All Technologies</t>
  </si>
  <si>
    <t>Absolute Fly-ash mentions in Concrete</t>
  </si>
  <si>
    <t>Fly-ash trend normalized to global IP trends</t>
  </si>
  <si>
    <t>number_of_filed_families_us</t>
  </si>
  <si>
    <t>number_of_filed_families_band_us</t>
  </si>
  <si>
    <t>Concrete share of worldwide R&amp;D (indexed)</t>
  </si>
  <si>
    <t>priority_year</t>
  </si>
  <si>
    <t># Families by Mineralisation companies</t>
  </si>
  <si>
    <t>Corrected # Families</t>
  </si>
  <si>
    <t>year_pub</t>
  </si>
  <si>
    <t>nn</t>
  </si>
  <si>
    <t>nnn</t>
  </si>
  <si>
    <t>Fly-ash in Concrete IP</t>
  </si>
  <si>
    <t>Fly-ash in Concrete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</si>
</sst>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9" fontId="2" fillId="0" borderId="0" xfId="0" applyNumberFormat="1" applyFont="1"/>
    <xf numFmtId="0" fontId="2" fillId="0" borderId="0" xfId="0" applyFont="1"/>
    <xf numFmtId="164" fontId="0" fillId="0" borderId="0" xfId="0" applyNumberFormat="1"/>
    <xf numFmtId="164" fontId="0" fillId="0" borderId="0" xfId="1" applyNumberFormat="1" applyFont="1"/>
    <xf numFmtId="164" fontId="2" fillId="0" borderId="0" xfId="0" applyNumberFormat="1" applyFont="1"/>
    <xf numFmtId="3" fontId="0" fillId="0" borderId="0" xfId="0" applyNumberFormat="1"/>
  </cellXfs>
  <cellStyles count="2">
    <cellStyle name="Normal" xfId="0" builtinId="0"/>
    <cellStyle name="Percent" xfId="1" builtinId="5"/>
  </cellStyles>
  <dxfs count="5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0.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"/>
    </dxf>
    <dxf>
      <numFmt numFmtId="164" formatCode="0.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'All C04B'!$F$1</c:f>
              <c:strCache>
                <c:ptCount val="1"/>
                <c:pt idx="0">
                  <c:v>on_topic_as_fraction_of_area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C04B'!$A$2:$A$21</c:f>
              <c:numCache>
                <c:formatCode>General</c:formatCode>
                <c:ptCount val="1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</c:numCache>
            </c:numRef>
          </c:cat>
          <c:val>
            <c:numRef>
              <c:f>'All C04B'!$F$2:$F$21</c:f>
              <c:numCache>
                <c:formatCode>0%</c:formatCode>
                <c:ptCount val="19"/>
                <c:pt idx="0">
                  <c:v>1.32688858878819</c:v>
                </c:pt>
                <c:pt idx="1">
                  <c:v>1.27158151824229</c:v>
                </c:pt>
                <c:pt idx="2">
                  <c:v>1.13758566466836</c:v>
                </c:pt>
                <c:pt idx="3">
                  <c:v>1.0449459278147399</c:v>
                </c:pt>
                <c:pt idx="4">
                  <c:v>0.98900370530398196</c:v>
                </c:pt>
                <c:pt idx="5">
                  <c:v>0.91146567323000305</c:v>
                </c:pt>
                <c:pt idx="6">
                  <c:v>0.95497706442847796</c:v>
                </c:pt>
                <c:pt idx="7">
                  <c:v>1.05831015077315</c:v>
                </c:pt>
                <c:pt idx="8">
                  <c:v>1.0011382252088099</c:v>
                </c:pt>
                <c:pt idx="9">
                  <c:v>0.92183967915430798</c:v>
                </c:pt>
                <c:pt idx="10">
                  <c:v>0.92931323990259396</c:v>
                </c:pt>
                <c:pt idx="11">
                  <c:v>0.874849467765766</c:v>
                </c:pt>
                <c:pt idx="12">
                  <c:v>0.88442672166803404</c:v>
                </c:pt>
                <c:pt idx="13">
                  <c:v>0.98709257171431697</c:v>
                </c:pt>
                <c:pt idx="14">
                  <c:v>1.08034860630007</c:v>
                </c:pt>
                <c:pt idx="15">
                  <c:v>1.08470725497511</c:v>
                </c:pt>
                <c:pt idx="16">
                  <c:v>0.99501841979531402</c:v>
                </c:pt>
                <c:pt idx="17">
                  <c:v>0.97275810565492604</c:v>
                </c:pt>
                <c:pt idx="18">
                  <c:v>1.04342976897536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'All C04B'!$G$1</c:f>
              <c:strCache>
                <c:ptCount val="1"/>
                <c:pt idx="0">
                  <c:v>in_area_as_fraction_of_ww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C04B'!$G$2:$G$21</c:f>
              <c:numCache>
                <c:formatCode>0%</c:formatCode>
                <c:ptCount val="19"/>
                <c:pt idx="0">
                  <c:v>1.05147121546955</c:v>
                </c:pt>
                <c:pt idx="1">
                  <c:v>1.10742925167605</c:v>
                </c:pt>
                <c:pt idx="2">
                  <c:v>1.0782248166133901</c:v>
                </c:pt>
                <c:pt idx="3">
                  <c:v>1.00923448625532</c:v>
                </c:pt>
                <c:pt idx="4">
                  <c:v>1.0686316327987</c:v>
                </c:pt>
                <c:pt idx="5">
                  <c:v>0.95460547082869096</c:v>
                </c:pt>
                <c:pt idx="6">
                  <c:v>0.92413325475625296</c:v>
                </c:pt>
                <c:pt idx="7">
                  <c:v>0.85336625136724698</c:v>
                </c:pt>
                <c:pt idx="8">
                  <c:v>0.84788594621470603</c:v>
                </c:pt>
                <c:pt idx="9">
                  <c:v>0.93094238440735</c:v>
                </c:pt>
                <c:pt idx="10">
                  <c:v>1.04998471164842</c:v>
                </c:pt>
                <c:pt idx="11">
                  <c:v>1.0632897059728199</c:v>
                </c:pt>
                <c:pt idx="12">
                  <c:v>1.05585064415667</c:v>
                </c:pt>
                <c:pt idx="13">
                  <c:v>1.06813870499111</c:v>
                </c:pt>
                <c:pt idx="14">
                  <c:v>1.0269658859280799</c:v>
                </c:pt>
                <c:pt idx="15">
                  <c:v>0.94783893422282095</c:v>
                </c:pt>
                <c:pt idx="16">
                  <c:v>0.90038086033685505</c:v>
                </c:pt>
                <c:pt idx="17">
                  <c:v>0.93725119298801496</c:v>
                </c:pt>
                <c:pt idx="18">
                  <c:v>1.06147063617797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C04B'!$H$1</c:f>
              <c:strCache>
                <c:ptCount val="1"/>
                <c:pt idx="0">
                  <c:v>on_topic_as_fraction_of_ww</c:v>
                </c:pt>
              </c:strCache>
            </c:strRef>
          </c:tx>
          <c:spPr>
            <a:ln w="571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'All C04B'!$H$2:$H$21</c:f>
              <c:numCache>
                <c:formatCode>0%</c:formatCode>
                <c:ptCount val="19"/>
                <c:pt idx="0">
                  <c:v>1.3941517997369799</c:v>
                </c:pt>
                <c:pt idx="1">
                  <c:v>1.40714372816098</c:v>
                </c:pt>
                <c:pt idx="2">
                  <c:v>1.2256645860175399</c:v>
                </c:pt>
                <c:pt idx="3">
                  <c:v>1.0538144126948401</c:v>
                </c:pt>
                <c:pt idx="4">
                  <c:v>1.0560979821193699</c:v>
                </c:pt>
                <c:pt idx="5">
                  <c:v>0.86944567512570003</c:v>
                </c:pt>
                <c:pt idx="6">
                  <c:v>0.88187241012930395</c:v>
                </c:pt>
                <c:pt idx="7">
                  <c:v>0.90245731851848598</c:v>
                </c:pt>
                <c:pt idx="8">
                  <c:v>0.84822230967836398</c:v>
                </c:pt>
                <c:pt idx="9">
                  <c:v>0.85754406473659595</c:v>
                </c:pt>
                <c:pt idx="10">
                  <c:v>0.97504207790106101</c:v>
                </c:pt>
                <c:pt idx="11">
                  <c:v>0.92952949583627698</c:v>
                </c:pt>
                <c:pt idx="12">
                  <c:v>0.93313092946172504</c:v>
                </c:pt>
                <c:pt idx="13">
                  <c:v>1.05357082725607</c:v>
                </c:pt>
                <c:pt idx="14">
                  <c:v>1.1086594426663501</c:v>
                </c:pt>
                <c:pt idx="15">
                  <c:v>1.0273662982160801</c:v>
                </c:pt>
                <c:pt idx="16">
                  <c:v>0.89523200803613401</c:v>
                </c:pt>
                <c:pt idx="17">
                  <c:v>0.91104349960339703</c:v>
                </c:pt>
                <c:pt idx="18">
                  <c:v>1.1067497704276299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731032"/>
        <c:axId val="342732600"/>
      </c:lineChart>
      <c:catAx>
        <c:axId val="34273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32600"/>
        <c:crosses val="autoZero"/>
        <c:auto val="1"/>
        <c:lblAlgn val="ctr"/>
        <c:lblOffset val="100"/>
        <c:noMultiLvlLbl val="0"/>
      </c:catAx>
      <c:valAx>
        <c:axId val="34273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Value relative to 20y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3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'Cement fillers (3)'!$F$1</c:f>
              <c:strCache>
                <c:ptCount val="1"/>
                <c:pt idx="0">
                  <c:v>on_topic_as_fraction_of_area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'Cement fillers (3)'!$A$2:$A$8</c:f>
              <c:numCache>
                <c:formatCode>General</c:formatCode>
                <c:ptCount val="7"/>
                <c:pt idx="0">
                  <c:v>1996</c:v>
                </c:pt>
                <c:pt idx="1">
                  <c:v>1999</c:v>
                </c:pt>
                <c:pt idx="2">
                  <c:v>2002</c:v>
                </c:pt>
                <c:pt idx="3">
                  <c:v>2005</c:v>
                </c:pt>
                <c:pt idx="4">
                  <c:v>2008</c:v>
                </c:pt>
                <c:pt idx="5">
                  <c:v>2011</c:v>
                </c:pt>
                <c:pt idx="6">
                  <c:v>2014</c:v>
                </c:pt>
              </c:numCache>
            </c:numRef>
          </c:cat>
          <c:val>
            <c:numRef>
              <c:f>'Cement fillers (3)'!$F$2:$F$8</c:f>
              <c:numCache>
                <c:formatCode>0%</c:formatCode>
                <c:ptCount val="7"/>
                <c:pt idx="0">
                  <c:v>1.0185554960696199</c:v>
                </c:pt>
                <c:pt idx="1">
                  <c:v>0.96284999678468997</c:v>
                </c:pt>
                <c:pt idx="2">
                  <c:v>0.86645141581276997</c:v>
                </c:pt>
                <c:pt idx="3">
                  <c:v>0.90178143382911602</c:v>
                </c:pt>
                <c:pt idx="4">
                  <c:v>1.06936561316673</c:v>
                </c:pt>
                <c:pt idx="5">
                  <c:v>1.15543933540294</c:v>
                </c:pt>
                <c:pt idx="6">
                  <c:v>1.02555670893413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'Cement fillers (3)'!$G$1</c:f>
              <c:strCache>
                <c:ptCount val="1"/>
                <c:pt idx="0">
                  <c:v>in_area_as_fraction_of_ww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'Cement fillers (3)'!$G$2:$G$8</c:f>
              <c:numCache>
                <c:formatCode>0%</c:formatCode>
                <c:ptCount val="7"/>
                <c:pt idx="0">
                  <c:v>0.95623414070676205</c:v>
                </c:pt>
                <c:pt idx="1">
                  <c:v>1.0012403143415101</c:v>
                </c:pt>
                <c:pt idx="2">
                  <c:v>0.96053673710738097</c:v>
                </c:pt>
                <c:pt idx="3">
                  <c:v>0.92938980170545704</c:v>
                </c:pt>
                <c:pt idx="4">
                  <c:v>1.0092308649891899</c:v>
                </c:pt>
                <c:pt idx="5">
                  <c:v>1.0416571396312599</c:v>
                </c:pt>
                <c:pt idx="6">
                  <c:v>1.1017110015184399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'Cement fillers (3)'!$H$1</c:f>
              <c:strCache>
                <c:ptCount val="1"/>
                <c:pt idx="0">
                  <c:v>on_topic_as_fraction_of_ww</c:v>
                </c:pt>
              </c:strCache>
            </c:strRef>
          </c:tx>
          <c:spPr>
            <a:ln w="571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'Cement fillers (3)'!$H$2:$H$8</c:f>
              <c:numCache>
                <c:formatCode>0%</c:formatCode>
                <c:ptCount val="7"/>
                <c:pt idx="0">
                  <c:v>0.97105573122545796</c:v>
                </c:pt>
                <c:pt idx="1">
                  <c:v>0.96115225122713899</c:v>
                </c:pt>
                <c:pt idx="2">
                  <c:v>0.82976178671592804</c:v>
                </c:pt>
                <c:pt idx="3">
                  <c:v>0.835592188647032</c:v>
                </c:pt>
                <c:pt idx="4">
                  <c:v>1.0759992169325401</c:v>
                </c:pt>
                <c:pt idx="5">
                  <c:v>1.1999611118660201</c:v>
                </c:pt>
                <c:pt idx="6">
                  <c:v>1.1264777133858801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512072"/>
        <c:axId val="342512464"/>
      </c:lineChart>
      <c:catAx>
        <c:axId val="34251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12464"/>
        <c:crosses val="autoZero"/>
        <c:auto val="1"/>
        <c:lblAlgn val="ctr"/>
        <c:lblOffset val="100"/>
        <c:noMultiLvlLbl val="0"/>
      </c:catAx>
      <c:valAx>
        <c:axId val="34251246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relative to 20y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1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Construction!$F$1</c:f>
              <c:strCache>
                <c:ptCount val="1"/>
                <c:pt idx="0">
                  <c:v>on_topic_as_fraction_of_area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Construction!$A$2:$A$7</c:f>
              <c:numCache>
                <c:formatCode>General</c:formatCode>
                <c:ptCount val="6"/>
                <c:pt idx="0">
                  <c:v>1998</c:v>
                </c:pt>
                <c:pt idx="1">
                  <c:v>2001</c:v>
                </c:pt>
                <c:pt idx="2">
                  <c:v>2004</c:v>
                </c:pt>
                <c:pt idx="3">
                  <c:v>2007</c:v>
                </c:pt>
                <c:pt idx="4">
                  <c:v>2010</c:v>
                </c:pt>
                <c:pt idx="5">
                  <c:v>2013</c:v>
                </c:pt>
              </c:numCache>
            </c:numRef>
          </c:cat>
          <c:val>
            <c:numRef>
              <c:f>Construction!$F$2:$F$7</c:f>
              <c:numCache>
                <c:formatCode>0%</c:formatCode>
                <c:ptCount val="6"/>
                <c:pt idx="0">
                  <c:v>0.88414582025984501</c:v>
                </c:pt>
                <c:pt idx="1">
                  <c:v>0.849907132417835</c:v>
                </c:pt>
                <c:pt idx="2">
                  <c:v>0.85084455373184498</c:v>
                </c:pt>
                <c:pt idx="3">
                  <c:v>0.83415747239245797</c:v>
                </c:pt>
                <c:pt idx="4">
                  <c:v>1.33785153086179</c:v>
                </c:pt>
                <c:pt idx="5">
                  <c:v>1.2430934903362301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Construction!$G$1</c:f>
              <c:strCache>
                <c:ptCount val="1"/>
                <c:pt idx="0">
                  <c:v>in_area_as_fraction_of_ww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Construction!$G$2:$G$7</c:f>
              <c:numCache>
                <c:formatCode>0%</c:formatCode>
                <c:ptCount val="6"/>
                <c:pt idx="0">
                  <c:v>1.0098538432628801</c:v>
                </c:pt>
                <c:pt idx="1">
                  <c:v>0.95990354296245695</c:v>
                </c:pt>
                <c:pt idx="2">
                  <c:v>0.98559697327655404</c:v>
                </c:pt>
                <c:pt idx="3">
                  <c:v>1.0430045011920599</c:v>
                </c:pt>
                <c:pt idx="4">
                  <c:v>1.0383011922246199</c:v>
                </c:pt>
                <c:pt idx="5">
                  <c:v>0.963339947081429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Construction!$H$1</c:f>
              <c:strCache>
                <c:ptCount val="1"/>
                <c:pt idx="0">
                  <c:v>on_topic_as_fraction_of_ww</c:v>
                </c:pt>
              </c:strCache>
            </c:strRef>
          </c:tx>
          <c:spPr>
            <a:ln w="571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Construction!$H$2:$H$7</c:f>
              <c:numCache>
                <c:formatCode>0%</c:formatCode>
                <c:ptCount val="6"/>
                <c:pt idx="0">
                  <c:v>0.89227489087410905</c:v>
                </c:pt>
                <c:pt idx="1">
                  <c:v>0.81529607639833801</c:v>
                </c:pt>
                <c:pt idx="2">
                  <c:v>0.83804208470799302</c:v>
                </c:pt>
                <c:pt idx="3">
                  <c:v>0.86946177963782201</c:v>
                </c:pt>
                <c:pt idx="4">
                  <c:v>1.3881857210233799</c:v>
                </c:pt>
                <c:pt idx="5">
                  <c:v>1.1967394473583599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683248"/>
        <c:axId val="342736128"/>
      </c:lineChart>
      <c:catAx>
        <c:axId val="3356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36128"/>
        <c:crosses val="autoZero"/>
        <c:auto val="1"/>
        <c:lblAlgn val="ctr"/>
        <c:lblOffset val="100"/>
        <c:noMultiLvlLbl val="0"/>
      </c:catAx>
      <c:valAx>
        <c:axId val="342736128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relative to 20y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8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Fly-ash in Construction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'Fly ash in Construction'!$G$1</c:f>
              <c:strCache>
                <c:ptCount val="1"/>
                <c:pt idx="0">
                  <c:v>Technology area share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'Fly ash in Construction'!$A$2:$A$10</c:f>
              <c:numCache>
                <c:formatCode>General</c:formatCode>
                <c:ptCount val="9"/>
                <c:pt idx="0">
                  <c:v>1997</c:v>
                </c:pt>
                <c:pt idx="1">
                  <c:v>1999</c:v>
                </c:pt>
                <c:pt idx="2">
                  <c:v>2001</c:v>
                </c:pt>
                <c:pt idx="3">
                  <c:v>2003</c:v>
                </c:pt>
                <c:pt idx="4">
                  <c:v>2005</c:v>
                </c:pt>
                <c:pt idx="5">
                  <c:v>2007</c:v>
                </c:pt>
                <c:pt idx="6">
                  <c:v>2009</c:v>
                </c:pt>
                <c:pt idx="7">
                  <c:v>2011</c:v>
                </c:pt>
                <c:pt idx="8">
                  <c:v>2013</c:v>
                </c:pt>
              </c:numCache>
            </c:numRef>
          </c:cat>
          <c:val>
            <c:numRef>
              <c:f>'Fly ash in Construction'!$G$2:$G$10</c:f>
              <c:numCache>
                <c:formatCode>0%</c:formatCode>
                <c:ptCount val="9"/>
                <c:pt idx="0">
                  <c:v>1.0539341976640599</c:v>
                </c:pt>
                <c:pt idx="1">
                  <c:v>0.99102401324021405</c:v>
                </c:pt>
                <c:pt idx="2">
                  <c:v>0.96128376865331999</c:v>
                </c:pt>
                <c:pt idx="3">
                  <c:v>0.97197839736125702</c:v>
                </c:pt>
                <c:pt idx="4">
                  <c:v>1.04376344873705</c:v>
                </c:pt>
                <c:pt idx="5">
                  <c:v>1.02248897507875</c:v>
                </c:pt>
                <c:pt idx="6">
                  <c:v>1.03298384254392</c:v>
                </c:pt>
                <c:pt idx="7">
                  <c:v>0.956308193785951</c:v>
                </c:pt>
                <c:pt idx="8">
                  <c:v>0.96623516293547296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'Fly ash in Construction'!$H$1</c:f>
              <c:strCache>
                <c:ptCount val="1"/>
                <c:pt idx="0">
                  <c:v>On topic share</c:v>
                </c:pt>
              </c:strCache>
            </c:strRef>
          </c:tx>
          <c:spPr>
            <a:ln w="571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'Fly ash in Construction'!$A$2:$A$10</c:f>
              <c:numCache>
                <c:formatCode>General</c:formatCode>
                <c:ptCount val="9"/>
                <c:pt idx="0">
                  <c:v>1997</c:v>
                </c:pt>
                <c:pt idx="1">
                  <c:v>1999</c:v>
                </c:pt>
                <c:pt idx="2">
                  <c:v>2001</c:v>
                </c:pt>
                <c:pt idx="3">
                  <c:v>2003</c:v>
                </c:pt>
                <c:pt idx="4">
                  <c:v>2005</c:v>
                </c:pt>
                <c:pt idx="5">
                  <c:v>2007</c:v>
                </c:pt>
                <c:pt idx="6">
                  <c:v>2009</c:v>
                </c:pt>
                <c:pt idx="7">
                  <c:v>2011</c:v>
                </c:pt>
                <c:pt idx="8">
                  <c:v>2013</c:v>
                </c:pt>
              </c:numCache>
            </c:numRef>
          </c:cat>
          <c:val>
            <c:numRef>
              <c:f>'Fly ash in Construction'!$H$2:$H$10</c:f>
              <c:numCache>
                <c:formatCode>0%</c:formatCode>
                <c:ptCount val="9"/>
                <c:pt idx="0">
                  <c:v>0.63734365595331299</c:v>
                </c:pt>
                <c:pt idx="1">
                  <c:v>0.62706847548224898</c:v>
                </c:pt>
                <c:pt idx="2">
                  <c:v>0.80412633636087005</c:v>
                </c:pt>
                <c:pt idx="3">
                  <c:v>0.89332680939140596</c:v>
                </c:pt>
                <c:pt idx="4">
                  <c:v>1.1198596682373601</c:v>
                </c:pt>
                <c:pt idx="5">
                  <c:v>1.3892024464155499</c:v>
                </c:pt>
                <c:pt idx="6">
                  <c:v>1.3570900605910601</c:v>
                </c:pt>
                <c:pt idx="7">
                  <c:v>1.26394406172412</c:v>
                </c:pt>
                <c:pt idx="8">
                  <c:v>0.90803848584408697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096824"/>
        <c:axId val="449490608"/>
      </c:lineChart>
      <c:lineChart>
        <c:grouping val="standard"/>
        <c:varyColors val="0"/>
        <c:ser>
          <c:idx val="3"/>
          <c:order val="2"/>
          <c:tx>
            <c:strRef>
              <c:f>'Fly ash in Construction'!$C$1</c:f>
              <c:strCache>
                <c:ptCount val="1"/>
                <c:pt idx="0">
                  <c:v>Absolute # on topic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'Fly ash in Construction'!$A$2:$A$10</c:f>
              <c:numCache>
                <c:formatCode>General</c:formatCode>
                <c:ptCount val="9"/>
                <c:pt idx="0">
                  <c:v>1997</c:v>
                </c:pt>
                <c:pt idx="1">
                  <c:v>1999</c:v>
                </c:pt>
                <c:pt idx="2">
                  <c:v>2001</c:v>
                </c:pt>
                <c:pt idx="3">
                  <c:v>2003</c:v>
                </c:pt>
                <c:pt idx="4">
                  <c:v>2005</c:v>
                </c:pt>
                <c:pt idx="5">
                  <c:v>2007</c:v>
                </c:pt>
                <c:pt idx="6">
                  <c:v>2009</c:v>
                </c:pt>
                <c:pt idx="7">
                  <c:v>2011</c:v>
                </c:pt>
                <c:pt idx="8">
                  <c:v>2013</c:v>
                </c:pt>
              </c:numCache>
            </c:numRef>
          </c:cat>
          <c:val>
            <c:numRef>
              <c:f>'Fly ash in Construction'!$C$2:$C$10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11</c:v>
                </c:pt>
                <c:pt idx="3">
                  <c:v>13</c:v>
                </c:pt>
                <c:pt idx="4">
                  <c:v>18</c:v>
                </c:pt>
                <c:pt idx="5">
                  <c:v>25</c:v>
                </c:pt>
                <c:pt idx="6">
                  <c:v>29</c:v>
                </c:pt>
                <c:pt idx="7">
                  <c:v>34</c:v>
                </c:pt>
                <c:pt idx="8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492176"/>
        <c:axId val="449491392"/>
      </c:lineChart>
      <c:catAx>
        <c:axId val="34109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90608"/>
        <c:crosses val="autoZero"/>
        <c:auto val="1"/>
        <c:lblAlgn val="ctr"/>
        <c:lblOffset val="100"/>
        <c:noMultiLvlLbl val="0"/>
      </c:catAx>
      <c:valAx>
        <c:axId val="449490608"/>
        <c:scaling>
          <c:orientation val="minMax"/>
          <c:max val="1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relative to 20y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96824"/>
        <c:crosses val="autoZero"/>
        <c:crossBetween val="between"/>
      </c:valAx>
      <c:valAx>
        <c:axId val="4494913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Patents mentioning "Fly ash"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92176"/>
        <c:crosses val="max"/>
        <c:crossBetween val="between"/>
      </c:valAx>
      <c:catAx>
        <c:axId val="44949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9491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Fly-ash in Concrete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'Fly ash in Concrete'!$G$1</c:f>
              <c:strCache>
                <c:ptCount val="1"/>
                <c:pt idx="0">
                  <c:v>Concrete among All Technologies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'Fly ash in Concrete'!$A$2:$A$24</c:f>
              <c:numCache>
                <c:formatCode>General</c:formatCode>
                <c:ptCount val="19"/>
                <c:pt idx="0">
                  <c:v>1977</c:v>
                </c:pt>
                <c:pt idx="1">
                  <c:v>1979</c:v>
                </c:pt>
                <c:pt idx="2">
                  <c:v>1981</c:v>
                </c:pt>
                <c:pt idx="3">
                  <c:v>1983</c:v>
                </c:pt>
                <c:pt idx="4">
                  <c:v>1985</c:v>
                </c:pt>
                <c:pt idx="5">
                  <c:v>1987</c:v>
                </c:pt>
                <c:pt idx="6">
                  <c:v>1989</c:v>
                </c:pt>
                <c:pt idx="7">
                  <c:v>1991</c:v>
                </c:pt>
                <c:pt idx="8">
                  <c:v>1993</c:v>
                </c:pt>
                <c:pt idx="9">
                  <c:v>1995</c:v>
                </c:pt>
                <c:pt idx="10">
                  <c:v>1997</c:v>
                </c:pt>
                <c:pt idx="11">
                  <c:v>1999</c:v>
                </c:pt>
                <c:pt idx="12">
                  <c:v>2001</c:v>
                </c:pt>
                <c:pt idx="13">
                  <c:v>2003</c:v>
                </c:pt>
                <c:pt idx="14">
                  <c:v>2005</c:v>
                </c:pt>
                <c:pt idx="15">
                  <c:v>2007</c:v>
                </c:pt>
                <c:pt idx="16">
                  <c:v>2009</c:v>
                </c:pt>
                <c:pt idx="17">
                  <c:v>2011</c:v>
                </c:pt>
                <c:pt idx="18">
                  <c:v>2013</c:v>
                </c:pt>
              </c:numCache>
            </c:numRef>
          </c:cat>
          <c:val>
            <c:numRef>
              <c:f>'Fly ash in Concrete'!$G$2:$G$24</c:f>
              <c:numCache>
                <c:formatCode>0%</c:formatCode>
                <c:ptCount val="19"/>
                <c:pt idx="0">
                  <c:v>1.69167398483559</c:v>
                </c:pt>
                <c:pt idx="1">
                  <c:v>1.2902814187437699</c:v>
                </c:pt>
                <c:pt idx="2">
                  <c:v>1.13789424238256</c:v>
                </c:pt>
                <c:pt idx="3">
                  <c:v>1.0508399945957001</c:v>
                </c:pt>
                <c:pt idx="4">
                  <c:v>0.97481425877488703</c:v>
                </c:pt>
                <c:pt idx="5">
                  <c:v>1.2253443348564099</c:v>
                </c:pt>
                <c:pt idx="6">
                  <c:v>1.01208050938753</c:v>
                </c:pt>
                <c:pt idx="7">
                  <c:v>0.85020378571854405</c:v>
                </c:pt>
                <c:pt idx="8">
                  <c:v>0.80995850116244905</c:v>
                </c:pt>
                <c:pt idx="9">
                  <c:v>0.72121079348376005</c:v>
                </c:pt>
                <c:pt idx="10">
                  <c:v>0.67764484838598904</c:v>
                </c:pt>
                <c:pt idx="11">
                  <c:v>0.58906262431564504</c:v>
                </c:pt>
                <c:pt idx="12">
                  <c:v>0.55100303936272399</c:v>
                </c:pt>
                <c:pt idx="13">
                  <c:v>0.50884910042529796</c:v>
                </c:pt>
                <c:pt idx="14">
                  <c:v>0.56138929069216803</c:v>
                </c:pt>
                <c:pt idx="15">
                  <c:v>0.60583970126245001</c:v>
                </c:pt>
                <c:pt idx="16">
                  <c:v>0.60324683960423198</c:v>
                </c:pt>
                <c:pt idx="17">
                  <c:v>0.51617591185923895</c:v>
                </c:pt>
                <c:pt idx="18">
                  <c:v>0.49873318285525098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'Fly ash in Concrete'!$H$1</c:f>
              <c:strCache>
                <c:ptCount val="1"/>
                <c:pt idx="0">
                  <c:v>Fly-ash trend normalized to global IP trends</c:v>
                </c:pt>
              </c:strCache>
            </c:strRef>
          </c:tx>
          <c:spPr>
            <a:ln w="571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'Fly ash in Concrete'!$A$2:$A$24</c:f>
              <c:numCache>
                <c:formatCode>General</c:formatCode>
                <c:ptCount val="19"/>
                <c:pt idx="0">
                  <c:v>1977</c:v>
                </c:pt>
                <c:pt idx="1">
                  <c:v>1979</c:v>
                </c:pt>
                <c:pt idx="2">
                  <c:v>1981</c:v>
                </c:pt>
                <c:pt idx="3">
                  <c:v>1983</c:v>
                </c:pt>
                <c:pt idx="4">
                  <c:v>1985</c:v>
                </c:pt>
                <c:pt idx="5">
                  <c:v>1987</c:v>
                </c:pt>
                <c:pt idx="6">
                  <c:v>1989</c:v>
                </c:pt>
                <c:pt idx="7">
                  <c:v>1991</c:v>
                </c:pt>
                <c:pt idx="8">
                  <c:v>1993</c:v>
                </c:pt>
                <c:pt idx="9">
                  <c:v>1995</c:v>
                </c:pt>
                <c:pt idx="10">
                  <c:v>1997</c:v>
                </c:pt>
                <c:pt idx="11">
                  <c:v>1999</c:v>
                </c:pt>
                <c:pt idx="12">
                  <c:v>2001</c:v>
                </c:pt>
                <c:pt idx="13">
                  <c:v>2003</c:v>
                </c:pt>
                <c:pt idx="14">
                  <c:v>2005</c:v>
                </c:pt>
                <c:pt idx="15">
                  <c:v>2007</c:v>
                </c:pt>
                <c:pt idx="16">
                  <c:v>2009</c:v>
                </c:pt>
                <c:pt idx="17">
                  <c:v>2011</c:v>
                </c:pt>
                <c:pt idx="18">
                  <c:v>2013</c:v>
                </c:pt>
              </c:numCache>
            </c:numRef>
          </c:cat>
          <c:val>
            <c:numRef>
              <c:f>'Fly ash in Concrete'!$H$2:$H$24</c:f>
              <c:numCache>
                <c:formatCode>0%</c:formatCode>
                <c:ptCount val="19"/>
                <c:pt idx="0">
                  <c:v>0.26955673007288999</c:v>
                </c:pt>
                <c:pt idx="1">
                  <c:v>0.39478335622497202</c:v>
                </c:pt>
                <c:pt idx="2">
                  <c:v>0.62137001420701599</c:v>
                </c:pt>
                <c:pt idx="3">
                  <c:v>0.44973662535667203</c:v>
                </c:pt>
                <c:pt idx="4">
                  <c:v>0.68509856180460704</c:v>
                </c:pt>
                <c:pt idx="5">
                  <c:v>0.50441900430369702</c:v>
                </c:pt>
                <c:pt idx="6">
                  <c:v>0.84759057238824598</c:v>
                </c:pt>
                <c:pt idx="7">
                  <c:v>0.82545675721936396</c:v>
                </c:pt>
                <c:pt idx="8">
                  <c:v>1.06370198510475</c:v>
                </c:pt>
                <c:pt idx="9">
                  <c:v>1.1011680986611001</c:v>
                </c:pt>
                <c:pt idx="10">
                  <c:v>1.25209058095228</c:v>
                </c:pt>
                <c:pt idx="11">
                  <c:v>0.98326689320266702</c:v>
                </c:pt>
                <c:pt idx="12">
                  <c:v>0.93107308921669396</c:v>
                </c:pt>
                <c:pt idx="13">
                  <c:v>1.0408600685873599</c:v>
                </c:pt>
                <c:pt idx="14">
                  <c:v>1.0670754536582101</c:v>
                </c:pt>
                <c:pt idx="15">
                  <c:v>1.41429649650106</c:v>
                </c:pt>
                <c:pt idx="16">
                  <c:v>1.6957057121079</c:v>
                </c:pt>
                <c:pt idx="17">
                  <c:v>1.6954024757560799</c:v>
                </c:pt>
                <c:pt idx="18">
                  <c:v>2.2896724264628099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488256"/>
        <c:axId val="44948864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'Fly ash in Concrete'!$F$1</c15:sqref>
                        </c15:formulaRef>
                      </c:ext>
                    </c:extLst>
                    <c:strCache>
                      <c:ptCount val="1"/>
                      <c:pt idx="0">
                        <c:v>on_topic_as_fraction_of_area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'Fly ash in Concrete'!$A$2:$A$24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1977</c:v>
                      </c:pt>
                      <c:pt idx="1">
                        <c:v>1979</c:v>
                      </c:pt>
                      <c:pt idx="2">
                        <c:v>1981</c:v>
                      </c:pt>
                      <c:pt idx="3">
                        <c:v>1983</c:v>
                      </c:pt>
                      <c:pt idx="4">
                        <c:v>1985</c:v>
                      </c:pt>
                      <c:pt idx="5">
                        <c:v>1987</c:v>
                      </c:pt>
                      <c:pt idx="6">
                        <c:v>1989</c:v>
                      </c:pt>
                      <c:pt idx="7">
                        <c:v>1991</c:v>
                      </c:pt>
                      <c:pt idx="8">
                        <c:v>1993</c:v>
                      </c:pt>
                      <c:pt idx="9">
                        <c:v>1995</c:v>
                      </c:pt>
                      <c:pt idx="10">
                        <c:v>1997</c:v>
                      </c:pt>
                      <c:pt idx="11">
                        <c:v>1999</c:v>
                      </c:pt>
                      <c:pt idx="12">
                        <c:v>2001</c:v>
                      </c:pt>
                      <c:pt idx="13">
                        <c:v>2003</c:v>
                      </c:pt>
                      <c:pt idx="14">
                        <c:v>2005</c:v>
                      </c:pt>
                      <c:pt idx="15">
                        <c:v>2007</c:v>
                      </c:pt>
                      <c:pt idx="16">
                        <c:v>2009</c:v>
                      </c:pt>
                      <c:pt idx="17">
                        <c:v>2011</c:v>
                      </c:pt>
                      <c:pt idx="18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'Fly ash in Concrete'!$F$2:$F$24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0.11610450220124301</c:v>
                      </c:pt>
                      <c:pt idx="1">
                        <c:v>0.22294101542016501</c:v>
                      </c:pt>
                      <c:pt idx="2">
                        <c:v>0.39789080828464501</c:v>
                      </c:pt>
                      <c:pt idx="3">
                        <c:v>0.311843864745948</c:v>
                      </c:pt>
                      <c:pt idx="4">
                        <c:v>0.51209054090583195</c:v>
                      </c:pt>
                      <c:pt idx="5">
                        <c:v>0.299949993286107</c:v>
                      </c:pt>
                      <c:pt idx="6">
                        <c:v>0.61022021739716903</c:v>
                      </c:pt>
                      <c:pt idx="7">
                        <c:v>0.70743552874665605</c:v>
                      </c:pt>
                      <c:pt idx="8">
                        <c:v>0.95691363134450302</c:v>
                      </c:pt>
                      <c:pt idx="9">
                        <c:v>1.1125177017063499</c:v>
                      </c:pt>
                      <c:pt idx="10">
                        <c:v>1.3463226910536801</c:v>
                      </c:pt>
                      <c:pt idx="11">
                        <c:v>1.2162574095463901</c:v>
                      </c:pt>
                      <c:pt idx="12">
                        <c:v>1.2312474117952401</c:v>
                      </c:pt>
                      <c:pt idx="13">
                        <c:v>1.49045513587247</c:v>
                      </c:pt>
                      <c:pt idx="14">
                        <c:v>1.38498970880484</c:v>
                      </c:pt>
                      <c:pt idx="15">
                        <c:v>1.7009763127653099</c:v>
                      </c:pt>
                      <c:pt idx="16">
                        <c:v>2.0481936345057998</c:v>
                      </c:pt>
                      <c:pt idx="17">
                        <c:v>2.3932641982627301</c:v>
                      </c:pt>
                      <c:pt idx="18">
                        <c:v>3.3451886102942598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'Fly ash in Concrete'!$C$1</c:f>
              <c:strCache>
                <c:ptCount val="1"/>
                <c:pt idx="0">
                  <c:v>Absolute Fly-ash mentions in Concrete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'Fly ash in Concrete'!$A$2:$A$24</c:f>
              <c:numCache>
                <c:formatCode>General</c:formatCode>
                <c:ptCount val="19"/>
                <c:pt idx="0">
                  <c:v>1977</c:v>
                </c:pt>
                <c:pt idx="1">
                  <c:v>1979</c:v>
                </c:pt>
                <c:pt idx="2">
                  <c:v>1981</c:v>
                </c:pt>
                <c:pt idx="3">
                  <c:v>1983</c:v>
                </c:pt>
                <c:pt idx="4">
                  <c:v>1985</c:v>
                </c:pt>
                <c:pt idx="5">
                  <c:v>1987</c:v>
                </c:pt>
                <c:pt idx="6">
                  <c:v>1989</c:v>
                </c:pt>
                <c:pt idx="7">
                  <c:v>1991</c:v>
                </c:pt>
                <c:pt idx="8">
                  <c:v>1993</c:v>
                </c:pt>
                <c:pt idx="9">
                  <c:v>1995</c:v>
                </c:pt>
                <c:pt idx="10">
                  <c:v>1997</c:v>
                </c:pt>
                <c:pt idx="11">
                  <c:v>1999</c:v>
                </c:pt>
                <c:pt idx="12">
                  <c:v>2001</c:v>
                </c:pt>
                <c:pt idx="13">
                  <c:v>2003</c:v>
                </c:pt>
                <c:pt idx="14">
                  <c:v>2005</c:v>
                </c:pt>
                <c:pt idx="15">
                  <c:v>2007</c:v>
                </c:pt>
                <c:pt idx="16">
                  <c:v>2009</c:v>
                </c:pt>
                <c:pt idx="17">
                  <c:v>2011</c:v>
                </c:pt>
                <c:pt idx="18">
                  <c:v>2013</c:v>
                </c:pt>
              </c:numCache>
            </c:numRef>
          </c:cat>
          <c:val>
            <c:numRef>
              <c:f>'Fly ash in Concrete'!$C$2:$C$24</c:f>
              <c:numCache>
                <c:formatCode>General</c:formatCode>
                <c:ptCount val="1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6</c:v>
                </c:pt>
                <c:pt idx="6">
                  <c:v>12</c:v>
                </c:pt>
                <c:pt idx="7">
                  <c:v>13</c:v>
                </c:pt>
                <c:pt idx="8">
                  <c:v>18</c:v>
                </c:pt>
                <c:pt idx="9">
                  <c:v>19</c:v>
                </c:pt>
                <c:pt idx="10">
                  <c:v>24</c:v>
                </c:pt>
                <c:pt idx="11">
                  <c:v>22</c:v>
                </c:pt>
                <c:pt idx="12">
                  <c:v>24</c:v>
                </c:pt>
                <c:pt idx="13">
                  <c:v>28</c:v>
                </c:pt>
                <c:pt idx="14">
                  <c:v>32</c:v>
                </c:pt>
                <c:pt idx="15">
                  <c:v>48</c:v>
                </c:pt>
                <c:pt idx="16">
                  <c:v>65</c:v>
                </c:pt>
                <c:pt idx="17">
                  <c:v>87</c:v>
                </c:pt>
                <c:pt idx="18">
                  <c:v>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483160"/>
        <c:axId val="449489432"/>
      </c:lineChart>
      <c:catAx>
        <c:axId val="44948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88648"/>
        <c:crosses val="autoZero"/>
        <c:auto val="1"/>
        <c:lblAlgn val="ctr"/>
        <c:lblOffset val="100"/>
        <c:noMultiLvlLbl val="0"/>
      </c:catAx>
      <c:valAx>
        <c:axId val="44948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relative to 40y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88256"/>
        <c:crosses val="autoZero"/>
        <c:crossBetween val="between"/>
      </c:valAx>
      <c:valAx>
        <c:axId val="4494894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Patents mentioning "Fly ash"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83160"/>
        <c:crosses val="max"/>
        <c:crossBetween val="between"/>
      </c:valAx>
      <c:catAx>
        <c:axId val="449483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9489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mineralisation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'Carbon mineralization'!$G$1</c:f>
              <c:strCache>
                <c:ptCount val="1"/>
                <c:pt idx="0">
                  <c:v>Technology area share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'Carbon mineralization'!$A$2:$A$10</c:f>
              <c:numCache>
                <c:formatCode>General</c:formatCode>
                <c:ptCount val="9"/>
                <c:pt idx="0">
                  <c:v>1997</c:v>
                </c:pt>
                <c:pt idx="1">
                  <c:v>1999</c:v>
                </c:pt>
                <c:pt idx="2">
                  <c:v>2001</c:v>
                </c:pt>
                <c:pt idx="3">
                  <c:v>2003</c:v>
                </c:pt>
                <c:pt idx="4">
                  <c:v>2005</c:v>
                </c:pt>
                <c:pt idx="5">
                  <c:v>2007</c:v>
                </c:pt>
                <c:pt idx="6">
                  <c:v>2009</c:v>
                </c:pt>
                <c:pt idx="7">
                  <c:v>2011</c:v>
                </c:pt>
                <c:pt idx="8">
                  <c:v>2013</c:v>
                </c:pt>
              </c:numCache>
            </c:numRef>
          </c:cat>
          <c:val>
            <c:numRef>
              <c:f>'Carbon mineralization'!$G$2:$G$10</c:f>
              <c:numCache>
                <c:formatCode>0%</c:formatCode>
                <c:ptCount val="9"/>
                <c:pt idx="0">
                  <c:v>0.98944831301260805</c:v>
                </c:pt>
                <c:pt idx="1">
                  <c:v>1.01150642559018</c:v>
                </c:pt>
                <c:pt idx="2">
                  <c:v>1.0192140523090301</c:v>
                </c:pt>
                <c:pt idx="3">
                  <c:v>1.05133554089666</c:v>
                </c:pt>
                <c:pt idx="4">
                  <c:v>1.0673625214301401</c:v>
                </c:pt>
                <c:pt idx="5">
                  <c:v>1.0440604453959399</c:v>
                </c:pt>
                <c:pt idx="6">
                  <c:v>0.99116209169471303</c:v>
                </c:pt>
                <c:pt idx="7">
                  <c:v>0.910770853824175</c:v>
                </c:pt>
                <c:pt idx="8">
                  <c:v>0.91513975584655205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'Carbon mineralization'!$H$1</c:f>
              <c:strCache>
                <c:ptCount val="1"/>
                <c:pt idx="0">
                  <c:v>On topic share</c:v>
                </c:pt>
              </c:strCache>
            </c:strRef>
          </c:tx>
          <c:spPr>
            <a:ln w="571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'Carbon mineralization'!$A$2:$A$10</c:f>
              <c:numCache>
                <c:formatCode>General</c:formatCode>
                <c:ptCount val="9"/>
                <c:pt idx="0">
                  <c:v>1997</c:v>
                </c:pt>
                <c:pt idx="1">
                  <c:v>1999</c:v>
                </c:pt>
                <c:pt idx="2">
                  <c:v>2001</c:v>
                </c:pt>
                <c:pt idx="3">
                  <c:v>2003</c:v>
                </c:pt>
                <c:pt idx="4">
                  <c:v>2005</c:v>
                </c:pt>
                <c:pt idx="5">
                  <c:v>2007</c:v>
                </c:pt>
                <c:pt idx="6">
                  <c:v>2009</c:v>
                </c:pt>
                <c:pt idx="7">
                  <c:v>2011</c:v>
                </c:pt>
                <c:pt idx="8">
                  <c:v>2013</c:v>
                </c:pt>
              </c:numCache>
            </c:numRef>
          </c:cat>
          <c:val>
            <c:numRef>
              <c:f>'Carbon mineralization'!$H$2:$H$10</c:f>
              <c:numCache>
                <c:formatCode>0%</c:formatCode>
                <c:ptCount val="9"/>
                <c:pt idx="0">
                  <c:v>0.912462622994199</c:v>
                </c:pt>
                <c:pt idx="1">
                  <c:v>0.90019150647129997</c:v>
                </c:pt>
                <c:pt idx="2">
                  <c:v>0.85670685824524595</c:v>
                </c:pt>
                <c:pt idx="3">
                  <c:v>0.85043750645165805</c:v>
                </c:pt>
                <c:pt idx="4">
                  <c:v>0.92972152533046304</c:v>
                </c:pt>
                <c:pt idx="5">
                  <c:v>1.0590100403148599</c:v>
                </c:pt>
                <c:pt idx="6">
                  <c:v>1.2985814905539801</c:v>
                </c:pt>
                <c:pt idx="7">
                  <c:v>1.21176158572568</c:v>
                </c:pt>
                <c:pt idx="8">
                  <c:v>0.98112686391260995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489824"/>
        <c:axId val="44948080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'Carbon mineralization'!$F$1</c15:sqref>
                        </c15:formulaRef>
                      </c:ext>
                    </c:extLst>
                    <c:strCache>
                      <c:ptCount val="1"/>
                      <c:pt idx="0">
                        <c:v>on_topic_as_fraction_of_area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'Carbon mineralization'!$A$2:$A$10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1997</c:v>
                      </c:pt>
                      <c:pt idx="1">
                        <c:v>1999</c:v>
                      </c:pt>
                      <c:pt idx="2">
                        <c:v>2001</c:v>
                      </c:pt>
                      <c:pt idx="3">
                        <c:v>2003</c:v>
                      </c:pt>
                      <c:pt idx="4">
                        <c:v>2005</c:v>
                      </c:pt>
                      <c:pt idx="5">
                        <c:v>2007</c:v>
                      </c:pt>
                      <c:pt idx="6">
                        <c:v>2009</c:v>
                      </c:pt>
                      <c:pt idx="7">
                        <c:v>2011</c:v>
                      </c:pt>
                      <c:pt idx="8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'Carbon mineralization'!$F$2:$F$10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0.91611408570953801</c:v>
                      </c:pt>
                      <c:pt idx="1">
                        <c:v>0.88408478053523498</c:v>
                      </c:pt>
                      <c:pt idx="2">
                        <c:v>0.83501532378935595</c:v>
                      </c:pt>
                      <c:pt idx="3">
                        <c:v>0.80357915205203101</c:v>
                      </c:pt>
                      <c:pt idx="4">
                        <c:v>0.86530356599399105</c:v>
                      </c:pt>
                      <c:pt idx="5">
                        <c:v>1.0076321901538301</c:v>
                      </c:pt>
                      <c:pt idx="6">
                        <c:v>1.3015238584200499</c:v>
                      </c:pt>
                      <c:pt idx="7">
                        <c:v>1.32170841880656</c:v>
                      </c:pt>
                      <c:pt idx="8">
                        <c:v>1.0650386245393999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'Carbon mineralization'!$C$1</c:f>
              <c:strCache>
                <c:ptCount val="1"/>
                <c:pt idx="0">
                  <c:v>Absolute # on topic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'Carbon mineralization'!$A$2:$A$10</c:f>
              <c:numCache>
                <c:formatCode>General</c:formatCode>
                <c:ptCount val="9"/>
                <c:pt idx="0">
                  <c:v>1997</c:v>
                </c:pt>
                <c:pt idx="1">
                  <c:v>1999</c:v>
                </c:pt>
                <c:pt idx="2">
                  <c:v>2001</c:v>
                </c:pt>
                <c:pt idx="3">
                  <c:v>2003</c:v>
                </c:pt>
                <c:pt idx="4">
                  <c:v>2005</c:v>
                </c:pt>
                <c:pt idx="5">
                  <c:v>2007</c:v>
                </c:pt>
                <c:pt idx="6">
                  <c:v>2009</c:v>
                </c:pt>
                <c:pt idx="7">
                  <c:v>2011</c:v>
                </c:pt>
                <c:pt idx="8">
                  <c:v>2013</c:v>
                </c:pt>
              </c:numCache>
            </c:numRef>
          </c:cat>
          <c:val>
            <c:numRef>
              <c:f>'Carbon mineralization'!$C$2:$C$10</c:f>
              <c:numCache>
                <c:formatCode>#,##0</c:formatCode>
                <c:ptCount val="9"/>
                <c:pt idx="0">
                  <c:v>16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24</c:v>
                </c:pt>
                <c:pt idx="5">
                  <c:v>32</c:v>
                </c:pt>
                <c:pt idx="6">
                  <c:v>46</c:v>
                </c:pt>
                <c:pt idx="7">
                  <c:v>53</c:v>
                </c:pt>
                <c:pt idx="8">
                  <c:v>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480024"/>
        <c:axId val="449491784"/>
        <c:extLst/>
      </c:lineChart>
      <c:catAx>
        <c:axId val="44948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80808"/>
        <c:crosses val="autoZero"/>
        <c:auto val="1"/>
        <c:lblAlgn val="ctr"/>
        <c:lblOffset val="100"/>
        <c:noMultiLvlLbl val="0"/>
      </c:catAx>
      <c:valAx>
        <c:axId val="449480808"/>
        <c:scaling>
          <c:orientation val="minMax"/>
          <c:max val="1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relative to 20y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89824"/>
        <c:crosses val="autoZero"/>
        <c:crossBetween val="between"/>
      </c:valAx>
      <c:valAx>
        <c:axId val="4494917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Patents mentioning</a:t>
                </a:r>
                <a:br>
                  <a:rPr lang="en-US"/>
                </a:br>
                <a:r>
                  <a:rPr lang="en-US"/>
                  <a:t>"Carbon Mineralisation"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80024"/>
        <c:crosses val="max"/>
        <c:crossBetween val="between"/>
      </c:valAx>
      <c:catAx>
        <c:axId val="449480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9491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in Concrete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'Carbon in Cement'!$G$1</c:f>
              <c:strCache>
                <c:ptCount val="1"/>
                <c:pt idx="0">
                  <c:v>Technology area share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'Carbon in Cement'!$A$2:$A$10</c:f>
              <c:numCache>
                <c:formatCode>General</c:formatCode>
                <c:ptCount val="9"/>
                <c:pt idx="0">
                  <c:v>1997</c:v>
                </c:pt>
                <c:pt idx="1">
                  <c:v>1999</c:v>
                </c:pt>
                <c:pt idx="2">
                  <c:v>2001</c:v>
                </c:pt>
                <c:pt idx="3">
                  <c:v>2003</c:v>
                </c:pt>
                <c:pt idx="4">
                  <c:v>2005</c:v>
                </c:pt>
                <c:pt idx="5">
                  <c:v>2007</c:v>
                </c:pt>
                <c:pt idx="6">
                  <c:v>2009</c:v>
                </c:pt>
                <c:pt idx="7">
                  <c:v>2011</c:v>
                </c:pt>
                <c:pt idx="8">
                  <c:v>2013</c:v>
                </c:pt>
              </c:numCache>
            </c:numRef>
          </c:cat>
          <c:val>
            <c:numRef>
              <c:f>'Carbon in Cement'!$G$2:$G$10</c:f>
              <c:numCache>
                <c:formatCode>0%</c:formatCode>
                <c:ptCount val="9"/>
                <c:pt idx="0">
                  <c:v>1.13838349595321</c:v>
                </c:pt>
                <c:pt idx="1">
                  <c:v>1.0703348943025699</c:v>
                </c:pt>
                <c:pt idx="2">
                  <c:v>0.97701096562713197</c:v>
                </c:pt>
                <c:pt idx="3">
                  <c:v>0.926988840654971</c:v>
                </c:pt>
                <c:pt idx="4">
                  <c:v>0.96086919940459403</c:v>
                </c:pt>
                <c:pt idx="5">
                  <c:v>1.0131081142940299</c:v>
                </c:pt>
                <c:pt idx="6">
                  <c:v>0.98839948236267605</c:v>
                </c:pt>
                <c:pt idx="7">
                  <c:v>0.92810923566465098</c:v>
                </c:pt>
                <c:pt idx="8">
                  <c:v>0.99679577173616096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'Carbon in Cement'!$H$1</c:f>
              <c:strCache>
                <c:ptCount val="1"/>
                <c:pt idx="0">
                  <c:v>On topic share</c:v>
                </c:pt>
              </c:strCache>
            </c:strRef>
          </c:tx>
          <c:spPr>
            <a:ln w="571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'Carbon in Cement'!$A$2:$A$10</c:f>
              <c:numCache>
                <c:formatCode>General</c:formatCode>
                <c:ptCount val="9"/>
                <c:pt idx="0">
                  <c:v>1997</c:v>
                </c:pt>
                <c:pt idx="1">
                  <c:v>1999</c:v>
                </c:pt>
                <c:pt idx="2">
                  <c:v>2001</c:v>
                </c:pt>
                <c:pt idx="3">
                  <c:v>2003</c:v>
                </c:pt>
                <c:pt idx="4">
                  <c:v>2005</c:v>
                </c:pt>
                <c:pt idx="5">
                  <c:v>2007</c:v>
                </c:pt>
                <c:pt idx="6">
                  <c:v>2009</c:v>
                </c:pt>
                <c:pt idx="7">
                  <c:v>2011</c:v>
                </c:pt>
                <c:pt idx="8">
                  <c:v>2013</c:v>
                </c:pt>
              </c:numCache>
            </c:numRef>
          </c:cat>
          <c:val>
            <c:numRef>
              <c:f>'Carbon in Cement'!$H$2:$H$10</c:f>
              <c:numCache>
                <c:formatCode>0%</c:formatCode>
                <c:ptCount val="9"/>
                <c:pt idx="0">
                  <c:v>1.27050610854858</c:v>
                </c:pt>
                <c:pt idx="1">
                  <c:v>1.1167317202021001</c:v>
                </c:pt>
                <c:pt idx="2">
                  <c:v>0.95023759775827599</c:v>
                </c:pt>
                <c:pt idx="3">
                  <c:v>0.87872107273413302</c:v>
                </c:pt>
                <c:pt idx="4">
                  <c:v>0.91554997550177097</c:v>
                </c:pt>
                <c:pt idx="5">
                  <c:v>0.95671218537024005</c:v>
                </c:pt>
                <c:pt idx="6">
                  <c:v>0.97716158000508202</c:v>
                </c:pt>
                <c:pt idx="7">
                  <c:v>0.94893681511122396</c:v>
                </c:pt>
                <c:pt idx="8">
                  <c:v>0.98544294476858896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483552"/>
        <c:axId val="449489040"/>
      </c:lineChart>
      <c:lineChart>
        <c:grouping val="standard"/>
        <c:varyColors val="0"/>
        <c:ser>
          <c:idx val="3"/>
          <c:order val="2"/>
          <c:tx>
            <c:strRef>
              <c:f>'Carbon in Cement'!$C$1</c:f>
              <c:strCache>
                <c:ptCount val="1"/>
                <c:pt idx="0">
                  <c:v>Absolute # on topic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'Carbon in Cement'!$A$2:$A$10</c:f>
              <c:numCache>
                <c:formatCode>General</c:formatCode>
                <c:ptCount val="9"/>
                <c:pt idx="0">
                  <c:v>1997</c:v>
                </c:pt>
                <c:pt idx="1">
                  <c:v>1999</c:v>
                </c:pt>
                <c:pt idx="2">
                  <c:v>2001</c:v>
                </c:pt>
                <c:pt idx="3">
                  <c:v>2003</c:v>
                </c:pt>
                <c:pt idx="4">
                  <c:v>2005</c:v>
                </c:pt>
                <c:pt idx="5">
                  <c:v>2007</c:v>
                </c:pt>
                <c:pt idx="6">
                  <c:v>2009</c:v>
                </c:pt>
                <c:pt idx="7">
                  <c:v>2011</c:v>
                </c:pt>
                <c:pt idx="8">
                  <c:v>2013</c:v>
                </c:pt>
              </c:numCache>
            </c:numRef>
          </c:cat>
          <c:val>
            <c:numRef>
              <c:f>'Carbon in Cement'!$C$2:$C$10</c:f>
              <c:numCache>
                <c:formatCode>General</c:formatCode>
                <c:ptCount val="9"/>
                <c:pt idx="0">
                  <c:v>287</c:v>
                </c:pt>
                <c:pt idx="1">
                  <c:v>288</c:v>
                </c:pt>
                <c:pt idx="2">
                  <c:v>274</c:v>
                </c:pt>
                <c:pt idx="3">
                  <c:v>273</c:v>
                </c:pt>
                <c:pt idx="4">
                  <c:v>313</c:v>
                </c:pt>
                <c:pt idx="5">
                  <c:v>373</c:v>
                </c:pt>
                <c:pt idx="6">
                  <c:v>448</c:v>
                </c:pt>
                <c:pt idx="7">
                  <c:v>544</c:v>
                </c:pt>
                <c:pt idx="8">
                  <c:v>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490216"/>
        <c:axId val="449481592"/>
      </c:lineChart>
      <c:catAx>
        <c:axId val="44948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89040"/>
        <c:crosses val="autoZero"/>
        <c:auto val="1"/>
        <c:lblAlgn val="ctr"/>
        <c:lblOffset val="100"/>
        <c:noMultiLvlLbl val="0"/>
      </c:catAx>
      <c:valAx>
        <c:axId val="449489040"/>
        <c:scaling>
          <c:orientation val="minMax"/>
          <c:max val="1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relative to 20y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83552"/>
        <c:crosses val="autoZero"/>
        <c:crossBetween val="between"/>
      </c:valAx>
      <c:valAx>
        <c:axId val="4494815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Patents mentioning "Carbon"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90216"/>
        <c:crosses val="max"/>
        <c:crossBetween val="between"/>
      </c:valAx>
      <c:catAx>
        <c:axId val="449490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9481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in Concrete Fillers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'Carbon in Concrete Fillers'!$G$1</c:f>
              <c:strCache>
                <c:ptCount val="1"/>
                <c:pt idx="0">
                  <c:v>Technology area share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'Carbon in Concrete Fillers'!$A$2:$A$10</c:f>
              <c:numCache>
                <c:formatCode>General</c:formatCode>
                <c:ptCount val="9"/>
                <c:pt idx="0">
                  <c:v>1997</c:v>
                </c:pt>
                <c:pt idx="1">
                  <c:v>1999</c:v>
                </c:pt>
                <c:pt idx="2">
                  <c:v>2001</c:v>
                </c:pt>
                <c:pt idx="3">
                  <c:v>2003</c:v>
                </c:pt>
                <c:pt idx="4">
                  <c:v>2005</c:v>
                </c:pt>
                <c:pt idx="5">
                  <c:v>2007</c:v>
                </c:pt>
                <c:pt idx="6">
                  <c:v>2009</c:v>
                </c:pt>
                <c:pt idx="7">
                  <c:v>2011</c:v>
                </c:pt>
                <c:pt idx="8">
                  <c:v>2013</c:v>
                </c:pt>
              </c:numCache>
            </c:numRef>
          </c:cat>
          <c:val>
            <c:numRef>
              <c:f>'Carbon in Concrete Fillers'!$G$2:$G$10</c:f>
              <c:numCache>
                <c:formatCode>0%</c:formatCode>
                <c:ptCount val="9"/>
                <c:pt idx="0">
                  <c:v>0.82133129215027401</c:v>
                </c:pt>
                <c:pt idx="1">
                  <c:v>0.85363440426267501</c:v>
                </c:pt>
                <c:pt idx="2">
                  <c:v>0.926063438702453</c:v>
                </c:pt>
                <c:pt idx="3">
                  <c:v>1.01790178142191</c:v>
                </c:pt>
                <c:pt idx="4">
                  <c:v>1.2021258083255899</c:v>
                </c:pt>
                <c:pt idx="5">
                  <c:v>1.2783093364615099</c:v>
                </c:pt>
                <c:pt idx="6">
                  <c:v>1.11741434911904</c:v>
                </c:pt>
                <c:pt idx="7">
                  <c:v>0.886742294140204</c:v>
                </c:pt>
                <c:pt idx="8">
                  <c:v>0.89647729541634902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'Carbon in Concrete Fillers'!$H$1</c:f>
              <c:strCache>
                <c:ptCount val="1"/>
                <c:pt idx="0">
                  <c:v>On topic share</c:v>
                </c:pt>
              </c:strCache>
            </c:strRef>
          </c:tx>
          <c:spPr>
            <a:ln w="571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'Carbon in Concrete Fillers'!$A$2:$A$10</c:f>
              <c:numCache>
                <c:formatCode>General</c:formatCode>
                <c:ptCount val="9"/>
                <c:pt idx="0">
                  <c:v>1997</c:v>
                </c:pt>
                <c:pt idx="1">
                  <c:v>1999</c:v>
                </c:pt>
                <c:pt idx="2">
                  <c:v>2001</c:v>
                </c:pt>
                <c:pt idx="3">
                  <c:v>2003</c:v>
                </c:pt>
                <c:pt idx="4">
                  <c:v>2005</c:v>
                </c:pt>
                <c:pt idx="5">
                  <c:v>2007</c:v>
                </c:pt>
                <c:pt idx="6">
                  <c:v>2009</c:v>
                </c:pt>
                <c:pt idx="7">
                  <c:v>2011</c:v>
                </c:pt>
                <c:pt idx="8">
                  <c:v>2013</c:v>
                </c:pt>
              </c:numCache>
            </c:numRef>
          </c:cat>
          <c:val>
            <c:numRef>
              <c:f>'Carbon in Concrete Fillers'!$H$2:$H$10</c:f>
              <c:numCache>
                <c:formatCode>0%</c:formatCode>
                <c:ptCount val="9"/>
                <c:pt idx="0">
                  <c:v>0.84061500379823395</c:v>
                </c:pt>
                <c:pt idx="1">
                  <c:v>0.82789255528140604</c:v>
                </c:pt>
                <c:pt idx="2">
                  <c:v>0.90465409238900696</c:v>
                </c:pt>
                <c:pt idx="3">
                  <c:v>0.92429328135700095</c:v>
                </c:pt>
                <c:pt idx="4">
                  <c:v>1.12824911481947</c:v>
                </c:pt>
                <c:pt idx="5">
                  <c:v>1.19701474895142</c:v>
                </c:pt>
                <c:pt idx="6">
                  <c:v>1.2039719045889701</c:v>
                </c:pt>
                <c:pt idx="7">
                  <c:v>0.99538065237473194</c:v>
                </c:pt>
                <c:pt idx="8">
                  <c:v>0.97792864643976196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491000"/>
        <c:axId val="449482376"/>
      </c:lineChart>
      <c:lineChart>
        <c:grouping val="standard"/>
        <c:varyColors val="0"/>
        <c:ser>
          <c:idx val="3"/>
          <c:order val="2"/>
          <c:tx>
            <c:strRef>
              <c:f>'Carbon in Concrete Fillers'!$C$1</c:f>
              <c:strCache>
                <c:ptCount val="1"/>
                <c:pt idx="0">
                  <c:v>Absolute # on topic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'Carbon in Concrete Fillers'!$A$2:$A$10</c:f>
              <c:numCache>
                <c:formatCode>General</c:formatCode>
                <c:ptCount val="9"/>
                <c:pt idx="0">
                  <c:v>1997</c:v>
                </c:pt>
                <c:pt idx="1">
                  <c:v>1999</c:v>
                </c:pt>
                <c:pt idx="2">
                  <c:v>2001</c:v>
                </c:pt>
                <c:pt idx="3">
                  <c:v>2003</c:v>
                </c:pt>
                <c:pt idx="4">
                  <c:v>2005</c:v>
                </c:pt>
                <c:pt idx="5">
                  <c:v>2007</c:v>
                </c:pt>
                <c:pt idx="6">
                  <c:v>2009</c:v>
                </c:pt>
                <c:pt idx="7">
                  <c:v>2011</c:v>
                </c:pt>
                <c:pt idx="8">
                  <c:v>2013</c:v>
                </c:pt>
              </c:numCache>
            </c:numRef>
          </c:cat>
          <c:val>
            <c:numRef>
              <c:f>'Carbon in Concrete Fillers'!$C$2:$C$10</c:f>
              <c:numCache>
                <c:formatCode>General</c:formatCode>
                <c:ptCount val="9"/>
                <c:pt idx="0">
                  <c:v>43</c:v>
                </c:pt>
                <c:pt idx="1">
                  <c:v>48</c:v>
                </c:pt>
                <c:pt idx="2">
                  <c:v>59</c:v>
                </c:pt>
                <c:pt idx="3">
                  <c:v>65</c:v>
                </c:pt>
                <c:pt idx="4">
                  <c:v>88</c:v>
                </c:pt>
                <c:pt idx="5">
                  <c:v>106</c:v>
                </c:pt>
                <c:pt idx="6">
                  <c:v>125</c:v>
                </c:pt>
                <c:pt idx="7">
                  <c:v>130</c:v>
                </c:pt>
                <c:pt idx="8">
                  <c:v>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481984"/>
        <c:axId val="449483944"/>
      </c:lineChart>
      <c:catAx>
        <c:axId val="44949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82376"/>
        <c:crosses val="autoZero"/>
        <c:auto val="1"/>
        <c:lblAlgn val="ctr"/>
        <c:lblOffset val="100"/>
        <c:noMultiLvlLbl val="0"/>
      </c:catAx>
      <c:valAx>
        <c:axId val="449482376"/>
        <c:scaling>
          <c:orientation val="minMax"/>
          <c:max val="1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relative to 20y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91000"/>
        <c:crosses val="autoZero"/>
        <c:crossBetween val="between"/>
      </c:valAx>
      <c:valAx>
        <c:axId val="449483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Patents mentioning "Carbon"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81984"/>
        <c:crosses val="max"/>
        <c:crossBetween val="between"/>
      </c:valAx>
      <c:catAx>
        <c:axId val="449481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9483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in Construction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'Carbon in Construction'!$G$1</c:f>
              <c:strCache>
                <c:ptCount val="1"/>
                <c:pt idx="0">
                  <c:v>Technology area share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'Carbon in Construction'!$A$2:$A$10</c:f>
              <c:numCache>
                <c:formatCode>General</c:formatCode>
                <c:ptCount val="9"/>
                <c:pt idx="0">
                  <c:v>1997</c:v>
                </c:pt>
                <c:pt idx="1">
                  <c:v>1999</c:v>
                </c:pt>
                <c:pt idx="2">
                  <c:v>2001</c:v>
                </c:pt>
                <c:pt idx="3">
                  <c:v>2003</c:v>
                </c:pt>
                <c:pt idx="4">
                  <c:v>2005</c:v>
                </c:pt>
                <c:pt idx="5">
                  <c:v>2007</c:v>
                </c:pt>
                <c:pt idx="6">
                  <c:v>2009</c:v>
                </c:pt>
                <c:pt idx="7">
                  <c:v>2011</c:v>
                </c:pt>
                <c:pt idx="8">
                  <c:v>2013</c:v>
                </c:pt>
              </c:numCache>
            </c:numRef>
          </c:cat>
          <c:val>
            <c:numRef>
              <c:f>'Carbon in Construction'!$G$2:$G$10</c:f>
              <c:numCache>
                <c:formatCode>0%</c:formatCode>
                <c:ptCount val="9"/>
                <c:pt idx="0">
                  <c:v>1.0539341976640599</c:v>
                </c:pt>
                <c:pt idx="1">
                  <c:v>0.99102401324021405</c:v>
                </c:pt>
                <c:pt idx="2">
                  <c:v>0.96128376865331999</c:v>
                </c:pt>
                <c:pt idx="3">
                  <c:v>0.97197839736125702</c:v>
                </c:pt>
                <c:pt idx="4">
                  <c:v>1.04376344873705</c:v>
                </c:pt>
                <c:pt idx="5">
                  <c:v>1.02248897507875</c:v>
                </c:pt>
                <c:pt idx="6">
                  <c:v>1.03298384254392</c:v>
                </c:pt>
                <c:pt idx="7">
                  <c:v>0.956308193785951</c:v>
                </c:pt>
                <c:pt idx="8">
                  <c:v>0.96623516293547296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'Carbon in Construction'!$H$1</c:f>
              <c:strCache>
                <c:ptCount val="1"/>
                <c:pt idx="0">
                  <c:v>On topic share</c:v>
                </c:pt>
              </c:strCache>
            </c:strRef>
          </c:tx>
          <c:spPr>
            <a:ln w="571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'Carbon in Construction'!$A$2:$A$10</c:f>
              <c:numCache>
                <c:formatCode>General</c:formatCode>
                <c:ptCount val="9"/>
                <c:pt idx="0">
                  <c:v>1997</c:v>
                </c:pt>
                <c:pt idx="1">
                  <c:v>1999</c:v>
                </c:pt>
                <c:pt idx="2">
                  <c:v>2001</c:v>
                </c:pt>
                <c:pt idx="3">
                  <c:v>2003</c:v>
                </c:pt>
                <c:pt idx="4">
                  <c:v>2005</c:v>
                </c:pt>
                <c:pt idx="5">
                  <c:v>2007</c:v>
                </c:pt>
                <c:pt idx="6">
                  <c:v>2009</c:v>
                </c:pt>
                <c:pt idx="7">
                  <c:v>2011</c:v>
                </c:pt>
                <c:pt idx="8">
                  <c:v>2013</c:v>
                </c:pt>
              </c:numCache>
            </c:numRef>
          </c:cat>
          <c:val>
            <c:numRef>
              <c:f>'Carbon in Construction'!$H$2:$H$10</c:f>
              <c:numCache>
                <c:formatCode>0%</c:formatCode>
                <c:ptCount val="9"/>
                <c:pt idx="0">
                  <c:v>0.97877561541521196</c:v>
                </c:pt>
                <c:pt idx="1">
                  <c:v>0.93879021339187096</c:v>
                </c:pt>
                <c:pt idx="2">
                  <c:v>0.94094321615690502</c:v>
                </c:pt>
                <c:pt idx="3">
                  <c:v>0.94561764996762199</c:v>
                </c:pt>
                <c:pt idx="4">
                  <c:v>0.90968910053635799</c:v>
                </c:pt>
                <c:pt idx="5">
                  <c:v>0.87860445529850095</c:v>
                </c:pt>
                <c:pt idx="6">
                  <c:v>1.1842637555531399</c:v>
                </c:pt>
                <c:pt idx="7">
                  <c:v>1.1831235164093901</c:v>
                </c:pt>
                <c:pt idx="8">
                  <c:v>1.0401924772710101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484336"/>
        <c:axId val="449486296"/>
      </c:lineChart>
      <c:lineChart>
        <c:grouping val="standard"/>
        <c:varyColors val="0"/>
        <c:ser>
          <c:idx val="3"/>
          <c:order val="2"/>
          <c:tx>
            <c:strRef>
              <c:f>'Carbon in Construction'!$C$1</c:f>
              <c:strCache>
                <c:ptCount val="1"/>
                <c:pt idx="0">
                  <c:v>Absolute # on topic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'Carbon in Construction'!$A$2:$A$10</c:f>
              <c:numCache>
                <c:formatCode>General</c:formatCode>
                <c:ptCount val="9"/>
                <c:pt idx="0">
                  <c:v>1997</c:v>
                </c:pt>
                <c:pt idx="1">
                  <c:v>1999</c:v>
                </c:pt>
                <c:pt idx="2">
                  <c:v>2001</c:v>
                </c:pt>
                <c:pt idx="3">
                  <c:v>2003</c:v>
                </c:pt>
                <c:pt idx="4">
                  <c:v>2005</c:v>
                </c:pt>
                <c:pt idx="5">
                  <c:v>2007</c:v>
                </c:pt>
                <c:pt idx="6">
                  <c:v>2009</c:v>
                </c:pt>
                <c:pt idx="7">
                  <c:v>2011</c:v>
                </c:pt>
                <c:pt idx="8">
                  <c:v>2013</c:v>
                </c:pt>
              </c:numCache>
            </c:numRef>
          </c:cat>
          <c:val>
            <c:numRef>
              <c:f>'Carbon in Construction'!$C$2:$C$10</c:f>
              <c:numCache>
                <c:formatCode>General</c:formatCode>
                <c:ptCount val="9"/>
                <c:pt idx="0">
                  <c:v>21</c:v>
                </c:pt>
                <c:pt idx="1">
                  <c:v>23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  <c:pt idx="5">
                  <c:v>33</c:v>
                </c:pt>
                <c:pt idx="6">
                  <c:v>52</c:v>
                </c:pt>
                <c:pt idx="7">
                  <c:v>65</c:v>
                </c:pt>
                <c:pt idx="8">
                  <c:v>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486688"/>
        <c:axId val="449484728"/>
      </c:lineChart>
      <c:catAx>
        <c:axId val="44948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86296"/>
        <c:crosses val="autoZero"/>
        <c:auto val="1"/>
        <c:lblAlgn val="ctr"/>
        <c:lblOffset val="100"/>
        <c:noMultiLvlLbl val="0"/>
      </c:catAx>
      <c:valAx>
        <c:axId val="449486296"/>
        <c:scaling>
          <c:orientation val="minMax"/>
          <c:max val="1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relative to 20y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84336"/>
        <c:crosses val="autoZero"/>
        <c:crossBetween val="between"/>
      </c:valAx>
      <c:valAx>
        <c:axId val="4494847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Patents mentioning "Carbon"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86688"/>
        <c:crosses val="max"/>
        <c:crossBetween val="between"/>
      </c:valAx>
      <c:catAx>
        <c:axId val="44948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9484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mineralisation in Landscape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FInal!$G$1</c:f>
              <c:strCache>
                <c:ptCount val="1"/>
                <c:pt idx="0">
                  <c:v>Technology area share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FInal!$A$2:$A$11</c:f>
              <c:numCache>
                <c:formatCode>General</c:formatCode>
                <c:ptCount val="10"/>
                <c:pt idx="0">
                  <c:v>1996</c:v>
                </c:pt>
                <c:pt idx="1">
                  <c:v>1998</c:v>
                </c:pt>
                <c:pt idx="2">
                  <c:v>2000</c:v>
                </c:pt>
                <c:pt idx="3">
                  <c:v>2002</c:v>
                </c:pt>
                <c:pt idx="4">
                  <c:v>2004</c:v>
                </c:pt>
                <c:pt idx="5">
                  <c:v>2006</c:v>
                </c:pt>
                <c:pt idx="6">
                  <c:v>2008</c:v>
                </c:pt>
                <c:pt idx="7">
                  <c:v>2010</c:v>
                </c:pt>
                <c:pt idx="8">
                  <c:v>2012</c:v>
                </c:pt>
                <c:pt idx="9">
                  <c:v>2014</c:v>
                </c:pt>
              </c:numCache>
            </c:numRef>
          </c:cat>
          <c:val>
            <c:numRef>
              <c:f>FInal!$G$2:$G$11</c:f>
              <c:numCache>
                <c:formatCode>0%</c:formatCode>
                <c:ptCount val="10"/>
                <c:pt idx="0">
                  <c:v>0.96813890314159901</c:v>
                </c:pt>
                <c:pt idx="1">
                  <c:v>0.97286990016891794</c:v>
                </c:pt>
                <c:pt idx="2">
                  <c:v>1.06374008526653</c:v>
                </c:pt>
                <c:pt idx="3">
                  <c:v>1.0151809860221299</c:v>
                </c:pt>
                <c:pt idx="4">
                  <c:v>1.11932413814565</c:v>
                </c:pt>
                <c:pt idx="5">
                  <c:v>1.0920005958019701</c:v>
                </c:pt>
                <c:pt idx="6">
                  <c:v>1.0246636288442801</c:v>
                </c:pt>
                <c:pt idx="7">
                  <c:v>1.00525475908846</c:v>
                </c:pt>
                <c:pt idx="8">
                  <c:v>0.90292280753421095</c:v>
                </c:pt>
                <c:pt idx="9">
                  <c:v>0.83590419598624599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FInal!$H$1</c:f>
              <c:strCache>
                <c:ptCount val="1"/>
                <c:pt idx="0">
                  <c:v>On topic share</c:v>
                </c:pt>
              </c:strCache>
            </c:strRef>
          </c:tx>
          <c:spPr>
            <a:ln w="571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FInal!$A$2:$A$11</c:f>
              <c:numCache>
                <c:formatCode>General</c:formatCode>
                <c:ptCount val="10"/>
                <c:pt idx="0">
                  <c:v>1996</c:v>
                </c:pt>
                <c:pt idx="1">
                  <c:v>1998</c:v>
                </c:pt>
                <c:pt idx="2">
                  <c:v>2000</c:v>
                </c:pt>
                <c:pt idx="3">
                  <c:v>2002</c:v>
                </c:pt>
                <c:pt idx="4">
                  <c:v>2004</c:v>
                </c:pt>
                <c:pt idx="5">
                  <c:v>2006</c:v>
                </c:pt>
                <c:pt idx="6">
                  <c:v>2008</c:v>
                </c:pt>
                <c:pt idx="7">
                  <c:v>2010</c:v>
                </c:pt>
                <c:pt idx="8">
                  <c:v>2012</c:v>
                </c:pt>
                <c:pt idx="9">
                  <c:v>2014</c:v>
                </c:pt>
              </c:numCache>
            </c:numRef>
          </c:cat>
          <c:val>
            <c:numRef>
              <c:f>FInal!$H$2:$H$11</c:f>
              <c:numCache>
                <c:formatCode>0%</c:formatCode>
                <c:ptCount val="10"/>
                <c:pt idx="0">
                  <c:v>0.653147488867455</c:v>
                </c:pt>
                <c:pt idx="1">
                  <c:v>0.92012507655798004</c:v>
                </c:pt>
                <c:pt idx="2">
                  <c:v>0.99690659246395197</c:v>
                </c:pt>
                <c:pt idx="3">
                  <c:v>0.92072622103468305</c:v>
                </c:pt>
                <c:pt idx="4">
                  <c:v>0.96649030616435105</c:v>
                </c:pt>
                <c:pt idx="5">
                  <c:v>1.0845797002078399</c:v>
                </c:pt>
                <c:pt idx="6">
                  <c:v>1.18102789309003</c:v>
                </c:pt>
                <c:pt idx="7">
                  <c:v>1.6416866940561801</c:v>
                </c:pt>
                <c:pt idx="8">
                  <c:v>1.05768459851837</c:v>
                </c:pt>
                <c:pt idx="9">
                  <c:v>0.57762542903915404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485512"/>
        <c:axId val="449485904"/>
      </c:lineChart>
      <c:lineChart>
        <c:grouping val="standard"/>
        <c:varyColors val="0"/>
        <c:ser>
          <c:idx val="3"/>
          <c:order val="2"/>
          <c:tx>
            <c:strRef>
              <c:f>FInal!$C$1</c:f>
              <c:strCache>
                <c:ptCount val="1"/>
                <c:pt idx="0">
                  <c:v>Absolute # on topic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FInal!$A$2:$A$11</c:f>
              <c:numCache>
                <c:formatCode>General</c:formatCode>
                <c:ptCount val="10"/>
                <c:pt idx="0">
                  <c:v>1996</c:v>
                </c:pt>
                <c:pt idx="1">
                  <c:v>1998</c:v>
                </c:pt>
                <c:pt idx="2">
                  <c:v>2000</c:v>
                </c:pt>
                <c:pt idx="3">
                  <c:v>2002</c:v>
                </c:pt>
                <c:pt idx="4">
                  <c:v>2004</c:v>
                </c:pt>
                <c:pt idx="5">
                  <c:v>2006</c:v>
                </c:pt>
                <c:pt idx="6">
                  <c:v>2008</c:v>
                </c:pt>
                <c:pt idx="7">
                  <c:v>2010</c:v>
                </c:pt>
                <c:pt idx="8">
                  <c:v>2012</c:v>
                </c:pt>
                <c:pt idx="9">
                  <c:v>2014</c:v>
                </c:pt>
              </c:numCache>
            </c:numRef>
          </c:cat>
          <c:val>
            <c:numRef>
              <c:f>FInal!$C$2:$C$11</c:f>
              <c:numCache>
                <c:formatCode>General</c:formatCode>
                <c:ptCount val="10"/>
                <c:pt idx="0">
                  <c:v>15</c:v>
                </c:pt>
                <c:pt idx="1">
                  <c:v>23</c:v>
                </c:pt>
                <c:pt idx="2">
                  <c:v>29</c:v>
                </c:pt>
                <c:pt idx="3">
                  <c:v>29</c:v>
                </c:pt>
                <c:pt idx="4">
                  <c:v>31</c:v>
                </c:pt>
                <c:pt idx="5">
                  <c:v>42</c:v>
                </c:pt>
                <c:pt idx="6">
                  <c:v>52</c:v>
                </c:pt>
                <c:pt idx="7">
                  <c:v>82</c:v>
                </c:pt>
                <c:pt idx="8">
                  <c:v>71</c:v>
                </c:pt>
                <c:pt idx="9">
                  <c:v>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495312"/>
        <c:axId val="449487472"/>
      </c:lineChart>
      <c:catAx>
        <c:axId val="44948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85904"/>
        <c:crosses val="autoZero"/>
        <c:auto val="1"/>
        <c:lblAlgn val="ctr"/>
        <c:lblOffset val="100"/>
        <c:noMultiLvlLbl val="0"/>
      </c:catAx>
      <c:valAx>
        <c:axId val="449485904"/>
        <c:scaling>
          <c:orientation val="minMax"/>
          <c:max val="1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relative to 20y average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85512"/>
        <c:crosses val="autoZero"/>
        <c:crossBetween val="between"/>
      </c:valAx>
      <c:valAx>
        <c:axId val="449487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Patents mentioning "Carbon"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95312"/>
        <c:crosses val="max"/>
        <c:crossBetween val="between"/>
      </c:valAx>
      <c:catAx>
        <c:axId val="449495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9487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mineralisation in Landscape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FInal!$H$21</c:f>
              <c:strCache>
                <c:ptCount val="1"/>
                <c:pt idx="0">
                  <c:v>On topic share</c:v>
                </c:pt>
              </c:strCache>
            </c:strRef>
          </c:tx>
          <c:spPr>
            <a:ln w="571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FInal!$A$22:$A$73</c:f>
              <c:numCache>
                <c:formatCode>General</c:formatCode>
                <c:ptCount val="52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</c:numCache>
            </c:numRef>
          </c:cat>
          <c:val>
            <c:numRef>
              <c:f>FInal!$H$22:$H$73</c:f>
              <c:numCache>
                <c:formatCode>General</c:formatCode>
                <c:ptCount val="52"/>
                <c:pt idx="1">
                  <c:v>0.19932156565441</c:v>
                </c:pt>
                <c:pt idx="2">
                  <c:v>0.19429508909303</c:v>
                </c:pt>
                <c:pt idx="3">
                  <c:v>0.19203549959140601</c:v>
                </c:pt>
                <c:pt idx="4">
                  <c:v>0.18847455917644501</c:v>
                </c:pt>
                <c:pt idx="5">
                  <c:v>0.18604105126262199</c:v>
                </c:pt>
                <c:pt idx="6">
                  <c:v>0.25000773529678699</c:v>
                </c:pt>
                <c:pt idx="7">
                  <c:v>0.38272863748375602</c:v>
                </c:pt>
                <c:pt idx="8">
                  <c:v>0.32516448485013499</c:v>
                </c:pt>
                <c:pt idx="9">
                  <c:v>0.39511712732327098</c:v>
                </c:pt>
                <c:pt idx="10">
                  <c:v>0.46892531649232599</c:v>
                </c:pt>
                <c:pt idx="11">
                  <c:v>0.41116721072745399</c:v>
                </c:pt>
                <c:pt idx="12">
                  <c:v>0.28069609381789201</c:v>
                </c:pt>
                <c:pt idx="13">
                  <c:v>0.51465690721758095</c:v>
                </c:pt>
                <c:pt idx="14">
                  <c:v>0.70621219519638301</c:v>
                </c:pt>
                <c:pt idx="15">
                  <c:v>0.840003125441247</c:v>
                </c:pt>
                <c:pt idx="16">
                  <c:v>0.89383286327960298</c:v>
                </c:pt>
                <c:pt idx="17">
                  <c:v>0.94105284891317598</c:v>
                </c:pt>
                <c:pt idx="18">
                  <c:v>0.87129103358675697</c:v>
                </c:pt>
                <c:pt idx="19">
                  <c:v>0.786461688630955</c:v>
                </c:pt>
                <c:pt idx="20">
                  <c:v>0.77927114270896403</c:v>
                </c:pt>
                <c:pt idx="21">
                  <c:v>0.94739866856023203</c:v>
                </c:pt>
                <c:pt idx="22">
                  <c:v>1.01374214875473</c:v>
                </c:pt>
                <c:pt idx="23">
                  <c:v>1.33324959623161</c:v>
                </c:pt>
                <c:pt idx="24">
                  <c:v>1.37268886427239</c:v>
                </c:pt>
                <c:pt idx="25">
                  <c:v>1.24743293747911</c:v>
                </c:pt>
                <c:pt idx="26">
                  <c:v>1.36520170504528</c:v>
                </c:pt>
                <c:pt idx="27">
                  <c:v>1.3821897258995599</c:v>
                </c:pt>
                <c:pt idx="28">
                  <c:v>1.2337998084797499</c:v>
                </c:pt>
                <c:pt idx="29">
                  <c:v>1.4166309709427201</c:v>
                </c:pt>
                <c:pt idx="30">
                  <c:v>1.41726412490085</c:v>
                </c:pt>
                <c:pt idx="31">
                  <c:v>1.13715978350731</c:v>
                </c:pt>
                <c:pt idx="32">
                  <c:v>1.20576185857199</c:v>
                </c:pt>
                <c:pt idx="33">
                  <c:v>1.3176677000563499</c:v>
                </c:pt>
                <c:pt idx="34">
                  <c:v>1.0279187727922201</c:v>
                </c:pt>
                <c:pt idx="35">
                  <c:v>1.2146562791997699</c:v>
                </c:pt>
                <c:pt idx="36">
                  <c:v>1.1271668634965999</c:v>
                </c:pt>
                <c:pt idx="37">
                  <c:v>1.0825788147495901</c:v>
                </c:pt>
                <c:pt idx="38">
                  <c:v>0.83909843709936105</c:v>
                </c:pt>
                <c:pt idx="39">
                  <c:v>0.83683486907196702</c:v>
                </c:pt>
                <c:pt idx="40">
                  <c:v>0.81190407674489296</c:v>
                </c:pt>
                <c:pt idx="41">
                  <c:v>0.95010321354208505</c:v>
                </c:pt>
                <c:pt idx="42">
                  <c:v>1.1194306911834</c:v>
                </c:pt>
                <c:pt idx="43">
                  <c:v>1.3778302562879099</c:v>
                </c:pt>
                <c:pt idx="44">
                  <c:v>1.55441470702254</c:v>
                </c:pt>
                <c:pt idx="45">
                  <c:v>1.7738193201605701</c:v>
                </c:pt>
                <c:pt idx="46">
                  <c:v>1.7382474633479199</c:v>
                </c:pt>
                <c:pt idx="47">
                  <c:v>1.88956685454575</c:v>
                </c:pt>
                <c:pt idx="48">
                  <c:v>1.8449888942033801</c:v>
                </c:pt>
                <c:pt idx="49">
                  <c:v>1.8313577544669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494136"/>
        <c:axId val="449492960"/>
      </c:lineChart>
      <c:lineChart>
        <c:grouping val="standard"/>
        <c:varyColors val="0"/>
        <c:ser>
          <c:idx val="3"/>
          <c:order val="1"/>
          <c:tx>
            <c:strRef>
              <c:f>FInal!$C$21</c:f>
              <c:strCache>
                <c:ptCount val="1"/>
                <c:pt idx="0">
                  <c:v>Absolute # on topic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FInal!$A$22:$A$73</c:f>
              <c:numCache>
                <c:formatCode>General</c:formatCode>
                <c:ptCount val="52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</c:numCache>
            </c:numRef>
          </c:cat>
          <c:val>
            <c:numRef>
              <c:f>FInal!$C$22:$C$73</c:f>
              <c:numCache>
                <c:formatCode>General</c:formatCode>
                <c:ptCount val="5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#,##0">
                  <c:v>1</c:v>
                </c:pt>
                <c:pt idx="8">
                  <c:v>0</c:v>
                </c:pt>
                <c:pt idx="9" formatCode="#,##0">
                  <c:v>1</c:v>
                </c:pt>
                <c:pt idx="10" formatCode="#,##0">
                  <c:v>1</c:v>
                </c:pt>
                <c:pt idx="11" formatCode="#,##0">
                  <c:v>1</c:v>
                </c:pt>
                <c:pt idx="12">
                  <c:v>0</c:v>
                </c:pt>
                <c:pt idx="13" formatCode="#,##0">
                  <c:v>1</c:v>
                </c:pt>
                <c:pt idx="14" formatCode="#,##0">
                  <c:v>1</c:v>
                </c:pt>
                <c:pt idx="15" formatCode="#,##0">
                  <c:v>1</c:v>
                </c:pt>
                <c:pt idx="16" formatCode="#,##0">
                  <c:v>1</c:v>
                </c:pt>
                <c:pt idx="17" formatCode="#,##0">
                  <c:v>1</c:v>
                </c:pt>
                <c:pt idx="18" formatCode="#,##0">
                  <c:v>1</c:v>
                </c:pt>
                <c:pt idx="19" formatCode="#,##0">
                  <c:v>1</c:v>
                </c:pt>
                <c:pt idx="20" formatCode="#,##0">
                  <c:v>1</c:v>
                </c:pt>
                <c:pt idx="21" formatCode="#,##0">
                  <c:v>1</c:v>
                </c:pt>
                <c:pt idx="22" formatCode="#,##0">
                  <c:v>1</c:v>
                </c:pt>
                <c:pt idx="23" formatCode="#,##0">
                  <c:v>2</c:v>
                </c:pt>
                <c:pt idx="24" formatCode="#,##0">
                  <c:v>2</c:v>
                </c:pt>
                <c:pt idx="25" formatCode="#,##0">
                  <c:v>2</c:v>
                </c:pt>
                <c:pt idx="26" formatCode="#,##0">
                  <c:v>2</c:v>
                </c:pt>
                <c:pt idx="27" formatCode="#,##0">
                  <c:v>3</c:v>
                </c:pt>
                <c:pt idx="28" formatCode="#,##0">
                  <c:v>2</c:v>
                </c:pt>
                <c:pt idx="29" formatCode="#,##0">
                  <c:v>3</c:v>
                </c:pt>
                <c:pt idx="30" formatCode="#,##0">
                  <c:v>3</c:v>
                </c:pt>
                <c:pt idx="31" formatCode="#,##0">
                  <c:v>3</c:v>
                </c:pt>
                <c:pt idx="32" formatCode="#,##0">
                  <c:v>3</c:v>
                </c:pt>
                <c:pt idx="33" formatCode="#,##0">
                  <c:v>4</c:v>
                </c:pt>
                <c:pt idx="34" formatCode="#,##0">
                  <c:v>4</c:v>
                </c:pt>
                <c:pt idx="35" formatCode="#,##0">
                  <c:v>5</c:v>
                </c:pt>
                <c:pt idx="36" formatCode="#,##0">
                  <c:v>5</c:v>
                </c:pt>
                <c:pt idx="37" formatCode="#,##0">
                  <c:v>6</c:v>
                </c:pt>
                <c:pt idx="38" formatCode="#,##0">
                  <c:v>5</c:v>
                </c:pt>
                <c:pt idx="39" formatCode="#,##0">
                  <c:v>5</c:v>
                </c:pt>
                <c:pt idx="40" formatCode="#,##0">
                  <c:v>5</c:v>
                </c:pt>
                <c:pt idx="41" formatCode="#,##0">
                  <c:v>6</c:v>
                </c:pt>
                <c:pt idx="42" formatCode="#,##0">
                  <c:v>7</c:v>
                </c:pt>
                <c:pt idx="43" formatCode="#,##0">
                  <c:v>8</c:v>
                </c:pt>
                <c:pt idx="44" formatCode="#,##0">
                  <c:v>9</c:v>
                </c:pt>
                <c:pt idx="45" formatCode="#,##0">
                  <c:v>11</c:v>
                </c:pt>
                <c:pt idx="46" formatCode="#,##0">
                  <c:v>10</c:v>
                </c:pt>
                <c:pt idx="47" formatCode="#,##0">
                  <c:v>11</c:v>
                </c:pt>
                <c:pt idx="48" formatCode="#,##0">
                  <c:v>9</c:v>
                </c:pt>
                <c:pt idx="49" formatCode="#,##0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494528"/>
        <c:axId val="449495704"/>
      </c:lineChart>
      <c:catAx>
        <c:axId val="44949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929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4494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relative to 50y average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94136"/>
        <c:crosses val="autoZero"/>
        <c:crossBetween val="between"/>
      </c:valAx>
      <c:valAx>
        <c:axId val="4494957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Patents mentioning "Carbon mineralisation"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94528"/>
        <c:crosses val="max"/>
        <c:crossBetween val="between"/>
      </c:valAx>
      <c:catAx>
        <c:axId val="449494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9495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'Concrete compositions'!$F$1</c:f>
              <c:strCache>
                <c:ptCount val="1"/>
                <c:pt idx="0">
                  <c:v>on_topic_as_fraction_of_area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'Concrete compositions'!$A$2:$A$21</c:f>
              <c:numCache>
                <c:formatCode>General</c:formatCode>
                <c:ptCount val="1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</c:numCache>
            </c:numRef>
          </c:cat>
          <c:val>
            <c:numRef>
              <c:f>'Concrete compositions'!$F$2:$F$21</c:f>
              <c:numCache>
                <c:formatCode>0%</c:formatCode>
                <c:ptCount val="19"/>
                <c:pt idx="0">
                  <c:v>1.03564618632467</c:v>
                </c:pt>
                <c:pt idx="1">
                  <c:v>0.84147071313217403</c:v>
                </c:pt>
                <c:pt idx="2">
                  <c:v>1.08179544539787</c:v>
                </c:pt>
                <c:pt idx="3">
                  <c:v>1.0684405150444001</c:v>
                </c:pt>
                <c:pt idx="4">
                  <c:v>0.83965633207699097</c:v>
                </c:pt>
                <c:pt idx="5">
                  <c:v>0.82419392574210903</c:v>
                </c:pt>
                <c:pt idx="6">
                  <c:v>0.90457347572267099</c:v>
                </c:pt>
                <c:pt idx="7">
                  <c:v>1.2667993136843201</c:v>
                </c:pt>
                <c:pt idx="8">
                  <c:v>0.94652401890511295</c:v>
                </c:pt>
                <c:pt idx="9">
                  <c:v>1.0485492126718501</c:v>
                </c:pt>
                <c:pt idx="10">
                  <c:v>0.87728207612141995</c:v>
                </c:pt>
                <c:pt idx="11">
                  <c:v>0.98694236734767604</c:v>
                </c:pt>
                <c:pt idx="12">
                  <c:v>0.69994252176794303</c:v>
                </c:pt>
                <c:pt idx="13">
                  <c:v>0.99845966185521695</c:v>
                </c:pt>
                <c:pt idx="14">
                  <c:v>1.32467329999848</c:v>
                </c:pt>
                <c:pt idx="15">
                  <c:v>1.25136016214018</c:v>
                </c:pt>
                <c:pt idx="16">
                  <c:v>1.08234890941754</c:v>
                </c:pt>
                <c:pt idx="17">
                  <c:v>1.14154757317528</c:v>
                </c:pt>
                <c:pt idx="18">
                  <c:v>1.1312321708162001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'Concrete compositions'!$G$1</c:f>
              <c:strCache>
                <c:ptCount val="1"/>
                <c:pt idx="0">
                  <c:v>in_area_as_fraction_of_ww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'Concrete compositions'!$G$2:$G$21</c:f>
              <c:numCache>
                <c:formatCode>0%</c:formatCode>
                <c:ptCount val="19"/>
                <c:pt idx="0">
                  <c:v>0.89276246954206595</c:v>
                </c:pt>
                <c:pt idx="1">
                  <c:v>0.95058274794322195</c:v>
                </c:pt>
                <c:pt idx="2">
                  <c:v>1.02509634923814</c:v>
                </c:pt>
                <c:pt idx="3">
                  <c:v>0.91010088092666197</c:v>
                </c:pt>
                <c:pt idx="4">
                  <c:v>1.0803308717265301</c:v>
                </c:pt>
                <c:pt idx="5">
                  <c:v>0.87549154833559695</c:v>
                </c:pt>
                <c:pt idx="6">
                  <c:v>0.87058808260759502</c:v>
                </c:pt>
                <c:pt idx="7">
                  <c:v>0.80973539596993505</c:v>
                </c:pt>
                <c:pt idx="8">
                  <c:v>0.78918316657925802</c:v>
                </c:pt>
                <c:pt idx="9">
                  <c:v>0.88434541180503201</c:v>
                </c:pt>
                <c:pt idx="10">
                  <c:v>0.989774711494532</c:v>
                </c:pt>
                <c:pt idx="11">
                  <c:v>1.0684240179095299</c:v>
                </c:pt>
                <c:pt idx="12">
                  <c:v>1.0220368628754499</c:v>
                </c:pt>
                <c:pt idx="13">
                  <c:v>1.0286135653398101</c:v>
                </c:pt>
                <c:pt idx="14">
                  <c:v>1.06359029887017</c:v>
                </c:pt>
                <c:pt idx="15">
                  <c:v>0.97997988314038098</c:v>
                </c:pt>
                <c:pt idx="16">
                  <c:v>0.94501723570596696</c:v>
                </c:pt>
                <c:pt idx="17">
                  <c:v>1.14341839270233</c:v>
                </c:pt>
                <c:pt idx="18">
                  <c:v>1.27932125148371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'Concrete compositions'!$H$1</c:f>
              <c:strCache>
                <c:ptCount val="1"/>
                <c:pt idx="0">
                  <c:v>on_topic_as_fraction_of_ww</c:v>
                </c:pt>
              </c:strCache>
            </c:strRef>
          </c:tx>
          <c:spPr>
            <a:ln w="571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rgbClr val="00B05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val>
            <c:numRef>
              <c:f>'Concrete compositions'!$H$2:$H$21</c:f>
              <c:numCache>
                <c:formatCode>0%</c:formatCode>
                <c:ptCount val="19"/>
                <c:pt idx="0">
                  <c:v>0.929218817171241</c:v>
                </c:pt>
                <c:pt idx="1">
                  <c:v>0.80389546776891396</c:v>
                </c:pt>
                <c:pt idx="2">
                  <c:v>1.11450101422313</c:v>
                </c:pt>
                <c:pt idx="3">
                  <c:v>0.97726083190700097</c:v>
                </c:pt>
                <c:pt idx="4">
                  <c:v>0.911651806301503</c:v>
                </c:pt>
                <c:pt idx="5">
                  <c:v>0.72519032764646096</c:v>
                </c:pt>
                <c:pt idx="6">
                  <c:v>0.79145682797320904</c:v>
                </c:pt>
                <c:pt idx="7">
                  <c:v>1.0309119781306</c:v>
                </c:pt>
                <c:pt idx="8">
                  <c:v>0.75072361949588695</c:v>
                </c:pt>
                <c:pt idx="9">
                  <c:v>0.93192593411499802</c:v>
                </c:pt>
                <c:pt idx="10">
                  <c:v>0.87266234148690103</c:v>
                </c:pt>
                <c:pt idx="11">
                  <c:v>1.0597564329882101</c:v>
                </c:pt>
                <c:pt idx="12">
                  <c:v>0.71895145949004602</c:v>
                </c:pt>
                <c:pt idx="13">
                  <c:v>1.03217515637461</c:v>
                </c:pt>
                <c:pt idx="14">
                  <c:v>1.41596909039106</c:v>
                </c:pt>
                <c:pt idx="15">
                  <c:v>1.2324522814577601</c:v>
                </c:pt>
                <c:pt idx="16">
                  <c:v>1.0279634572556799</c:v>
                </c:pt>
                <c:pt idx="17">
                  <c:v>1.31180670650735</c:v>
                </c:pt>
                <c:pt idx="18">
                  <c:v>1.4544606352232501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731816"/>
        <c:axId val="342733384"/>
      </c:lineChart>
      <c:catAx>
        <c:axId val="34273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33384"/>
        <c:crosses val="autoZero"/>
        <c:auto val="1"/>
        <c:lblAlgn val="ctr"/>
        <c:lblOffset val="100"/>
        <c:noMultiLvlLbl val="0"/>
      </c:catAx>
      <c:valAx>
        <c:axId val="34273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relative to 20y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3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Fly-ash in Concrete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FInal!$R$21</c:f>
              <c:strCache>
                <c:ptCount val="1"/>
                <c:pt idx="0">
                  <c:v>Fly-ash in Concrete IP</c:v>
                </c:pt>
              </c:strCache>
            </c:strRef>
          </c:tx>
          <c:spPr>
            <a:ln w="571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Pt>
            <c:idx val="46"/>
            <c:marker>
              <c:symbol val="none"/>
            </c:marker>
            <c:bubble3D val="0"/>
            <c:spPr>
              <a:ln w="57150" cap="rnd">
                <a:solidFill>
                  <a:srgbClr val="00B050"/>
                </a:solidFill>
                <a:prstDash val="sysDot"/>
                <a:round/>
              </a:ln>
              <a:effectLst/>
            </c:spPr>
          </c:dPt>
          <c:cat>
            <c:numRef>
              <c:f>FInal!$A$22:$A$73</c:f>
              <c:numCache>
                <c:formatCode>General</c:formatCode>
                <c:ptCount val="52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</c:numCache>
            </c:numRef>
          </c:cat>
          <c:val>
            <c:numRef>
              <c:f>FInal!$R$22:$R$72</c:f>
              <c:numCache>
                <c:formatCode>General</c:formatCode>
                <c:ptCount val="51"/>
                <c:pt idx="1">
                  <c:v>4.8660589205053298E-2</c:v>
                </c:pt>
                <c:pt idx="2">
                  <c:v>4.8405290728424998E-2</c:v>
                </c:pt>
                <c:pt idx="3">
                  <c:v>9.0497630633778595E-2</c:v>
                </c:pt>
                <c:pt idx="4">
                  <c:v>0.11496317616624301</c:v>
                </c:pt>
                <c:pt idx="5">
                  <c:v>0.1400601294289</c:v>
                </c:pt>
                <c:pt idx="6">
                  <c:v>0.24772625303923401</c:v>
                </c:pt>
                <c:pt idx="7">
                  <c:v>0.15378642134357301</c:v>
                </c:pt>
                <c:pt idx="8">
                  <c:v>0.17905151382132201</c:v>
                </c:pt>
                <c:pt idx="9">
                  <c:v>0.15709572238793401</c:v>
                </c:pt>
                <c:pt idx="10">
                  <c:v>0.12525281778446001</c:v>
                </c:pt>
                <c:pt idx="11">
                  <c:v>0.141027138069379</c:v>
                </c:pt>
                <c:pt idx="12">
                  <c:v>9.8450204097926597E-2</c:v>
                </c:pt>
                <c:pt idx="13">
                  <c:v>0.116467441759807</c:v>
                </c:pt>
                <c:pt idx="14">
                  <c:v>0.200152471053195</c:v>
                </c:pt>
                <c:pt idx="15">
                  <c:v>0.45568607157465202</c:v>
                </c:pt>
                <c:pt idx="16">
                  <c:v>0.41819969559881598</c:v>
                </c:pt>
                <c:pt idx="17">
                  <c:v>0.40080660069473201</c:v>
                </c:pt>
                <c:pt idx="18">
                  <c:v>0.37416785703164601</c:v>
                </c:pt>
                <c:pt idx="19">
                  <c:v>0.48303831715601703</c:v>
                </c:pt>
                <c:pt idx="20">
                  <c:v>0.64916547773481903</c:v>
                </c:pt>
                <c:pt idx="21">
                  <c:v>0.52083145455058999</c:v>
                </c:pt>
                <c:pt idx="22">
                  <c:v>0.54217189465907001</c:v>
                </c:pt>
                <c:pt idx="23">
                  <c:v>0.99300901346619996</c:v>
                </c:pt>
                <c:pt idx="24">
                  <c:v>0.95437522897351201</c:v>
                </c:pt>
                <c:pt idx="25">
                  <c:v>0.82567172072122397</c:v>
                </c:pt>
                <c:pt idx="26">
                  <c:v>0.95127946914027794</c:v>
                </c:pt>
                <c:pt idx="27">
                  <c:v>1.0061165909451499</c:v>
                </c:pt>
                <c:pt idx="28">
                  <c:v>1.15410822541825</c:v>
                </c:pt>
                <c:pt idx="29">
                  <c:v>0.97473413049671997</c:v>
                </c:pt>
                <c:pt idx="30">
                  <c:v>1.0441964743513601</c:v>
                </c:pt>
                <c:pt idx="31">
                  <c:v>0.87213841886865895</c:v>
                </c:pt>
                <c:pt idx="32">
                  <c:v>1.0702087325071199</c:v>
                </c:pt>
                <c:pt idx="33">
                  <c:v>0.74066246654346901</c:v>
                </c:pt>
                <c:pt idx="34">
                  <c:v>0.88627994068882099</c:v>
                </c:pt>
                <c:pt idx="35">
                  <c:v>0.63705938894511904</c:v>
                </c:pt>
                <c:pt idx="36">
                  <c:v>0.64780331989907203</c:v>
                </c:pt>
                <c:pt idx="37">
                  <c:v>0.50744764486275395</c:v>
                </c:pt>
                <c:pt idx="38">
                  <c:v>0.70306654457935502</c:v>
                </c:pt>
                <c:pt idx="39">
                  <c:v>0.47712551121709801</c:v>
                </c:pt>
                <c:pt idx="40">
                  <c:v>0.70858322177616495</c:v>
                </c:pt>
                <c:pt idx="41">
                  <c:v>0.90332986768328105</c:v>
                </c:pt>
                <c:pt idx="42">
                  <c:v>1.05404875646839</c:v>
                </c:pt>
                <c:pt idx="43">
                  <c:v>1.32443927451885</c:v>
                </c:pt>
                <c:pt idx="44">
                  <c:v>1.6320641311432</c:v>
                </c:pt>
                <c:pt idx="45">
                  <c:v>1.53357657365911</c:v>
                </c:pt>
                <c:pt idx="46">
                  <c:v>2.0227987047131202</c:v>
                </c:pt>
                <c:pt idx="47">
                  <c:v>2.3787247548069099</c:v>
                </c:pt>
                <c:pt idx="48">
                  <c:v>3.2324157598559999</c:v>
                </c:pt>
                <c:pt idx="49">
                  <c:v>5.5514524156937197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FInal!$S$21</c:f>
              <c:strCache>
                <c:ptCount val="1"/>
                <c:pt idx="0">
                  <c:v>Fly-ash in Concrete Science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FInal!$K$22:$K$71</c:f>
              <c:numCache>
                <c:formatCode>General</c:formatCode>
                <c:ptCount val="50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</c:numCache>
            </c:numRef>
          </c:cat>
          <c:val>
            <c:numRef>
              <c:f>FInal!$S$22:$S$71</c:f>
              <c:numCache>
                <c:formatCode>General</c:formatCode>
                <c:ptCount val="50"/>
                <c:pt idx="0">
                  <c:v>4.2844120328167735E-2</c:v>
                </c:pt>
                <c:pt idx="1">
                  <c:v>0</c:v>
                </c:pt>
                <c:pt idx="2">
                  <c:v>4.2844120328167735E-2</c:v>
                </c:pt>
                <c:pt idx="3">
                  <c:v>8.5688240656335471E-2</c:v>
                </c:pt>
                <c:pt idx="4">
                  <c:v>0</c:v>
                </c:pt>
                <c:pt idx="5">
                  <c:v>4.2844120328167735E-2</c:v>
                </c:pt>
                <c:pt idx="6">
                  <c:v>4.2844120328167735E-2</c:v>
                </c:pt>
                <c:pt idx="7">
                  <c:v>4.2844120328167735E-2</c:v>
                </c:pt>
                <c:pt idx="8">
                  <c:v>4.2844120328167735E-2</c:v>
                </c:pt>
                <c:pt idx="9">
                  <c:v>4.2844120328167735E-2</c:v>
                </c:pt>
                <c:pt idx="10">
                  <c:v>8.5688240656335471E-2</c:v>
                </c:pt>
                <c:pt idx="11">
                  <c:v>0.17137648131267094</c:v>
                </c:pt>
                <c:pt idx="12">
                  <c:v>8.5688240656335471E-2</c:v>
                </c:pt>
                <c:pt idx="13">
                  <c:v>0.17137648131267094</c:v>
                </c:pt>
                <c:pt idx="14">
                  <c:v>0.38559708295350958</c:v>
                </c:pt>
                <c:pt idx="15">
                  <c:v>0.77119416590701917</c:v>
                </c:pt>
                <c:pt idx="16">
                  <c:v>0.47128532360984504</c:v>
                </c:pt>
                <c:pt idx="17">
                  <c:v>0.51412944393801274</c:v>
                </c:pt>
                <c:pt idx="18">
                  <c:v>0.59981768459434825</c:v>
                </c:pt>
                <c:pt idx="19">
                  <c:v>0.64266180492251601</c:v>
                </c:pt>
                <c:pt idx="20">
                  <c:v>0.59981768459434825</c:v>
                </c:pt>
                <c:pt idx="21">
                  <c:v>0.5569735642661805</c:v>
                </c:pt>
                <c:pt idx="22">
                  <c:v>0.51412944393801274</c:v>
                </c:pt>
                <c:pt idx="23">
                  <c:v>0.5569735642661805</c:v>
                </c:pt>
                <c:pt idx="24">
                  <c:v>0.47128532360984504</c:v>
                </c:pt>
                <c:pt idx="25">
                  <c:v>0.21422060164083867</c:v>
                </c:pt>
                <c:pt idx="26">
                  <c:v>0.17137648131267094</c:v>
                </c:pt>
                <c:pt idx="27">
                  <c:v>0.17137648131267094</c:v>
                </c:pt>
                <c:pt idx="28">
                  <c:v>0.21422060164083867</c:v>
                </c:pt>
                <c:pt idx="29">
                  <c:v>0.34275296262534188</c:v>
                </c:pt>
                <c:pt idx="30">
                  <c:v>0.77119416590701917</c:v>
                </c:pt>
                <c:pt idx="31">
                  <c:v>0.29990884229717413</c:v>
                </c:pt>
                <c:pt idx="32">
                  <c:v>0.42844120328167734</c:v>
                </c:pt>
                <c:pt idx="33">
                  <c:v>0.29990884229717413</c:v>
                </c:pt>
                <c:pt idx="34">
                  <c:v>0.51412944393801274</c:v>
                </c:pt>
                <c:pt idx="35">
                  <c:v>1.4567000911577028</c:v>
                </c:pt>
                <c:pt idx="36">
                  <c:v>1.7994530537830449</c:v>
                </c:pt>
                <c:pt idx="37">
                  <c:v>1.8422971741112124</c:v>
                </c:pt>
                <c:pt idx="38">
                  <c:v>2.0993618960802189</c:v>
                </c:pt>
                <c:pt idx="39">
                  <c:v>2.3564266180492255</c:v>
                </c:pt>
                <c:pt idx="40">
                  <c:v>2.6563354603463996</c:v>
                </c:pt>
                <c:pt idx="41">
                  <c:v>3.4703737465815863</c:v>
                </c:pt>
                <c:pt idx="42">
                  <c:v>3.8988149498632638</c:v>
                </c:pt>
                <c:pt idx="43">
                  <c:v>4.0273473108477669</c:v>
                </c:pt>
                <c:pt idx="44">
                  <c:v>5.3126709206927991</c:v>
                </c:pt>
                <c:pt idx="45">
                  <c:v>2.7848678213309026</c:v>
                </c:pt>
                <c:pt idx="46">
                  <c:v>2.8277119416590701</c:v>
                </c:pt>
                <c:pt idx="47">
                  <c:v>2.0136736554238834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494920"/>
        <c:axId val="4494937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FInal!$Q$21</c15:sqref>
                        </c15:formulaRef>
                      </c:ext>
                    </c:extLst>
                    <c:strCache>
                      <c:ptCount val="1"/>
                      <c:pt idx="0">
                        <c:v>Concrete share of worldwide R&amp;D (indexed)</c:v>
                      </c:pt>
                    </c:strCache>
                  </c:strRef>
                </c:tx>
                <c:spPr>
                  <a:ln w="12700" cap="rnd">
                    <a:solidFill>
                      <a:schemeClr val="bg1">
                        <a:lumMod val="75000"/>
                      </a:schemeClr>
                    </a:solidFill>
                    <a:prstDash val="lg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FInal!$A$22:$A$73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1965</c:v>
                      </c:pt>
                      <c:pt idx="1">
                        <c:v>1966</c:v>
                      </c:pt>
                      <c:pt idx="2">
                        <c:v>1967</c:v>
                      </c:pt>
                      <c:pt idx="3">
                        <c:v>1968</c:v>
                      </c:pt>
                      <c:pt idx="4">
                        <c:v>1969</c:v>
                      </c:pt>
                      <c:pt idx="5">
                        <c:v>1970</c:v>
                      </c:pt>
                      <c:pt idx="6">
                        <c:v>1971</c:v>
                      </c:pt>
                      <c:pt idx="7">
                        <c:v>1972</c:v>
                      </c:pt>
                      <c:pt idx="8">
                        <c:v>1973</c:v>
                      </c:pt>
                      <c:pt idx="9">
                        <c:v>1974</c:v>
                      </c:pt>
                      <c:pt idx="10">
                        <c:v>1975</c:v>
                      </c:pt>
                      <c:pt idx="11">
                        <c:v>1976</c:v>
                      </c:pt>
                      <c:pt idx="12">
                        <c:v>1977</c:v>
                      </c:pt>
                      <c:pt idx="13">
                        <c:v>1978</c:v>
                      </c:pt>
                      <c:pt idx="14">
                        <c:v>1979</c:v>
                      </c:pt>
                      <c:pt idx="15">
                        <c:v>1980</c:v>
                      </c:pt>
                      <c:pt idx="16">
                        <c:v>1981</c:v>
                      </c:pt>
                      <c:pt idx="17">
                        <c:v>1982</c:v>
                      </c:pt>
                      <c:pt idx="18">
                        <c:v>1983</c:v>
                      </c:pt>
                      <c:pt idx="19">
                        <c:v>1984</c:v>
                      </c:pt>
                      <c:pt idx="20">
                        <c:v>1985</c:v>
                      </c:pt>
                      <c:pt idx="21">
                        <c:v>1986</c:v>
                      </c:pt>
                      <c:pt idx="22">
                        <c:v>1987</c:v>
                      </c:pt>
                      <c:pt idx="23">
                        <c:v>1988</c:v>
                      </c:pt>
                      <c:pt idx="24">
                        <c:v>1989</c:v>
                      </c:pt>
                      <c:pt idx="25">
                        <c:v>1990</c:v>
                      </c:pt>
                      <c:pt idx="26">
                        <c:v>1991</c:v>
                      </c:pt>
                      <c:pt idx="27">
                        <c:v>1992</c:v>
                      </c:pt>
                      <c:pt idx="28">
                        <c:v>1993</c:v>
                      </c:pt>
                      <c:pt idx="29">
                        <c:v>1994</c:v>
                      </c:pt>
                      <c:pt idx="30">
                        <c:v>1995</c:v>
                      </c:pt>
                      <c:pt idx="31">
                        <c:v>1996</c:v>
                      </c:pt>
                      <c:pt idx="32">
                        <c:v>1997</c:v>
                      </c:pt>
                      <c:pt idx="33">
                        <c:v>1998</c:v>
                      </c:pt>
                      <c:pt idx="34">
                        <c:v>1999</c:v>
                      </c:pt>
                      <c:pt idx="35">
                        <c:v>2000</c:v>
                      </c:pt>
                      <c:pt idx="36">
                        <c:v>2001</c:v>
                      </c:pt>
                      <c:pt idx="37">
                        <c:v>2002</c:v>
                      </c:pt>
                      <c:pt idx="38">
                        <c:v>2003</c:v>
                      </c:pt>
                      <c:pt idx="39">
                        <c:v>2004</c:v>
                      </c:pt>
                      <c:pt idx="40">
                        <c:v>2005</c:v>
                      </c:pt>
                      <c:pt idx="41">
                        <c:v>2006</c:v>
                      </c:pt>
                      <c:pt idx="42">
                        <c:v>2007</c:v>
                      </c:pt>
                      <c:pt idx="43">
                        <c:v>2008</c:v>
                      </c:pt>
                      <c:pt idx="44">
                        <c:v>2009</c:v>
                      </c:pt>
                      <c:pt idx="45">
                        <c:v>2010</c:v>
                      </c:pt>
                      <c:pt idx="46">
                        <c:v>2011</c:v>
                      </c:pt>
                      <c:pt idx="47">
                        <c:v>2012</c:v>
                      </c:pt>
                      <c:pt idx="48">
                        <c:v>2013</c:v>
                      </c:pt>
                      <c:pt idx="49">
                        <c:v>2014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FInal!$Q$22:$Q$72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1">
                        <c:v>0.21714849166908701</c:v>
                      </c:pt>
                      <c:pt idx="2">
                        <c:v>0.204725145458267</c:v>
                      </c:pt>
                      <c:pt idx="3">
                        <c:v>0.20267683903431899</c:v>
                      </c:pt>
                      <c:pt idx="4">
                        <c:v>0.23891572177215101</c:v>
                      </c:pt>
                      <c:pt idx="5">
                        <c:v>0.29625773237632302</c:v>
                      </c:pt>
                      <c:pt idx="6">
                        <c:v>0.42906645783930503</c:v>
                      </c:pt>
                      <c:pt idx="7">
                        <c:v>0.60704202972810695</c:v>
                      </c:pt>
                      <c:pt idx="8">
                        <c:v>0.67081867928836203</c:v>
                      </c:pt>
                      <c:pt idx="9">
                        <c:v>0.70463837439109001</c:v>
                      </c:pt>
                      <c:pt idx="10">
                        <c:v>0.68704650469459405</c:v>
                      </c:pt>
                      <c:pt idx="11">
                        <c:v>0.79488807854579802</c:v>
                      </c:pt>
                      <c:pt idx="12">
                        <c:v>0.89711271799935</c:v>
                      </c:pt>
                      <c:pt idx="13">
                        <c:v>0.99037479355341196</c:v>
                      </c:pt>
                      <c:pt idx="14">
                        <c:v>0.94983996073410504</c:v>
                      </c:pt>
                      <c:pt idx="15">
                        <c:v>1.0263907648092301</c:v>
                      </c:pt>
                      <c:pt idx="16">
                        <c:v>1.1119859032396799</c:v>
                      </c:pt>
                      <c:pt idx="17">
                        <c:v>1.141466501297</c:v>
                      </c:pt>
                      <c:pt idx="18">
                        <c:v>1.2694298705545799</c:v>
                      </c:pt>
                      <c:pt idx="19">
                        <c:v>1.2963666245265499</c:v>
                      </c:pt>
                      <c:pt idx="20">
                        <c:v>1.3411833585671</c:v>
                      </c:pt>
                      <c:pt idx="21">
                        <c:v>1.4092731821984701</c:v>
                      </c:pt>
                      <c:pt idx="22">
                        <c:v>1.9123508625300301</c:v>
                      </c:pt>
                      <c:pt idx="23">
                        <c:v>1.7889980421343099</c:v>
                      </c:pt>
                      <c:pt idx="24">
                        <c:v>1.6546724964629</c:v>
                      </c:pt>
                      <c:pt idx="25">
                        <c:v>1.57026311663202</c:v>
                      </c:pt>
                      <c:pt idx="26">
                        <c:v>1.42265874485045</c:v>
                      </c:pt>
                      <c:pt idx="27">
                        <c:v>1.42259437236394</c:v>
                      </c:pt>
                      <c:pt idx="28">
                        <c:v>1.27600760780839</c:v>
                      </c:pt>
                      <c:pt idx="29">
                        <c:v>1.1411006220020199</c:v>
                      </c:pt>
                      <c:pt idx="30">
                        <c:v>0.99301258667312697</c:v>
                      </c:pt>
                      <c:pt idx="31">
                        <c:v>0.90763257413341902</c:v>
                      </c:pt>
                      <c:pt idx="32">
                        <c:v>0.84100539778348704</c:v>
                      </c:pt>
                      <c:pt idx="33">
                        <c:v>0.81778832965390802</c:v>
                      </c:pt>
                      <c:pt idx="34">
                        <c:v>0.77094760285154695</c:v>
                      </c:pt>
                      <c:pt idx="35">
                        <c:v>0.727390742759909</c:v>
                      </c:pt>
                      <c:pt idx="36">
                        <c:v>0.55664372266256501</c:v>
                      </c:pt>
                      <c:pt idx="37">
                        <c:v>0.52510711957987199</c:v>
                      </c:pt>
                      <c:pt idx="38">
                        <c:v>0.499064838705988</c:v>
                      </c:pt>
                      <c:pt idx="39">
                        <c:v>0.48725331383406001</c:v>
                      </c:pt>
                      <c:pt idx="40">
                        <c:v>0.54128222913903801</c:v>
                      </c:pt>
                      <c:pt idx="41">
                        <c:v>0.63241261850114705</c:v>
                      </c:pt>
                      <c:pt idx="42">
                        <c:v>0.65560445957519897</c:v>
                      </c:pt>
                      <c:pt idx="43">
                        <c:v>0.70115943294927296</c:v>
                      </c:pt>
                      <c:pt idx="44">
                        <c:v>0.84303513187517598</c:v>
                      </c:pt>
                      <c:pt idx="45">
                        <c:v>0.85219203109206398</c:v>
                      </c:pt>
                      <c:pt idx="46">
                        <c:v>0.89421404232955704</c:v>
                      </c:pt>
                      <c:pt idx="47">
                        <c:v>0.93871622108465003</c:v>
                      </c:pt>
                      <c:pt idx="48">
                        <c:v>1.02231807416916</c:v>
                      </c:pt>
                      <c:pt idx="49">
                        <c:v>1.64015510891626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2"/>
          <c:tx>
            <c:strRef>
              <c:f>FInal!$M$21</c:f>
              <c:strCache>
                <c:ptCount val="1"/>
                <c:pt idx="0">
                  <c:v>Absolute # on topic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FInal!$K$22:$K$71</c:f>
              <c:numCache>
                <c:formatCode>General</c:formatCode>
                <c:ptCount val="50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</c:numCache>
            </c:numRef>
          </c:cat>
          <c:val>
            <c:numRef>
              <c:f>FInal!$M$22:$M$72</c:f>
              <c:numCache>
                <c:formatCode>General</c:formatCode>
                <c:ptCount val="51"/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28</c:v>
                </c:pt>
                <c:pt idx="7">
                  <c:v>17</c:v>
                </c:pt>
                <c:pt idx="8">
                  <c:v>19</c:v>
                </c:pt>
                <c:pt idx="9">
                  <c:v>16</c:v>
                </c:pt>
                <c:pt idx="10">
                  <c:v>13</c:v>
                </c:pt>
                <c:pt idx="11">
                  <c:v>15</c:v>
                </c:pt>
                <c:pt idx="12">
                  <c:v>10</c:v>
                </c:pt>
                <c:pt idx="13">
                  <c:v>11</c:v>
                </c:pt>
                <c:pt idx="14">
                  <c:v>18</c:v>
                </c:pt>
                <c:pt idx="15">
                  <c:v>37</c:v>
                </c:pt>
                <c:pt idx="16">
                  <c:v>32</c:v>
                </c:pt>
                <c:pt idx="17">
                  <c:v>29</c:v>
                </c:pt>
                <c:pt idx="18">
                  <c:v>26</c:v>
                </c:pt>
                <c:pt idx="19">
                  <c:v>34</c:v>
                </c:pt>
                <c:pt idx="20">
                  <c:v>46</c:v>
                </c:pt>
                <c:pt idx="21">
                  <c:v>37</c:v>
                </c:pt>
                <c:pt idx="22">
                  <c:v>41</c:v>
                </c:pt>
                <c:pt idx="23">
                  <c:v>79</c:v>
                </c:pt>
                <c:pt idx="24">
                  <c:v>77</c:v>
                </c:pt>
                <c:pt idx="25">
                  <c:v>70</c:v>
                </c:pt>
                <c:pt idx="26">
                  <c:v>81</c:v>
                </c:pt>
                <c:pt idx="27">
                  <c:v>89</c:v>
                </c:pt>
                <c:pt idx="28">
                  <c:v>109</c:v>
                </c:pt>
                <c:pt idx="29">
                  <c:v>98</c:v>
                </c:pt>
                <c:pt idx="30">
                  <c:v>116</c:v>
                </c:pt>
                <c:pt idx="31">
                  <c:v>106</c:v>
                </c:pt>
                <c:pt idx="32">
                  <c:v>147</c:v>
                </c:pt>
                <c:pt idx="33">
                  <c:v>105</c:v>
                </c:pt>
                <c:pt idx="34">
                  <c:v>135</c:v>
                </c:pt>
                <c:pt idx="35">
                  <c:v>119</c:v>
                </c:pt>
                <c:pt idx="36">
                  <c:v>148</c:v>
                </c:pt>
                <c:pt idx="37">
                  <c:v>120</c:v>
                </c:pt>
                <c:pt idx="38">
                  <c:v>173</c:v>
                </c:pt>
                <c:pt idx="39">
                  <c:v>124</c:v>
                </c:pt>
                <c:pt idx="40">
                  <c:v>194</c:v>
                </c:pt>
                <c:pt idx="41">
                  <c:v>247</c:v>
                </c:pt>
                <c:pt idx="42">
                  <c:v>291</c:v>
                </c:pt>
                <c:pt idx="43">
                  <c:v>361</c:v>
                </c:pt>
                <c:pt idx="44">
                  <c:v>394</c:v>
                </c:pt>
                <c:pt idx="45">
                  <c:v>384</c:v>
                </c:pt>
                <c:pt idx="46">
                  <c:v>523</c:v>
                </c:pt>
                <c:pt idx="47">
                  <c:v>648</c:v>
                </c:pt>
                <c:pt idx="48">
                  <c:v>902</c:v>
                </c:pt>
                <c:pt idx="49">
                  <c:v>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128472"/>
        <c:axId val="451131608"/>
      </c:lineChart>
      <c:catAx>
        <c:axId val="44949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937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4494937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relative to 50y average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94920"/>
        <c:crosses val="autoZero"/>
        <c:crossBetween val="between"/>
      </c:valAx>
      <c:valAx>
        <c:axId val="4511316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Patents mentioning "Fly Ash"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28472"/>
        <c:crosses val="max"/>
        <c:crossBetween val="between"/>
      </c:valAx>
      <c:catAx>
        <c:axId val="451128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1131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FInal!$X$21</c:f>
              <c:strCache>
                <c:ptCount val="1"/>
                <c:pt idx="0">
                  <c:v># Families by Mineralisation companies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FInal!$U$22:$U$32</c:f>
              <c:numCache>
                <c:formatCode>General</c:formatCode>
                <c:ptCount val="11"/>
                <c:pt idx="0">
                  <c:v>1997</c:v>
                </c:pt>
                <c:pt idx="1">
                  <c:v>2004</c:v>
                </c:pt>
                <c:pt idx="2">
                  <c:v>2005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FInal!$X$22:$X$32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  <c:pt idx="5">
                  <c:v>9</c:v>
                </c:pt>
                <c:pt idx="6">
                  <c:v>4</c:v>
                </c:pt>
                <c:pt idx="7">
                  <c:v>7</c:v>
                </c:pt>
                <c:pt idx="8">
                  <c:v>3</c:v>
                </c:pt>
                <c:pt idx="9">
                  <c:v>12</c:v>
                </c:pt>
                <c:pt idx="10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FInal!$Y$21</c:f>
              <c:strCache>
                <c:ptCount val="1"/>
                <c:pt idx="0">
                  <c:v>Corrected # Families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FInal!$U$22:$U$32</c:f>
              <c:numCache>
                <c:formatCode>General</c:formatCode>
                <c:ptCount val="11"/>
                <c:pt idx="0">
                  <c:v>1997</c:v>
                </c:pt>
                <c:pt idx="1">
                  <c:v>2004</c:v>
                </c:pt>
                <c:pt idx="2">
                  <c:v>2005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FInal!$Z$22:$Z$32</c:f>
              <c:numCache>
                <c:formatCode>General</c:formatCode>
                <c:ptCount val="11"/>
                <c:pt idx="0">
                  <c:v>2.0775405736564592</c:v>
                </c:pt>
                <c:pt idx="1">
                  <c:v>1.4942660464931277</c:v>
                </c:pt>
                <c:pt idx="2">
                  <c:v>1.3416044399258522</c:v>
                </c:pt>
                <c:pt idx="3">
                  <c:v>7.6198592118107049</c:v>
                </c:pt>
                <c:pt idx="4">
                  <c:v>2.0994974567205889</c:v>
                </c:pt>
                <c:pt idx="5">
                  <c:v>8.6359684551651483</c:v>
                </c:pt>
                <c:pt idx="6">
                  <c:v>3.1627306151711077</c:v>
                </c:pt>
                <c:pt idx="7">
                  <c:v>4.9979046272814207</c:v>
                </c:pt>
                <c:pt idx="8">
                  <c:v>1.8574586500398127</c:v>
                </c:pt>
                <c:pt idx="9">
                  <c:v>8.5183416760506248</c:v>
                </c:pt>
                <c:pt idx="10">
                  <c:v>9.9701925788312575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136312"/>
        <c:axId val="45113670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FInal!$Z$21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FInal!$U$22:$U$32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1997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FInal!$Z$22:$Z$32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2.0775405736564592</c:v>
                      </c:pt>
                      <c:pt idx="1">
                        <c:v>1.4942660464931277</c:v>
                      </c:pt>
                      <c:pt idx="2">
                        <c:v>1.3416044399258522</c:v>
                      </c:pt>
                      <c:pt idx="3">
                        <c:v>7.6198592118107049</c:v>
                      </c:pt>
                      <c:pt idx="4">
                        <c:v>2.0994974567205889</c:v>
                      </c:pt>
                      <c:pt idx="5">
                        <c:v>8.6359684551651483</c:v>
                      </c:pt>
                      <c:pt idx="6">
                        <c:v>3.1627306151711077</c:v>
                      </c:pt>
                      <c:pt idx="7">
                        <c:v>4.9979046272814207</c:v>
                      </c:pt>
                      <c:pt idx="8">
                        <c:v>1.8574586500398127</c:v>
                      </c:pt>
                      <c:pt idx="9">
                        <c:v>8.5183416760506248</c:v>
                      </c:pt>
                      <c:pt idx="10">
                        <c:v>9.9701925788312575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5113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36704"/>
        <c:crosses val="autoZero"/>
        <c:auto val="1"/>
        <c:lblAlgn val="ctr"/>
        <c:lblOffset val="100"/>
        <c:noMultiLvlLbl val="0"/>
      </c:catAx>
      <c:valAx>
        <c:axId val="4511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Filing by Mineralisation players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3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Sheet1!$A$2:$A$48</c:f>
              <c:numCache>
                <c:formatCode>General</c:formatCode>
                <c:ptCount val="47"/>
                <c:pt idx="0">
                  <c:v>1953</c:v>
                </c:pt>
                <c:pt idx="1">
                  <c:v>1965</c:v>
                </c:pt>
                <c:pt idx="2">
                  <c:v>1967</c:v>
                </c:pt>
                <c:pt idx="3">
                  <c:v>1968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</c:numCache>
            </c:numRef>
          </c:cat>
          <c:val>
            <c:numRef>
              <c:f>Sheet1!$B$2:$B$48</c:f>
              <c:numCache>
                <c:formatCode>General</c:formatCode>
                <c:ptCount val="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9</c:v>
                </c:pt>
                <c:pt idx="14">
                  <c:v>18</c:v>
                </c:pt>
                <c:pt idx="15">
                  <c:v>11</c:v>
                </c:pt>
                <c:pt idx="16">
                  <c:v>12</c:v>
                </c:pt>
                <c:pt idx="17">
                  <c:v>14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13</c:v>
                </c:pt>
                <c:pt idx="23">
                  <c:v>11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8</c:v>
                </c:pt>
                <c:pt idx="29">
                  <c:v>18</c:v>
                </c:pt>
                <c:pt idx="30">
                  <c:v>7</c:v>
                </c:pt>
                <c:pt idx="31">
                  <c:v>10</c:v>
                </c:pt>
                <c:pt idx="32">
                  <c:v>7</c:v>
                </c:pt>
                <c:pt idx="33">
                  <c:v>12</c:v>
                </c:pt>
                <c:pt idx="34">
                  <c:v>34</c:v>
                </c:pt>
                <c:pt idx="35">
                  <c:v>42</c:v>
                </c:pt>
                <c:pt idx="36">
                  <c:v>43</c:v>
                </c:pt>
                <c:pt idx="37">
                  <c:v>49</c:v>
                </c:pt>
                <c:pt idx="38">
                  <c:v>55</c:v>
                </c:pt>
                <c:pt idx="39">
                  <c:v>62</c:v>
                </c:pt>
                <c:pt idx="40">
                  <c:v>81</c:v>
                </c:pt>
                <c:pt idx="41">
                  <c:v>91</c:v>
                </c:pt>
                <c:pt idx="42">
                  <c:v>94</c:v>
                </c:pt>
                <c:pt idx="43">
                  <c:v>124</c:v>
                </c:pt>
                <c:pt idx="44">
                  <c:v>65</c:v>
                </c:pt>
                <c:pt idx="45">
                  <c:v>66</c:v>
                </c:pt>
                <c:pt idx="46">
                  <c:v>47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nnn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Sheet1!$A$2:$A$48</c:f>
              <c:numCache>
                <c:formatCode>General</c:formatCode>
                <c:ptCount val="47"/>
                <c:pt idx="0">
                  <c:v>1953</c:v>
                </c:pt>
                <c:pt idx="1">
                  <c:v>1965</c:v>
                </c:pt>
                <c:pt idx="2">
                  <c:v>1967</c:v>
                </c:pt>
                <c:pt idx="3">
                  <c:v>1968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</c:numCache>
            </c:numRef>
          </c:cat>
          <c:val>
            <c:numRef>
              <c:f>Sheet1!$C$2:$C$48</c:f>
              <c:numCache>
                <c:formatCode>General</c:formatCode>
                <c:ptCount val="47"/>
                <c:pt idx="0">
                  <c:v>4.2844120328167735E-2</c:v>
                </c:pt>
                <c:pt idx="1">
                  <c:v>4.2844120328167735E-2</c:v>
                </c:pt>
                <c:pt idx="2">
                  <c:v>4.2844120328167735E-2</c:v>
                </c:pt>
                <c:pt idx="3">
                  <c:v>8.5688240656335471E-2</c:v>
                </c:pt>
                <c:pt idx="4">
                  <c:v>4.2844120328167735E-2</c:v>
                </c:pt>
                <c:pt idx="5">
                  <c:v>4.2844120328167735E-2</c:v>
                </c:pt>
                <c:pt idx="6">
                  <c:v>4.2844120328167735E-2</c:v>
                </c:pt>
                <c:pt idx="7">
                  <c:v>4.2844120328167735E-2</c:v>
                </c:pt>
                <c:pt idx="8">
                  <c:v>4.2844120328167735E-2</c:v>
                </c:pt>
                <c:pt idx="9">
                  <c:v>8.5688240656335471E-2</c:v>
                </c:pt>
                <c:pt idx="10">
                  <c:v>0.17137648131267094</c:v>
                </c:pt>
                <c:pt idx="11">
                  <c:v>8.5688240656335471E-2</c:v>
                </c:pt>
                <c:pt idx="12">
                  <c:v>0.17137648131267094</c:v>
                </c:pt>
                <c:pt idx="13">
                  <c:v>0.38559708295350958</c:v>
                </c:pt>
                <c:pt idx="14">
                  <c:v>0.77119416590701917</c:v>
                </c:pt>
                <c:pt idx="15">
                  <c:v>0.47128532360984504</c:v>
                </c:pt>
                <c:pt idx="16">
                  <c:v>0.51412944393801274</c:v>
                </c:pt>
                <c:pt idx="17">
                  <c:v>0.59981768459434825</c:v>
                </c:pt>
                <c:pt idx="18">
                  <c:v>0.64266180492251601</c:v>
                </c:pt>
                <c:pt idx="19">
                  <c:v>0.59981768459434825</c:v>
                </c:pt>
                <c:pt idx="20">
                  <c:v>0.5569735642661805</c:v>
                </c:pt>
                <c:pt idx="21">
                  <c:v>0.51412944393801274</c:v>
                </c:pt>
                <c:pt idx="22">
                  <c:v>0.5569735642661805</c:v>
                </c:pt>
                <c:pt idx="23">
                  <c:v>0.47128532360984504</c:v>
                </c:pt>
                <c:pt idx="24">
                  <c:v>0.21422060164083867</c:v>
                </c:pt>
                <c:pt idx="25">
                  <c:v>0.17137648131267094</c:v>
                </c:pt>
                <c:pt idx="26">
                  <c:v>0.17137648131267094</c:v>
                </c:pt>
                <c:pt idx="27">
                  <c:v>0.21422060164083867</c:v>
                </c:pt>
                <c:pt idx="28">
                  <c:v>0.34275296262534188</c:v>
                </c:pt>
                <c:pt idx="29">
                  <c:v>0.77119416590701917</c:v>
                </c:pt>
                <c:pt idx="30">
                  <c:v>0.29990884229717413</c:v>
                </c:pt>
                <c:pt idx="31">
                  <c:v>0.42844120328167734</c:v>
                </c:pt>
                <c:pt idx="32">
                  <c:v>0.29990884229717413</c:v>
                </c:pt>
                <c:pt idx="33">
                  <c:v>0.51412944393801274</c:v>
                </c:pt>
                <c:pt idx="34">
                  <c:v>1.4567000911577028</c:v>
                </c:pt>
                <c:pt idx="35">
                  <c:v>1.7994530537830449</c:v>
                </c:pt>
                <c:pt idx="36">
                  <c:v>1.8422971741112124</c:v>
                </c:pt>
                <c:pt idx="37">
                  <c:v>2.0993618960802189</c:v>
                </c:pt>
                <c:pt idx="38">
                  <c:v>2.3564266180492255</c:v>
                </c:pt>
                <c:pt idx="39">
                  <c:v>2.6563354603463996</c:v>
                </c:pt>
                <c:pt idx="40">
                  <c:v>3.4703737465815863</c:v>
                </c:pt>
                <c:pt idx="41">
                  <c:v>3.8988149498632638</c:v>
                </c:pt>
                <c:pt idx="42">
                  <c:v>4.0273473108477669</c:v>
                </c:pt>
                <c:pt idx="43">
                  <c:v>5.3126709206927991</c:v>
                </c:pt>
                <c:pt idx="44">
                  <c:v>2.7848678213309026</c:v>
                </c:pt>
                <c:pt idx="45">
                  <c:v>2.8277119416590701</c:v>
                </c:pt>
                <c:pt idx="46">
                  <c:v>2.0136736554238834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024368"/>
        <c:axId val="518014176"/>
      </c:lineChart>
      <c:catAx>
        <c:axId val="51802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14176"/>
        <c:crosses val="autoZero"/>
        <c:auto val="1"/>
        <c:lblAlgn val="ctr"/>
        <c:lblOffset val="100"/>
        <c:noMultiLvlLbl val="0"/>
      </c:catAx>
      <c:valAx>
        <c:axId val="51801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2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'Cement fillers'!$F$1</c:f>
              <c:strCache>
                <c:ptCount val="1"/>
                <c:pt idx="0">
                  <c:v>on_topic_as_fraction_of_area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'Cement fillers'!$A$2:$A$21</c:f>
              <c:numCache>
                <c:formatCode>General</c:formatCode>
                <c:ptCount val="1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</c:numCache>
            </c:numRef>
          </c:cat>
          <c:val>
            <c:numRef>
              <c:f>'Cement fillers'!$F$2:$F$21</c:f>
              <c:numCache>
                <c:formatCode>0%</c:formatCode>
                <c:ptCount val="19"/>
                <c:pt idx="0">
                  <c:v>1.1204068742839099</c:v>
                </c:pt>
                <c:pt idx="1">
                  <c:v>1.00634683149709</c:v>
                </c:pt>
                <c:pt idx="2">
                  <c:v>1.1044011799308799</c:v>
                </c:pt>
                <c:pt idx="3">
                  <c:v>1.40500739415424</c:v>
                </c:pt>
                <c:pt idx="4">
                  <c:v>0.73085370204704103</c:v>
                </c:pt>
                <c:pt idx="5">
                  <c:v>0.82403856871474601</c:v>
                </c:pt>
                <c:pt idx="6">
                  <c:v>0.77109084608675904</c:v>
                </c:pt>
                <c:pt idx="7">
                  <c:v>1.07021378302417</c:v>
                </c:pt>
                <c:pt idx="8">
                  <c:v>0.86506613569927204</c:v>
                </c:pt>
                <c:pt idx="9">
                  <c:v>1.0124646483137401</c:v>
                </c:pt>
                <c:pt idx="10">
                  <c:v>0.89738528824244801</c:v>
                </c:pt>
                <c:pt idx="11">
                  <c:v>0.82009984575983597</c:v>
                </c:pt>
                <c:pt idx="12">
                  <c:v>0.75237896524459802</c:v>
                </c:pt>
                <c:pt idx="13">
                  <c:v>0.921797434242564</c:v>
                </c:pt>
                <c:pt idx="14">
                  <c:v>1.2508143175328701</c:v>
                </c:pt>
                <c:pt idx="15">
                  <c:v>1.5461615778473701</c:v>
                </c:pt>
                <c:pt idx="16">
                  <c:v>1.01133893743489</c:v>
                </c:pt>
                <c:pt idx="17">
                  <c:v>1.23870791138602</c:v>
                </c:pt>
                <c:pt idx="18">
                  <c:v>1.0866751678069699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'Cement fillers'!$G$1</c:f>
              <c:strCache>
                <c:ptCount val="1"/>
                <c:pt idx="0">
                  <c:v>in_area_as_fraction_of_ww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'Cement fillers'!$G$2:$G$21</c:f>
              <c:numCache>
                <c:formatCode>0%</c:formatCode>
                <c:ptCount val="19"/>
                <c:pt idx="0">
                  <c:v>0.75936293730304405</c:v>
                </c:pt>
                <c:pt idx="1">
                  <c:v>0.79235754106073297</c:v>
                </c:pt>
                <c:pt idx="2">
                  <c:v>0.80847918156441501</c:v>
                </c:pt>
                <c:pt idx="3">
                  <c:v>0.84075746746746605</c:v>
                </c:pt>
                <c:pt idx="4">
                  <c:v>0.93042107438059396</c:v>
                </c:pt>
                <c:pt idx="5">
                  <c:v>0.85193496822164705</c:v>
                </c:pt>
                <c:pt idx="6">
                  <c:v>0.96195045166405702</c:v>
                </c:pt>
                <c:pt idx="7">
                  <c:v>1.0011653650321299</c:v>
                </c:pt>
                <c:pt idx="8">
                  <c:v>0.99322574168744504</c:v>
                </c:pt>
                <c:pt idx="9">
                  <c:v>1.15596048407471</c:v>
                </c:pt>
                <c:pt idx="10">
                  <c:v>1.3633914991101199</c:v>
                </c:pt>
                <c:pt idx="11">
                  <c:v>1.3803629890748299</c:v>
                </c:pt>
                <c:pt idx="12">
                  <c:v>1.2955598571928499</c:v>
                </c:pt>
                <c:pt idx="13">
                  <c:v>1.2815485441612899</c:v>
                </c:pt>
                <c:pt idx="14">
                  <c:v>1.06117567601083</c:v>
                </c:pt>
                <c:pt idx="15">
                  <c:v>0.894043217278085</c:v>
                </c:pt>
                <c:pt idx="16">
                  <c:v>0.79201179227423502</c:v>
                </c:pt>
                <c:pt idx="17">
                  <c:v>0.77207152503562004</c:v>
                </c:pt>
                <c:pt idx="18">
                  <c:v>1.0285353459388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'Cement fillers'!$H$1</c:f>
              <c:strCache>
                <c:ptCount val="1"/>
                <c:pt idx="0">
                  <c:v>on_topic_as_fraction_of_ww</c:v>
                </c:pt>
              </c:strCache>
            </c:strRef>
          </c:tx>
          <c:spPr>
            <a:ln w="571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rgbClr val="00B05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val>
            <c:numRef>
              <c:f>'Cement fillers'!$H$2:$H$21</c:f>
              <c:numCache>
                <c:formatCode>0%</c:formatCode>
                <c:ptCount val="19"/>
                <c:pt idx="0">
                  <c:v>0.86690354450346396</c:v>
                </c:pt>
                <c:pt idx="1">
                  <c:v>0.81248334494991803</c:v>
                </c:pt>
                <c:pt idx="2">
                  <c:v>0.90979030343839795</c:v>
                </c:pt>
                <c:pt idx="3">
                  <c:v>1.20363540873875</c:v>
                </c:pt>
                <c:pt idx="4">
                  <c:v>0.69287610909441599</c:v>
                </c:pt>
                <c:pt idx="5">
                  <c:v>0.71531869208020005</c:v>
                </c:pt>
                <c:pt idx="6">
                  <c:v>0.75579477154830599</c:v>
                </c:pt>
                <c:pt idx="7">
                  <c:v>1.0917468200942</c:v>
                </c:pt>
                <c:pt idx="8">
                  <c:v>0.87547323980246095</c:v>
                </c:pt>
                <c:pt idx="9">
                  <c:v>1.19252777072661</c:v>
                </c:pt>
                <c:pt idx="10">
                  <c:v>1.24665173900888</c:v>
                </c:pt>
                <c:pt idx="11">
                  <c:v>1.1534682211258001</c:v>
                </c:pt>
                <c:pt idx="12">
                  <c:v>0.99320694418947097</c:v>
                </c:pt>
                <c:pt idx="13">
                  <c:v>1.2036943048002</c:v>
                </c:pt>
                <c:pt idx="14">
                  <c:v>1.35246400507512</c:v>
                </c:pt>
                <c:pt idx="15">
                  <c:v>1.40850695030034</c:v>
                </c:pt>
                <c:pt idx="16">
                  <c:v>0.81615750411353205</c:v>
                </c:pt>
                <c:pt idx="17">
                  <c:v>0.97447807623560301</c:v>
                </c:pt>
                <c:pt idx="18">
                  <c:v>1.1388449657803501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732208"/>
        <c:axId val="342734168"/>
      </c:lineChart>
      <c:catAx>
        <c:axId val="34273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34168"/>
        <c:crosses val="autoZero"/>
        <c:auto val="1"/>
        <c:lblAlgn val="ctr"/>
        <c:lblOffset val="100"/>
        <c:noMultiLvlLbl val="0"/>
      </c:catAx>
      <c:valAx>
        <c:axId val="34273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relative to 20y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3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'Lime &amp; Cements'!$F$1</c:f>
              <c:strCache>
                <c:ptCount val="1"/>
                <c:pt idx="0">
                  <c:v>on_topic_as_fraction_of_area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'Lime &amp; Cements'!$A$2:$A$21</c:f>
              <c:numCache>
                <c:formatCode>General</c:formatCode>
                <c:ptCount val="1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</c:numCache>
            </c:numRef>
          </c:cat>
          <c:val>
            <c:numRef>
              <c:f>'Lime &amp; Cements'!$F$2:$F$21</c:f>
              <c:numCache>
                <c:formatCode>0%</c:formatCode>
                <c:ptCount val="19"/>
                <c:pt idx="0">
                  <c:v>0.93953445639065902</c:v>
                </c:pt>
                <c:pt idx="1">
                  <c:v>0.886973084529603</c:v>
                </c:pt>
                <c:pt idx="2">
                  <c:v>0.51717488099431896</c:v>
                </c:pt>
                <c:pt idx="3">
                  <c:v>1.42972624624555</c:v>
                </c:pt>
                <c:pt idx="4">
                  <c:v>1.35710524423006</c:v>
                </c:pt>
                <c:pt idx="5">
                  <c:v>0.63697248077297697</c:v>
                </c:pt>
                <c:pt idx="6">
                  <c:v>1.1744180442380401</c:v>
                </c:pt>
                <c:pt idx="7">
                  <c:v>1.1339208847817099</c:v>
                </c:pt>
                <c:pt idx="8">
                  <c:v>0.92529903015685599</c:v>
                </c:pt>
                <c:pt idx="9">
                  <c:v>0.64902047049966405</c:v>
                </c:pt>
                <c:pt idx="10">
                  <c:v>0.93669596023816404</c:v>
                </c:pt>
                <c:pt idx="11">
                  <c:v>0.89608770956261197</c:v>
                </c:pt>
                <c:pt idx="12">
                  <c:v>1.02840932179231</c:v>
                </c:pt>
                <c:pt idx="13">
                  <c:v>1.0453611278383801</c:v>
                </c:pt>
                <c:pt idx="14">
                  <c:v>0.95989585985706205</c:v>
                </c:pt>
                <c:pt idx="15">
                  <c:v>1.2457915275620199</c:v>
                </c:pt>
                <c:pt idx="16">
                  <c:v>0.92602983817747397</c:v>
                </c:pt>
                <c:pt idx="17">
                  <c:v>0.92514331344786505</c:v>
                </c:pt>
                <c:pt idx="18">
                  <c:v>1.76162701385648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'Lime &amp; Cements'!$G$1</c:f>
              <c:strCache>
                <c:ptCount val="1"/>
                <c:pt idx="0">
                  <c:v>in_area_as_fraction_of_ww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'Lime &amp; Cements'!$G$2:$G$21</c:f>
              <c:numCache>
                <c:formatCode>0%</c:formatCode>
                <c:ptCount val="19"/>
                <c:pt idx="0">
                  <c:v>0.858565529306897</c:v>
                </c:pt>
                <c:pt idx="1">
                  <c:v>0.91791846115406694</c:v>
                </c:pt>
                <c:pt idx="2">
                  <c:v>0.67900579835375496</c:v>
                </c:pt>
                <c:pt idx="3">
                  <c:v>0.79347363829323603</c:v>
                </c:pt>
                <c:pt idx="4">
                  <c:v>0.71162720915620303</c:v>
                </c:pt>
                <c:pt idx="5">
                  <c:v>0.89681283212148299</c:v>
                </c:pt>
                <c:pt idx="6">
                  <c:v>0.78125663090386599</c:v>
                </c:pt>
                <c:pt idx="7">
                  <c:v>0.81293701431988297</c:v>
                </c:pt>
                <c:pt idx="8">
                  <c:v>0.89017424031043801</c:v>
                </c:pt>
                <c:pt idx="9">
                  <c:v>1.28392900317849</c:v>
                </c:pt>
                <c:pt idx="10">
                  <c:v>1.3454251101844801</c:v>
                </c:pt>
                <c:pt idx="11">
                  <c:v>1.36633579810248</c:v>
                </c:pt>
                <c:pt idx="12">
                  <c:v>1.37247896090173</c:v>
                </c:pt>
                <c:pt idx="13">
                  <c:v>1.2857202903340901</c:v>
                </c:pt>
                <c:pt idx="14">
                  <c:v>1.04341417422337</c:v>
                </c:pt>
                <c:pt idx="15">
                  <c:v>0.99748235937407603</c:v>
                </c:pt>
                <c:pt idx="16">
                  <c:v>1.1499303654447799</c:v>
                </c:pt>
                <c:pt idx="17">
                  <c:v>1.0052493993143901</c:v>
                </c:pt>
                <c:pt idx="18">
                  <c:v>1.0551872834960601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'Lime &amp; Cements'!$H$1</c:f>
              <c:strCache>
                <c:ptCount val="1"/>
                <c:pt idx="0">
                  <c:v>on_topic_as_fraction_of_ww</c:v>
                </c:pt>
              </c:strCache>
            </c:strRef>
          </c:tx>
          <c:spPr>
            <a:ln w="571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rgbClr val="00B05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val>
            <c:numRef>
              <c:f>'Lime &amp; Cements'!$H$2:$H$21</c:f>
              <c:numCache>
                <c:formatCode>0%</c:formatCode>
                <c:ptCount val="19"/>
                <c:pt idx="0">
                  <c:v>0.80874126151667103</c:v>
                </c:pt>
                <c:pt idx="1">
                  <c:v>0.81627775578304596</c:v>
                </c:pt>
                <c:pt idx="2">
                  <c:v>0.35207433785472098</c:v>
                </c:pt>
                <c:pt idx="3">
                  <c:v>1.13738861342801</c:v>
                </c:pt>
                <c:pt idx="4">
                  <c:v>0.96825451242923699</c:v>
                </c:pt>
                <c:pt idx="5">
                  <c:v>0.57272470809439302</c:v>
                </c:pt>
                <c:pt idx="6">
                  <c:v>0.91989841605214195</c:v>
                </c:pt>
                <c:pt idx="7">
                  <c:v>0.92419383028425095</c:v>
                </c:pt>
                <c:pt idx="8">
                  <c:v>0.82581082649801796</c:v>
                </c:pt>
                <c:pt idx="9">
                  <c:v>0.83545460317000697</c:v>
                </c:pt>
                <c:pt idx="10">
                  <c:v>1.2635184454647601</c:v>
                </c:pt>
                <c:pt idx="11">
                  <c:v>1.22752797926312</c:v>
                </c:pt>
                <c:pt idx="12">
                  <c:v>1.41512612450464</c:v>
                </c:pt>
                <c:pt idx="13">
                  <c:v>1.3475231882419301</c:v>
                </c:pt>
                <c:pt idx="14">
                  <c:v>1.0041632052166201</c:v>
                </c:pt>
                <c:pt idx="15">
                  <c:v>1.2458736368538601</c:v>
                </c:pt>
                <c:pt idx="16">
                  <c:v>1.0676280371204101</c:v>
                </c:pt>
                <c:pt idx="17">
                  <c:v>0.93240859344221005</c:v>
                </c:pt>
                <c:pt idx="18">
                  <c:v>1.86366115566503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734952"/>
        <c:axId val="342735736"/>
      </c:lineChart>
      <c:catAx>
        <c:axId val="34273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35736"/>
        <c:crosses val="autoZero"/>
        <c:auto val="1"/>
        <c:lblAlgn val="ctr"/>
        <c:lblOffset val="100"/>
        <c:noMultiLvlLbl val="0"/>
      </c:catAx>
      <c:valAx>
        <c:axId val="34273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relative to 20y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3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Attributes!$F$1</c:f>
              <c:strCache>
                <c:ptCount val="1"/>
                <c:pt idx="0">
                  <c:v>on_topic_as_fraction_of_area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Attributes!$A$2:$A$21</c:f>
              <c:numCache>
                <c:formatCode>General</c:formatCode>
                <c:ptCount val="1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</c:numCache>
            </c:numRef>
          </c:cat>
          <c:val>
            <c:numRef>
              <c:f>Attributes!$F$2:$F$21</c:f>
              <c:numCache>
                <c:formatCode>0%</c:formatCode>
                <c:ptCount val="19"/>
                <c:pt idx="0">
                  <c:v>0.73893021763834599</c:v>
                </c:pt>
                <c:pt idx="1">
                  <c:v>1.3131152446307399</c:v>
                </c:pt>
                <c:pt idx="2">
                  <c:v>0.90508508012343603</c:v>
                </c:pt>
                <c:pt idx="3">
                  <c:v>1.4616794217088001</c:v>
                </c:pt>
                <c:pt idx="4">
                  <c:v>1.17105311363661</c:v>
                </c:pt>
                <c:pt idx="5">
                  <c:v>0.59245584777168703</c:v>
                </c:pt>
                <c:pt idx="6">
                  <c:v>0.68112273105165499</c:v>
                </c:pt>
                <c:pt idx="7">
                  <c:v>1.1171552760949299</c:v>
                </c:pt>
                <c:pt idx="8">
                  <c:v>1.08243285471188</c:v>
                </c:pt>
                <c:pt idx="9">
                  <c:v>0.72780403016782302</c:v>
                </c:pt>
                <c:pt idx="10">
                  <c:v>1.0853662519240299</c:v>
                </c:pt>
                <c:pt idx="11">
                  <c:v>1.04093610101032</c:v>
                </c:pt>
                <c:pt idx="12">
                  <c:v>0.67043340342873403</c:v>
                </c:pt>
                <c:pt idx="13">
                  <c:v>1.01669640955165</c:v>
                </c:pt>
                <c:pt idx="14">
                  <c:v>1.6400498652659701</c:v>
                </c:pt>
                <c:pt idx="15">
                  <c:v>1.5065110808478801</c:v>
                </c:pt>
                <c:pt idx="16">
                  <c:v>0.53939414033392197</c:v>
                </c:pt>
                <c:pt idx="17">
                  <c:v>1.07661330630088</c:v>
                </c:pt>
                <c:pt idx="18">
                  <c:v>0.80909121050088195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Attributes!$G$1</c:f>
              <c:strCache>
                <c:ptCount val="1"/>
                <c:pt idx="0">
                  <c:v>in_area_as_fraction_of_ww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Attributes!$G$2:$G$21</c:f>
              <c:numCache>
                <c:formatCode>0%</c:formatCode>
                <c:ptCount val="19"/>
                <c:pt idx="0">
                  <c:v>1.38627648571781</c:v>
                </c:pt>
                <c:pt idx="1">
                  <c:v>1.5747397625452</c:v>
                </c:pt>
                <c:pt idx="2">
                  <c:v>1.4781206287686499</c:v>
                </c:pt>
                <c:pt idx="3">
                  <c:v>1.2671992208528</c:v>
                </c:pt>
                <c:pt idx="4">
                  <c:v>1.36950047787384</c:v>
                </c:pt>
                <c:pt idx="5">
                  <c:v>1.37748257076443</c:v>
                </c:pt>
                <c:pt idx="6">
                  <c:v>0.78952535984661198</c:v>
                </c:pt>
                <c:pt idx="7">
                  <c:v>0.89814493214593805</c:v>
                </c:pt>
                <c:pt idx="8">
                  <c:v>0.66899434752977405</c:v>
                </c:pt>
                <c:pt idx="9">
                  <c:v>0.726979398489768</c:v>
                </c:pt>
                <c:pt idx="10">
                  <c:v>1.20642071089897</c:v>
                </c:pt>
                <c:pt idx="11">
                  <c:v>1.6294445979110499</c:v>
                </c:pt>
                <c:pt idx="12">
                  <c:v>1.5843072070602999</c:v>
                </c:pt>
                <c:pt idx="13">
                  <c:v>1.61658389310364</c:v>
                </c:pt>
                <c:pt idx="14">
                  <c:v>1.0575222140229701</c:v>
                </c:pt>
                <c:pt idx="15">
                  <c:v>0.42553841038333801</c:v>
                </c:pt>
                <c:pt idx="16">
                  <c:v>0.31337722883034502</c:v>
                </c:pt>
                <c:pt idx="17">
                  <c:v>0.329087542693279</c:v>
                </c:pt>
                <c:pt idx="18">
                  <c:v>0.22018983691510499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Attributes!$H$1</c:f>
              <c:strCache>
                <c:ptCount val="1"/>
                <c:pt idx="0">
                  <c:v>on_topic_as_fraction_of_ww</c:v>
                </c:pt>
              </c:strCache>
            </c:strRef>
          </c:tx>
          <c:spPr>
            <a:ln w="571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rgbClr val="00B05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val>
            <c:numRef>
              <c:f>Attributes!$H$2:$H$21</c:f>
              <c:numCache>
                <c:formatCode>0%</c:formatCode>
                <c:ptCount val="19"/>
                <c:pt idx="0">
                  <c:v>1.0066883318380699</c:v>
                </c:pt>
                <c:pt idx="1">
                  <c:v>2.0321389086658299</c:v>
                </c:pt>
                <c:pt idx="2">
                  <c:v>1.31474351072928</c:v>
                </c:pt>
                <c:pt idx="3">
                  <c:v>1.82028237754323</c:v>
                </c:pt>
                <c:pt idx="4">
                  <c:v>1.5760882431391701</c:v>
                </c:pt>
                <c:pt idx="5">
                  <c:v>0.80201757535630203</c:v>
                </c:pt>
                <c:pt idx="6">
                  <c:v>0.52848564321419</c:v>
                </c:pt>
                <c:pt idx="7">
                  <c:v>0.98605630318659998</c:v>
                </c:pt>
                <c:pt idx="8">
                  <c:v>0.711647885242784</c:v>
                </c:pt>
                <c:pt idx="9">
                  <c:v>0.51997000821647499</c:v>
                </c:pt>
                <c:pt idx="10">
                  <c:v>1.2868171620781199</c:v>
                </c:pt>
                <c:pt idx="11">
                  <c:v>1.66688406364164</c:v>
                </c:pt>
                <c:pt idx="12">
                  <c:v>1.0438468586241001</c:v>
                </c:pt>
                <c:pt idx="13">
                  <c:v>1.6152184855862299</c:v>
                </c:pt>
                <c:pt idx="14">
                  <c:v>1.70446577355854</c:v>
                </c:pt>
                <c:pt idx="15">
                  <c:v>0.63001782174168697</c:v>
                </c:pt>
                <c:pt idx="16">
                  <c:v>0.166117511689822</c:v>
                </c:pt>
                <c:pt idx="17">
                  <c:v>0.34818730937740699</c:v>
                </c:pt>
                <c:pt idx="18">
                  <c:v>0.17507997976745099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514816"/>
        <c:axId val="342514424"/>
      </c:lineChart>
      <c:catAx>
        <c:axId val="34251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14424"/>
        <c:crosses val="autoZero"/>
        <c:auto val="1"/>
        <c:lblAlgn val="ctr"/>
        <c:lblOffset val="100"/>
        <c:noMultiLvlLbl val="0"/>
      </c:catAx>
      <c:valAx>
        <c:axId val="34251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relative to 20y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1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'After treatment'!$F$1</c:f>
              <c:strCache>
                <c:ptCount val="1"/>
                <c:pt idx="0">
                  <c:v>on_topic_as_fraction_of_area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'After treatment'!$A$2:$A$21</c:f>
              <c:numCache>
                <c:formatCode>General</c:formatCode>
                <c:ptCount val="1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</c:numCache>
            </c:numRef>
          </c:cat>
          <c:val>
            <c:numRef>
              <c:f>'After treatment'!$F$2:$F$21</c:f>
              <c:numCache>
                <c:formatCode>0%</c:formatCode>
                <c:ptCount val="19"/>
                <c:pt idx="0">
                  <c:v>1.5860899111767599</c:v>
                </c:pt>
                <c:pt idx="1">
                  <c:v>1.70002342173453</c:v>
                </c:pt>
                <c:pt idx="2">
                  <c:v>1.2956489303874399</c:v>
                </c:pt>
                <c:pt idx="3">
                  <c:v>1.21319850497087</c:v>
                </c:pt>
                <c:pt idx="4">
                  <c:v>1.33710638715053</c:v>
                </c:pt>
                <c:pt idx="5">
                  <c:v>0.97427447940103096</c:v>
                </c:pt>
                <c:pt idx="6">
                  <c:v>0.894209593938039</c:v>
                </c:pt>
                <c:pt idx="7">
                  <c:v>0.99458384530852595</c:v>
                </c:pt>
                <c:pt idx="8">
                  <c:v>1.4617577715388701</c:v>
                </c:pt>
                <c:pt idx="9">
                  <c:v>0.75640714615377302</c:v>
                </c:pt>
                <c:pt idx="10">
                  <c:v>0.99573233097518199</c:v>
                </c:pt>
                <c:pt idx="11">
                  <c:v>0.72385121814855802</c:v>
                </c:pt>
                <c:pt idx="12">
                  <c:v>0.76423430236505496</c:v>
                </c:pt>
                <c:pt idx="13">
                  <c:v>0.82124205313656795</c:v>
                </c:pt>
                <c:pt idx="14">
                  <c:v>0.871806857446075</c:v>
                </c:pt>
                <c:pt idx="15">
                  <c:v>0.80338897500109396</c:v>
                </c:pt>
                <c:pt idx="16">
                  <c:v>0.83800209659821501</c:v>
                </c:pt>
                <c:pt idx="17">
                  <c:v>0.72219778426857795</c:v>
                </c:pt>
                <c:pt idx="18">
                  <c:v>0.79401859853833801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'After treatment'!$G$1</c:f>
              <c:strCache>
                <c:ptCount val="1"/>
                <c:pt idx="0">
                  <c:v>in_area_as_fraction_of_ww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'After treatment'!$G$2:$G$21</c:f>
              <c:numCache>
                <c:formatCode>0%</c:formatCode>
                <c:ptCount val="19"/>
                <c:pt idx="0">
                  <c:v>1.6952157762758999</c:v>
                </c:pt>
                <c:pt idx="1">
                  <c:v>1.7293716094931699</c:v>
                </c:pt>
                <c:pt idx="2">
                  <c:v>1.46805924127414</c:v>
                </c:pt>
                <c:pt idx="3">
                  <c:v>1.44712312407088</c:v>
                </c:pt>
                <c:pt idx="4">
                  <c:v>1.43524179339461</c:v>
                </c:pt>
                <c:pt idx="5">
                  <c:v>1.2520211049377901</c:v>
                </c:pt>
                <c:pt idx="6">
                  <c:v>0.82214871676283396</c:v>
                </c:pt>
                <c:pt idx="7">
                  <c:v>0.77233347584630996</c:v>
                </c:pt>
                <c:pt idx="8">
                  <c:v>0.794634985492228</c:v>
                </c:pt>
                <c:pt idx="9">
                  <c:v>0.91801630839366699</c:v>
                </c:pt>
                <c:pt idx="10">
                  <c:v>1.00674340103367</c:v>
                </c:pt>
                <c:pt idx="11">
                  <c:v>1.05712549190571</c:v>
                </c:pt>
                <c:pt idx="12">
                  <c:v>1.0545319869027201</c:v>
                </c:pt>
                <c:pt idx="13">
                  <c:v>0.85868401806574801</c:v>
                </c:pt>
                <c:pt idx="14">
                  <c:v>0.87031106300903804</c:v>
                </c:pt>
                <c:pt idx="15">
                  <c:v>0.72502645433830404</c:v>
                </c:pt>
                <c:pt idx="16">
                  <c:v>0.595635452097945</c:v>
                </c:pt>
                <c:pt idx="17">
                  <c:v>0.50077202353004102</c:v>
                </c:pt>
                <c:pt idx="18">
                  <c:v>0.51531362885233201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'After treatment'!$H$1</c:f>
              <c:strCache>
                <c:ptCount val="1"/>
                <c:pt idx="0">
                  <c:v>on_topic_as_fraction_of_ww</c:v>
                </c:pt>
              </c:strCache>
            </c:strRef>
          </c:tx>
          <c:spPr>
            <a:ln w="571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rgbClr val="00B05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val>
            <c:numRef>
              <c:f>'After treatment'!$H$2:$H$21</c:f>
              <c:numCache>
                <c:formatCode>0%</c:formatCode>
                <c:ptCount val="19"/>
                <c:pt idx="0">
                  <c:v>2.4563443863541399</c:v>
                </c:pt>
                <c:pt idx="1">
                  <c:v>2.6858373635322699</c:v>
                </c:pt>
                <c:pt idx="2">
                  <c:v>1.7376702428670101</c:v>
                </c:pt>
                <c:pt idx="3">
                  <c:v>1.60388720008272</c:v>
                </c:pt>
                <c:pt idx="4">
                  <c:v>1.75318415973074</c:v>
                </c:pt>
                <c:pt idx="5">
                  <c:v>1.11437014359074</c:v>
                </c:pt>
                <c:pt idx="6">
                  <c:v>0.67162399723255395</c:v>
                </c:pt>
                <c:pt idx="7">
                  <c:v>0.70175049640244302</c:v>
                </c:pt>
                <c:pt idx="8">
                  <c:v>1.0611568071275901</c:v>
                </c:pt>
                <c:pt idx="9">
                  <c:v>0.63436982945010401</c:v>
                </c:pt>
                <c:pt idx="10">
                  <c:v>0.915794147609723</c:v>
                </c:pt>
                <c:pt idx="11">
                  <c:v>0.69905657820516698</c:v>
                </c:pt>
                <c:pt idx="12">
                  <c:v>0.73624567274590202</c:v>
                </c:pt>
                <c:pt idx="13">
                  <c:v>0.64423017956565298</c:v>
                </c:pt>
                <c:pt idx="14">
                  <c:v>0.693156443506736</c:v>
                </c:pt>
                <c:pt idx="15">
                  <c:v>0.53212810264428601</c:v>
                </c:pt>
                <c:pt idx="16">
                  <c:v>0.45599718947616602</c:v>
                </c:pt>
                <c:pt idx="17">
                  <c:v>0.330394431994041</c:v>
                </c:pt>
                <c:pt idx="18">
                  <c:v>0.373799555864821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516384"/>
        <c:axId val="342512856"/>
      </c:lineChart>
      <c:catAx>
        <c:axId val="34251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12856"/>
        <c:crosses val="autoZero"/>
        <c:auto val="1"/>
        <c:lblAlgn val="ctr"/>
        <c:lblOffset val="100"/>
        <c:noMultiLvlLbl val="0"/>
      </c:catAx>
      <c:valAx>
        <c:axId val="34251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relative to 20y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1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'Concrete compositions (2)'!$F$1</c:f>
              <c:strCache>
                <c:ptCount val="1"/>
                <c:pt idx="0">
                  <c:v>on_topic_as_fraction_of_area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'Concrete compositions (2)'!$A$2:$A$8</c:f>
              <c:numCache>
                <c:formatCode>General</c:formatCode>
                <c:ptCount val="7"/>
                <c:pt idx="0">
                  <c:v>1996</c:v>
                </c:pt>
                <c:pt idx="1">
                  <c:v>1999</c:v>
                </c:pt>
                <c:pt idx="2">
                  <c:v>2002</c:v>
                </c:pt>
                <c:pt idx="3">
                  <c:v>2005</c:v>
                </c:pt>
                <c:pt idx="4">
                  <c:v>2008</c:v>
                </c:pt>
                <c:pt idx="5">
                  <c:v>2011</c:v>
                </c:pt>
                <c:pt idx="6">
                  <c:v>2014</c:v>
                </c:pt>
              </c:numCache>
            </c:numRef>
          </c:cat>
          <c:val>
            <c:numRef>
              <c:f>'Concrete compositions (2)'!$F$2:$F$8</c:f>
              <c:numCache>
                <c:formatCode>0%</c:formatCode>
                <c:ptCount val="7"/>
                <c:pt idx="0">
                  <c:v>0.934873332491992</c:v>
                </c:pt>
                <c:pt idx="1">
                  <c:v>0.93168579868735502</c:v>
                </c:pt>
                <c:pt idx="2">
                  <c:v>0.95541840433711001</c:v>
                </c:pt>
                <c:pt idx="3">
                  <c:v>1.02039069397647</c:v>
                </c:pt>
                <c:pt idx="4">
                  <c:v>0.98244895918848296</c:v>
                </c:pt>
                <c:pt idx="5">
                  <c:v>1.1485928147498701</c:v>
                </c:pt>
                <c:pt idx="6">
                  <c:v>1.02658999656872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'Concrete compositions (2)'!$G$1</c:f>
              <c:strCache>
                <c:ptCount val="1"/>
                <c:pt idx="0">
                  <c:v>in_area_as_fraction_of_ww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'Concrete compositions (2)'!$G$2:$G$8</c:f>
              <c:numCache>
                <c:formatCode>0%</c:formatCode>
                <c:ptCount val="7"/>
                <c:pt idx="0">
                  <c:v>1.00533392460718</c:v>
                </c:pt>
                <c:pt idx="1">
                  <c:v>0.97379284495762697</c:v>
                </c:pt>
                <c:pt idx="2">
                  <c:v>0.87920192247530904</c:v>
                </c:pt>
                <c:pt idx="3">
                  <c:v>0.89801566571235603</c:v>
                </c:pt>
                <c:pt idx="4">
                  <c:v>1.0294691126363</c:v>
                </c:pt>
                <c:pt idx="5">
                  <c:v>1.0345926972569801</c:v>
                </c:pt>
                <c:pt idx="6">
                  <c:v>1.1795938323542501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'Concrete compositions (2)'!$H$1</c:f>
              <c:strCache>
                <c:ptCount val="1"/>
                <c:pt idx="0">
                  <c:v>on_topic_as_fraction_of_ww</c:v>
                </c:pt>
              </c:strCache>
            </c:strRef>
          </c:tx>
          <c:spPr>
            <a:ln w="571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'Concrete compositions (2)'!$H$2:$H$8</c:f>
              <c:numCache>
                <c:formatCode>0%</c:formatCode>
                <c:ptCount val="7"/>
                <c:pt idx="0">
                  <c:v>0.93796413770982001</c:v>
                </c:pt>
                <c:pt idx="1">
                  <c:v>0.90543903204267995</c:v>
                </c:pt>
                <c:pt idx="2">
                  <c:v>0.83831147470235001</c:v>
                </c:pt>
                <c:pt idx="3">
                  <c:v>0.91447872144908404</c:v>
                </c:pt>
                <c:pt idx="4">
                  <c:v>1.00936094476926</c:v>
                </c:pt>
                <c:pt idx="5">
                  <c:v>1.1859289361015899</c:v>
                </c:pt>
                <c:pt idx="6">
                  <c:v>1.2085167532252199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513248"/>
        <c:axId val="342511288"/>
      </c:lineChart>
      <c:catAx>
        <c:axId val="34251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11288"/>
        <c:crosses val="autoZero"/>
        <c:auto val="1"/>
        <c:lblAlgn val="ctr"/>
        <c:lblOffset val="100"/>
        <c:noMultiLvlLbl val="0"/>
      </c:catAx>
      <c:valAx>
        <c:axId val="342511288"/>
        <c:scaling>
          <c:orientation val="minMax"/>
          <c:max val="1.4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relative to 20y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1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'All C04B (2)'!$F$1</c:f>
              <c:strCache>
                <c:ptCount val="1"/>
                <c:pt idx="0">
                  <c:v>on_topic_as_fraction_of_area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C04B (2)'!$A$2:$A$8</c:f>
              <c:numCache>
                <c:formatCode>General</c:formatCode>
                <c:ptCount val="7"/>
                <c:pt idx="0">
                  <c:v>1996</c:v>
                </c:pt>
                <c:pt idx="1">
                  <c:v>1999</c:v>
                </c:pt>
                <c:pt idx="2">
                  <c:v>2002</c:v>
                </c:pt>
                <c:pt idx="3">
                  <c:v>2005</c:v>
                </c:pt>
                <c:pt idx="4">
                  <c:v>2008</c:v>
                </c:pt>
                <c:pt idx="5">
                  <c:v>2011</c:v>
                </c:pt>
                <c:pt idx="6">
                  <c:v>2014</c:v>
                </c:pt>
              </c:numCache>
            </c:numRef>
          </c:cat>
          <c:val>
            <c:numRef>
              <c:f>'All C04B (2)'!$F$2:$F$8</c:f>
              <c:numCache>
                <c:formatCode>0%</c:formatCode>
                <c:ptCount val="7"/>
                <c:pt idx="0">
                  <c:v>1.2157280266005099</c:v>
                </c:pt>
                <c:pt idx="1">
                  <c:v>1.0581334853814</c:v>
                </c:pt>
                <c:pt idx="2">
                  <c:v>0.97020906153616904</c:v>
                </c:pt>
                <c:pt idx="3">
                  <c:v>0.93030452608874703</c:v>
                </c:pt>
                <c:pt idx="4">
                  <c:v>0.92387256463676104</c:v>
                </c:pt>
                <c:pt idx="5">
                  <c:v>0.99885521842552805</c:v>
                </c:pt>
                <c:pt idx="6">
                  <c:v>0.90289711733088196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'All C04B (2)'!$G$1</c:f>
              <c:strCache>
                <c:ptCount val="1"/>
                <c:pt idx="0">
                  <c:v>in_area_as_fraction_of_ww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C04B (2)'!$G$2:$G$8</c:f>
              <c:numCache>
                <c:formatCode>0%</c:formatCode>
                <c:ptCount val="7"/>
                <c:pt idx="0">
                  <c:v>1.13450999333785</c:v>
                </c:pt>
                <c:pt idx="1">
                  <c:v>1.04134666328929</c:v>
                </c:pt>
                <c:pt idx="2">
                  <c:v>0.91885321792914998</c:v>
                </c:pt>
                <c:pt idx="3">
                  <c:v>0.92705604136210495</c:v>
                </c:pt>
                <c:pt idx="4">
                  <c:v>1.0336021052178099</c:v>
                </c:pt>
                <c:pt idx="5">
                  <c:v>0.95884011740239705</c:v>
                </c:pt>
                <c:pt idx="6">
                  <c:v>0.98579186146139697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C04B (2)'!$H$1</c:f>
              <c:strCache>
                <c:ptCount val="1"/>
                <c:pt idx="0">
                  <c:v>on_topic_as_fraction_of_ww</c:v>
                </c:pt>
              </c:strCache>
            </c:strRef>
          </c:tx>
          <c:spPr>
            <a:ln w="571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'All C04B (2)'!$H$2:$H$8</c:f>
              <c:numCache>
                <c:formatCode>0%</c:formatCode>
                <c:ptCount val="7"/>
                <c:pt idx="0">
                  <c:v>1.3718493195711401</c:v>
                </c:pt>
                <c:pt idx="1">
                  <c:v>1.0959669144527999</c:v>
                </c:pt>
                <c:pt idx="2">
                  <c:v>0.88669276959288201</c:v>
                </c:pt>
                <c:pt idx="3">
                  <c:v>0.857813297607254</c:v>
                </c:pt>
                <c:pt idx="4">
                  <c:v>0.94978891239010899</c:v>
                </c:pt>
                <c:pt idx="5">
                  <c:v>0.95259963460720898</c:v>
                </c:pt>
                <c:pt idx="6">
                  <c:v>0.88528915177860301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517168"/>
        <c:axId val="342509720"/>
      </c:lineChart>
      <c:catAx>
        <c:axId val="3425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09720"/>
        <c:crosses val="autoZero"/>
        <c:auto val="1"/>
        <c:lblAlgn val="ctr"/>
        <c:lblOffset val="100"/>
        <c:noMultiLvlLbl val="0"/>
      </c:catAx>
      <c:valAx>
        <c:axId val="342509720"/>
        <c:scaling>
          <c:orientation val="minMax"/>
          <c:max val="1.4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Value relative to 20y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'Cement fillers (2)'!$F$1</c:f>
              <c:strCache>
                <c:ptCount val="1"/>
                <c:pt idx="0">
                  <c:v>on_topic_as_fraction_of_area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'Cement fillers (2)'!$A$2:$A$8</c:f>
              <c:numCache>
                <c:formatCode>General</c:formatCode>
                <c:ptCount val="7"/>
                <c:pt idx="0">
                  <c:v>1996</c:v>
                </c:pt>
                <c:pt idx="1">
                  <c:v>1999</c:v>
                </c:pt>
                <c:pt idx="2">
                  <c:v>2002</c:v>
                </c:pt>
                <c:pt idx="3">
                  <c:v>2005</c:v>
                </c:pt>
                <c:pt idx="4">
                  <c:v>2008</c:v>
                </c:pt>
                <c:pt idx="5">
                  <c:v>2011</c:v>
                </c:pt>
                <c:pt idx="6">
                  <c:v>2014</c:v>
                </c:pt>
              </c:numCache>
            </c:numRef>
          </c:cat>
          <c:val>
            <c:numRef>
              <c:f>'Cement fillers (2)'!$F$2:$F$8</c:f>
              <c:numCache>
                <c:formatCode>0%</c:formatCode>
                <c:ptCount val="7"/>
                <c:pt idx="0">
                  <c:v>1.1793213248597001</c:v>
                </c:pt>
                <c:pt idx="1">
                  <c:v>0.98790098344821198</c:v>
                </c:pt>
                <c:pt idx="2">
                  <c:v>0.85629953696384198</c:v>
                </c:pt>
                <c:pt idx="3">
                  <c:v>0.90603146086898301</c:v>
                </c:pt>
                <c:pt idx="4">
                  <c:v>0.90494482343999005</c:v>
                </c:pt>
                <c:pt idx="5">
                  <c:v>1.17000445810279</c:v>
                </c:pt>
                <c:pt idx="6">
                  <c:v>0.99549741231647704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'Cement fillers (2)'!$G$1</c:f>
              <c:strCache>
                <c:ptCount val="1"/>
                <c:pt idx="0">
                  <c:v>in_area_as_fraction_of_ww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'Cement fillers (2)'!$G$2:$G$8</c:f>
              <c:numCache>
                <c:formatCode>0%</c:formatCode>
                <c:ptCount val="7"/>
                <c:pt idx="0">
                  <c:v>0.81031139256960105</c:v>
                </c:pt>
                <c:pt idx="1">
                  <c:v>0.86665696736729203</c:v>
                </c:pt>
                <c:pt idx="2">
                  <c:v>0.96860581180183603</c:v>
                </c:pt>
                <c:pt idx="3">
                  <c:v>1.2075196102830501</c:v>
                </c:pt>
                <c:pt idx="4">
                  <c:v>1.29052691945132</c:v>
                </c:pt>
                <c:pt idx="5">
                  <c:v>0.94573281954348798</c:v>
                </c:pt>
                <c:pt idx="6">
                  <c:v>0.910646478983411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'Cement fillers (2)'!$H$1</c:f>
              <c:strCache>
                <c:ptCount val="1"/>
                <c:pt idx="0">
                  <c:v>on_topic_as_fraction_of_ww</c:v>
                </c:pt>
              </c:strCache>
            </c:strRef>
          </c:tx>
          <c:spPr>
            <a:ln w="571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'Cement fillers (2)'!$H$2:$H$8</c:f>
              <c:numCache>
                <c:formatCode>0%</c:formatCode>
                <c:ptCount val="7"/>
                <c:pt idx="0">
                  <c:v>0.96720052955049896</c:v>
                </c:pt>
                <c:pt idx="1">
                  <c:v>0.866548833002729</c:v>
                </c:pt>
                <c:pt idx="2">
                  <c:v>0.83946999155228497</c:v>
                </c:pt>
                <c:pt idx="3">
                  <c:v>1.10731159214456</c:v>
                </c:pt>
                <c:pt idx="4">
                  <c:v>1.18201110137094</c:v>
                </c:pt>
                <c:pt idx="5">
                  <c:v>1.1199235812133399</c:v>
                </c:pt>
                <c:pt idx="6">
                  <c:v>0.91753437116564196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510504"/>
        <c:axId val="342511680"/>
      </c:lineChart>
      <c:catAx>
        <c:axId val="34251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11680"/>
        <c:crosses val="autoZero"/>
        <c:auto val="1"/>
        <c:lblAlgn val="ctr"/>
        <c:lblOffset val="100"/>
        <c:noMultiLvlLbl val="0"/>
      </c:catAx>
      <c:valAx>
        <c:axId val="34251168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relative to 20y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1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685799</xdr:colOff>
      <xdr:row>0</xdr:row>
      <xdr:rowOff>180975</xdr:rowOff>
    </xdr:from>
    <xdr:to>
      <xdr:col>6</xdr:col>
      <xdr:colOff>571500</xdr:colOff>
      <xdr:row>22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1</xdr:row>
      <xdr:rowOff>142875</xdr:rowOff>
    </xdr:from>
    <xdr:to>
      <xdr:col>6</xdr:col>
      <xdr:colOff>647700</xdr:colOff>
      <xdr:row>20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1076324</xdr:colOff>
      <xdr:row>9</xdr:row>
      <xdr:rowOff>123825</xdr:rowOff>
    </xdr:from>
    <xdr:to>
      <xdr:col>6</xdr:col>
      <xdr:colOff>962025</xdr:colOff>
      <xdr:row>27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247649</xdr:colOff>
      <xdr:row>12</xdr:row>
      <xdr:rowOff>95250</xdr:rowOff>
    </xdr:from>
    <xdr:to>
      <xdr:col>8</xdr:col>
      <xdr:colOff>142875</xdr:colOff>
      <xdr:row>27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1981199</xdr:colOff>
      <xdr:row>7</xdr:row>
      <xdr:rowOff>152400</xdr:rowOff>
    </xdr:from>
    <xdr:to>
      <xdr:col>11</xdr:col>
      <xdr:colOff>476250</xdr:colOff>
      <xdr:row>36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13</xdr:row>
      <xdr:rowOff>47625</xdr:rowOff>
    </xdr:from>
    <xdr:to>
      <xdr:col>5</xdr:col>
      <xdr:colOff>762000</xdr:colOff>
      <xdr:row>27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247649</xdr:colOff>
      <xdr:row>12</xdr:row>
      <xdr:rowOff>95250</xdr:rowOff>
    </xdr:from>
    <xdr:to>
      <xdr:col>8</xdr:col>
      <xdr:colOff>142875</xdr:colOff>
      <xdr:row>27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247649</xdr:colOff>
      <xdr:row>12</xdr:row>
      <xdr:rowOff>95250</xdr:rowOff>
    </xdr:from>
    <xdr:to>
      <xdr:col>8</xdr:col>
      <xdr:colOff>142875</xdr:colOff>
      <xdr:row>27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247649</xdr:colOff>
      <xdr:row>12</xdr:row>
      <xdr:rowOff>95250</xdr:rowOff>
    </xdr:from>
    <xdr:to>
      <xdr:col>8</xdr:col>
      <xdr:colOff>142875</xdr:colOff>
      <xdr:row>27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276224</xdr:colOff>
      <xdr:row>1</xdr:row>
      <xdr:rowOff>9525</xdr:rowOff>
    </xdr:from>
    <xdr:to>
      <xdr:col>16</xdr:col>
      <xdr:colOff>200025</xdr:colOff>
      <xdr:row>15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438150</xdr:colOff>
      <xdr:row>23</xdr:row>
      <xdr:rowOff>171450</xdr:rowOff>
    </xdr:from>
    <xdr:to>
      <xdr:col>8</xdr:col>
      <xdr:colOff>514350</xdr:colOff>
      <xdr:row>48</xdr:row>
      <xdr:rowOff>123265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1165412</xdr:colOff>
      <xdr:row>22</xdr:row>
      <xdr:rowOff>151840</xdr:rowOff>
    </xdr:from>
    <xdr:to>
      <xdr:col>16</xdr:col>
      <xdr:colOff>62753</xdr:colOff>
      <xdr:row>48</xdr:row>
      <xdr:rowOff>168089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244925</xdr:colOff>
      <xdr:row>34</xdr:row>
      <xdr:rowOff>122464</xdr:rowOff>
    </xdr:from>
    <xdr:to>
      <xdr:col>23</xdr:col>
      <xdr:colOff>272140</xdr:colOff>
      <xdr:row>63</xdr:row>
      <xdr:rowOff>17689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323849</xdr:colOff>
      <xdr:row>5</xdr:row>
      <xdr:rowOff>109536</xdr:rowOff>
    </xdr:from>
    <xdr:to>
      <xdr:col>20</xdr:col>
      <xdr:colOff>28574</xdr:colOff>
      <xdr:row>32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1142999</xdr:colOff>
      <xdr:row>11</xdr:row>
      <xdr:rowOff>19050</xdr:rowOff>
    </xdr:from>
    <xdr:to>
      <xdr:col>6</xdr:col>
      <xdr:colOff>1028700</xdr:colOff>
      <xdr:row>32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1</xdr:row>
      <xdr:rowOff>142875</xdr:rowOff>
    </xdr:from>
    <xdr:to>
      <xdr:col>6</xdr:col>
      <xdr:colOff>647700</xdr:colOff>
      <xdr:row>23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723899</xdr:colOff>
      <xdr:row>5</xdr:row>
      <xdr:rowOff>104775</xdr:rowOff>
    </xdr:from>
    <xdr:to>
      <xdr:col>7</xdr:col>
      <xdr:colOff>552450</xdr:colOff>
      <xdr:row>27</xdr:row>
      <xdr:rowOff>4762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733424</xdr:colOff>
      <xdr:row>2</xdr:row>
      <xdr:rowOff>114300</xdr:rowOff>
    </xdr:from>
    <xdr:to>
      <xdr:col>6</xdr:col>
      <xdr:colOff>619125</xdr:colOff>
      <xdr:row>24</xdr:row>
      <xdr:rowOff>14287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200024</xdr:colOff>
      <xdr:row>11</xdr:row>
      <xdr:rowOff>171450</xdr:rowOff>
    </xdr:from>
    <xdr:to>
      <xdr:col>8</xdr:col>
      <xdr:colOff>257175</xdr:colOff>
      <xdr:row>33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7</xdr:row>
      <xdr:rowOff>190499</xdr:rowOff>
    </xdr:from>
    <xdr:to>
      <xdr:col>5</xdr:col>
      <xdr:colOff>2047875</xdr:colOff>
      <xdr:row>29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923924</xdr:colOff>
      <xdr:row>9</xdr:row>
      <xdr:rowOff>180975</xdr:rowOff>
    </xdr:from>
    <xdr:to>
      <xdr:col>7</xdr:col>
      <xdr:colOff>752475</xdr:colOff>
      <xdr:row>33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1</xdr:row>
      <xdr:rowOff>142875</xdr:rowOff>
    </xdr:from>
    <xdr:to>
      <xdr:col>6</xdr:col>
      <xdr:colOff>647700</xdr:colOff>
      <xdr:row>20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22" totalsRowCount="1">
  <autoFilter ref="A1:H21">
    <filterColumn colId="0">
      <filters>
        <filter val="1996"/>
        <filter val="1997"/>
        <filter val="1998"/>
        <filter val="1999"/>
        <filter val="2000"/>
        <filter val="2001"/>
        <filter val="2002"/>
        <filter val="2003"/>
        <filter val="2004"/>
        <filter val="2005"/>
        <filter val="2006"/>
        <filter val="2007"/>
        <filter val="2008"/>
        <filter val="2009"/>
        <filter val="2010"/>
        <filter val="2011"/>
        <filter val="2012"/>
        <filter val="2013"/>
        <filter val="2014"/>
      </filters>
    </filterColumn>
  </autoFilter>
  <tableColumns count="8">
    <tableColumn id="1" name="y"/>
    <tableColumn id="2" name="in_area_filings"/>
    <tableColumn id="3" name="on_topic_in_area_filings" totalsRowFunction="sum"/>
    <tableColumn id="4" name="number_of_filed_families"/>
    <tableColumn id="5" name="number_of_filed_families_band"/>
    <tableColumn id="6" name="on_topic_as_fraction_of_area" totalsRowDxfId="58" dataCellStyle="Percent"/>
    <tableColumn id="7" name="in_area_as_fraction_of_ww" totalsRowDxfId="57" dataCellStyle="Percent"/>
    <tableColumn id="8" name="on_topic_as_fraction_of_ww" totalsRowDxfId="56" dataCellStyle="Perce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1351011" displayName="Table1351011" ref="A1:H9" totalsRowCount="1">
  <autoFilter ref="A1:H8"/>
  <tableColumns count="8">
    <tableColumn id="1" name="y"/>
    <tableColumn id="2" name="in_area_filings"/>
    <tableColumn id="3" name="on_topic_in_area_filings" totalsRowFunction="sum"/>
    <tableColumn id="4" name="number_of_filed_families"/>
    <tableColumn id="5" name="number_of_filed_families_band"/>
    <tableColumn id="6" name="on_topic_as_fraction_of_area" totalsRowDxfId="34" dataCellStyle="Percent"/>
    <tableColumn id="7" name="in_area_as_fraction_of_ww" totalsRowDxfId="33" dataCellStyle="Percent"/>
    <tableColumn id="8" name="on_topic_as_fraction_of_ww" totalsRowDxfId="32" dataCellStyle="Percen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1351012" displayName="Table1351012" ref="A1:H8" totalsRowCount="1">
  <autoFilter ref="A1:H7"/>
  <tableColumns count="8">
    <tableColumn id="1" name="y"/>
    <tableColumn id="2" name="in_area_filings"/>
    <tableColumn id="3" name="on_topic_in_area_filings" totalsRowFunction="sum"/>
    <tableColumn id="4" name="number_of_filed_families"/>
    <tableColumn id="5" name="number_of_filed_families_band"/>
    <tableColumn id="6" name="on_topic_as_fraction_of_area" totalsRowDxfId="31" dataCellStyle="Percent"/>
    <tableColumn id="7" name="in_area_as_fraction_of_ww" totalsRowDxfId="30" dataCellStyle="Percent"/>
    <tableColumn id="8" name="on_topic_as_fraction_of_ww" totalsRowDxfId="29" dataCellStyle="Percen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Table135101213" displayName="Table135101213" ref="A1:H11" totalsRowCount="1">
  <autoFilter ref="A1:H10"/>
  <tableColumns count="8">
    <tableColumn id="1" name="y"/>
    <tableColumn id="2" name="in_area_filings"/>
    <tableColumn id="3" name="Absolute # on topic" totalsRowFunction="sum"/>
    <tableColumn id="4" name="number_of_filed_families_text"/>
    <tableColumn id="5" name="number_of_filed_families_band_text"/>
    <tableColumn id="6" name="on_topic_as_fraction_of_area" totalsRowDxfId="28" dataCellStyle="Percent"/>
    <tableColumn id="7" name="Technology area share" totalsRowDxfId="27" dataCellStyle="Percent"/>
    <tableColumn id="8" name="On topic share" totalsRowDxfId="26" dataCellStyle="Percent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Table13510121314" displayName="Table13510121314" ref="A1:H24" totalsRowShown="0">
  <autoFilter ref="A1:H24">
    <filterColumn colId="0">
      <filters>
        <filter val="1977"/>
        <filter val="1979"/>
        <filter val="1981"/>
        <filter val="1983"/>
        <filter val="1985"/>
        <filter val="1987"/>
        <filter val="1989"/>
        <filter val="1991"/>
        <filter val="1993"/>
        <filter val="1995"/>
        <filter val="1997"/>
        <filter val="1999"/>
        <filter val="2001"/>
        <filter val="2003"/>
        <filter val="2005"/>
        <filter val="2007"/>
        <filter val="2009"/>
        <filter val="2011"/>
        <filter val="2013"/>
      </filters>
    </filterColumn>
  </autoFilter>
  <tableColumns count="8">
    <tableColumn id="1" name="y"/>
    <tableColumn id="2" name="in_area_filings"/>
    <tableColumn id="3" name="Absolute Fly-ash mentions in Concrete"/>
    <tableColumn id="4" name="number_of_filed_families_text"/>
    <tableColumn id="5" name="(No column name)"/>
    <tableColumn id="6" name="on_topic_as_fraction_of_area" totalsRowDxfId="25" dataCellStyle="Percent"/>
    <tableColumn id="7" name="Concrete among All Technologies" totalsRowDxfId="24" dataCellStyle="Percent"/>
    <tableColumn id="8" name="Fly-ash trend normalized to global IP trends" totalsRowDxfId="23" dataCellStyle="Percent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Table1351012131415" displayName="Table1351012131415" ref="A1:J11" totalsRowCount="1">
  <autoFilter ref="A1:J10"/>
  <tableColumns count="10">
    <tableColumn id="1" name="y"/>
    <tableColumn id="2" name="in_area_filings"/>
    <tableColumn id="3" name="Absolute # on topic" totalsRowFunction="sum"/>
    <tableColumn id="4" name="number_of_filed_families_text"/>
    <tableColumn id="5" name="number_of_filed_families_band_text"/>
    <tableColumn id="6" name="on_topic_as_fraction_of_area" totalsRowDxfId="22" dataCellStyle="Percent"/>
    <tableColumn id="7" name="Technology area share" totalsRowDxfId="21" dataCellStyle="Percent"/>
    <tableColumn id="8" name="On topic share" totalsRowDxfId="20" dataCellStyle="Percent"/>
    <tableColumn id="9" name="Column1" totalsRowFunction="custom" dataDxfId="19" totalsRowDxfId="18" dataCellStyle="Percent">
      <calculatedColumnFormula>Table1351012131415[[#This Row],[Absolute '# on topic]]/Table1351012131415[[#This Row],[number_of_filed_families_band_text]]</calculatedColumnFormula>
      <totalsRowFormula>AVERAGE(Table1351012131415[Column1])</totalsRowFormula>
    </tableColumn>
    <tableColumn id="10" name="Column2" dataDxfId="17" totalsRowDxfId="16" dataCellStyle="Percent">
      <calculatedColumnFormula>(Table1351012131415[[#This Row],[Absolute '# on topic]]/Table1351012131415[[#This Row],[number_of_filed_families_band_text]])/Table1351012131415[[#Totals],[Column1]]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6" name="Table13510121317" displayName="Table13510121317" ref="A1:H11" totalsRowCount="1">
  <autoFilter ref="A1:H10"/>
  <tableColumns count="8">
    <tableColumn id="1" name="y"/>
    <tableColumn id="2" name="in_area_filings"/>
    <tableColumn id="3" name="Absolute # on topic" totalsRowFunction="sum"/>
    <tableColumn id="4" name="number_of_filed_families_text"/>
    <tableColumn id="5" name="number_of_filed_families_band_text"/>
    <tableColumn id="6" name="on_topic_as_fraction_of_area" totalsRowDxfId="15" dataCellStyle="Percent"/>
    <tableColumn id="7" name="Technology area share" totalsRowDxfId="14" dataCellStyle="Percent"/>
    <tableColumn id="8" name="On topic share" totalsRowDxfId="13" dataCellStyle="Percen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Table1351012131719" displayName="Table1351012131719" ref="A1:H11" totalsRowCount="1">
  <autoFilter ref="A1:H10"/>
  <tableColumns count="8">
    <tableColumn id="1" name="y"/>
    <tableColumn id="2" name="in_area_filings"/>
    <tableColumn id="3" name="Absolute # on topic" totalsRowFunction="sum"/>
    <tableColumn id="4" name="number_of_filed_families_text"/>
    <tableColumn id="5" name="number_of_filed_families_band_text"/>
    <tableColumn id="6" name="on_topic_as_fraction_of_area" totalsRowDxfId="12" dataCellStyle="Percent"/>
    <tableColumn id="7" name="Technology area share" totalsRowDxfId="11" dataCellStyle="Percent"/>
    <tableColumn id="8" name="On topic share" totalsRowDxfId="10" dataCellStyle="Percent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1351012131718" displayName="Table1351012131718" ref="A1:H11" totalsRowCount="1">
  <autoFilter ref="A1:H10"/>
  <tableColumns count="8">
    <tableColumn id="1" name="y"/>
    <tableColumn id="2" name="in_area_filings"/>
    <tableColumn id="3" name="Absolute # on topic" totalsRowFunction="sum"/>
    <tableColumn id="4" name="number_of_filed_families_text"/>
    <tableColumn id="5" name="number_of_filed_families_band_text"/>
    <tableColumn id="6" name="on_topic_as_fraction_of_area" totalsRowDxfId="9" dataCellStyle="Percent"/>
    <tableColumn id="7" name="Technology area share" totalsRowDxfId="8" dataCellStyle="Percent"/>
    <tableColumn id="8" name="On topic share" totalsRowDxfId="7" dataCellStyle="Percent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5" name="Table1351012131716" displayName="Table1351012131716" ref="A1:H11" totalsRowShown="0">
  <autoFilter ref="A1:H11"/>
  <tableColumns count="8">
    <tableColumn id="1" name="y"/>
    <tableColumn id="2" name="in_area_filings"/>
    <tableColumn id="3" name="Absolute # on topic"/>
    <tableColumn id="4" name="number_of_filed_families_text"/>
    <tableColumn id="5" name="number_of_filed_families_band_text"/>
    <tableColumn id="6" name="on_topic_as_fraction_of_area" totalsRowDxfId="6" dataCellStyle="Percent"/>
    <tableColumn id="7" name="Technology area share" totalsRowDxfId="5" dataCellStyle="Percent"/>
    <tableColumn id="8" name="On topic share" totalsRowDxfId="4" dataCellStyle="Percent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Table20" displayName="Table20" ref="A21:H73" totalsRowShown="0">
  <autoFilter ref="A21:H73"/>
  <sortState ref="A22:H73">
    <sortCondition ref="A21:A73"/>
  </sortState>
  <tableColumns count="8">
    <tableColumn id="1" name="y"/>
    <tableColumn id="2" name="in_area_filings"/>
    <tableColumn id="3" name="Absolute # on topic"/>
    <tableColumn id="4" name="number_of_filed_families_us"/>
    <tableColumn id="5" name="number_of_filed_families_band_us"/>
    <tableColumn id="6" name="on_topic_as_fraction_of_area"/>
    <tableColumn id="7" name="Technology area share"/>
    <tableColumn id="8" name="On topic sha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H22" totalsRowCount="1">
  <autoFilter ref="A1:H21">
    <filterColumn colId="0">
      <filters>
        <filter val="1996"/>
        <filter val="1997"/>
        <filter val="1998"/>
        <filter val="1999"/>
        <filter val="2000"/>
        <filter val="2001"/>
        <filter val="2002"/>
        <filter val="2003"/>
        <filter val="2004"/>
        <filter val="2005"/>
        <filter val="2006"/>
        <filter val="2007"/>
        <filter val="2008"/>
        <filter val="2009"/>
        <filter val="2010"/>
        <filter val="2011"/>
        <filter val="2012"/>
        <filter val="2013"/>
        <filter val="2014"/>
      </filters>
    </filterColumn>
  </autoFilter>
  <tableColumns count="8">
    <tableColumn id="1" name="y"/>
    <tableColumn id="2" name="in_area_filings"/>
    <tableColumn id="3" name="on_topic_in_area_filings" totalsRowFunction="sum"/>
    <tableColumn id="4" name="number_of_filed_families"/>
    <tableColumn id="5" name="number_of_filed_families_band"/>
    <tableColumn id="6" name="on_topic_as_fraction_of_area" totalsRowDxfId="55" dataCellStyle="Percent"/>
    <tableColumn id="7" name="in_area_as_fraction_of_ww" totalsRowDxfId="54" dataCellStyle="Percent"/>
    <tableColumn id="8" name="on_topic_as_fraction_of_ww" totalsRowDxfId="53" dataCellStyle="Percent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Table21" displayName="Table21" ref="K21:S72" totalsRowShown="0">
  <autoFilter ref="K21:S72">
    <filterColumn colId="0">
      <filters>
        <filter val="1965"/>
        <filter val="1966"/>
        <filter val="1967"/>
        <filter val="1968"/>
        <filter val="1969"/>
        <filter val="1970"/>
        <filter val="1971"/>
        <filter val="1972"/>
        <filter val="1973"/>
        <filter val="1974"/>
        <filter val="1975"/>
        <filter val="1976"/>
        <filter val="1977"/>
        <filter val="1978"/>
        <filter val="1979"/>
        <filter val="1980"/>
        <filter val="1981"/>
        <filter val="1982"/>
        <filter val="1983"/>
        <filter val="1984"/>
        <filter val="1985"/>
        <filter val="1986"/>
        <filter val="1987"/>
        <filter val="1988"/>
        <filter val="1989"/>
        <filter val="1990"/>
        <filter val="1991"/>
        <filter val="1992"/>
        <filter val="1993"/>
        <filter val="1994"/>
        <filter val="1995"/>
        <filter val="1996"/>
        <filter val="1997"/>
        <filter val="1998"/>
        <filter val="1999"/>
        <filter val="2000"/>
        <filter val="2001"/>
        <filter val="2002"/>
        <filter val="2003"/>
        <filter val="2004"/>
        <filter val="2005"/>
        <filter val="2006"/>
        <filter val="2007"/>
        <filter val="2008"/>
        <filter val="2009"/>
        <filter val="2010"/>
        <filter val="2011"/>
        <filter val="2012"/>
        <filter val="2013"/>
      </filters>
    </filterColumn>
  </autoFilter>
  <sortState ref="K22:R72">
    <sortCondition ref="K21:K72"/>
  </sortState>
  <tableColumns count="9">
    <tableColumn id="1" name="y"/>
    <tableColumn id="2" name="in_area_filings"/>
    <tableColumn id="3" name="Absolute # on topic"/>
    <tableColumn id="4" name="number_of_filed_families_us"/>
    <tableColumn id="5" name="number_of_filed_families_band_us"/>
    <tableColumn id="6" name="on_topic_as_fraction_of_area"/>
    <tableColumn id="7" name="Concrete share of worldwide R&amp;D (indexed)"/>
    <tableColumn id="8" name="Fly-ash in Concrete IP"/>
    <tableColumn id="9" name="Fly-ash in Concrete Science" dataDxfId="0">
      <calculatedColumnFormula>_xlfn.IFNA(VLOOKUP(Table21[[#This Row],[y]],Table23[#All],3,FALSE),0)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Table22" displayName="Table22" ref="U21:Z33" totalsRowCount="1">
  <autoFilter ref="U21:Z33">
    <filterColumn colId="0">
      <filters blank="1">
        <filter val="2004"/>
        <filter val="2005"/>
        <filter val="2008"/>
        <filter val="2009"/>
        <filter val="2010"/>
        <filter val="2011"/>
        <filter val="2012"/>
        <filter val="2013"/>
        <filter val="2014"/>
        <filter val="2015"/>
      </filters>
    </filterColumn>
  </autoFilter>
  <sortState ref="U22:Z32">
    <sortCondition ref="U21:U33"/>
  </sortState>
  <tableColumns count="6">
    <tableColumn id="1" name="priority_year"/>
    <tableColumn id="2" name="number_of_filed_families_text" totalsRowFunction="custom">
      <totalsRowFormula>AVERAGE(Table22[number_of_filed_families_text])</totalsRowFormula>
    </tableColumn>
    <tableColumn id="3" name="number_of_filed_families_us" totalsRowFunction="custom">
      <totalsRowFormula>AVERAGE(Table22[number_of_filed_families_us])</totalsRowFormula>
    </tableColumn>
    <tableColumn id="4" name="# Families by Mineralisation companies"/>
    <tableColumn id="5" name="Corrected # Families" dataDxfId="3">
      <calculatedColumnFormula>(Table22[[#This Row],['# Families by Mineralisation companies]]/Table22[[#This Row],[number_of_filed_families_us]])*Table22[[#Totals],[number_of_filed_families_us]]</calculatedColumnFormula>
    </tableColumn>
    <tableColumn id="6" name="Column2" dataDxfId="2">
      <calculatedColumnFormula>(Table22[[#This Row],['# Families by Mineralisation companies]]/Table22[[#This Row],[number_of_filed_families_text]])*Table22[[#Totals],[number_of_filed_families_text]]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Table23" displayName="Table23" ref="A1:C48" totalsRowShown="0">
  <autoFilter ref="A1:C48"/>
  <tableColumns count="3">
    <tableColumn id="1" name="year_pub"/>
    <tableColumn id="2" name="nn"/>
    <tableColumn id="3" name="nnn" dataDxfId="1">
      <calculatedColumnFormula>Table23[[#This Row],[nn]]/AVERAGE(Table23[nn])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135" displayName="Table135" ref="A1:H22" totalsRowCount="1">
  <autoFilter ref="A1:H21">
    <filterColumn colId="0">
      <filters>
        <filter val="1996"/>
        <filter val="1997"/>
        <filter val="1998"/>
        <filter val="1999"/>
        <filter val="2000"/>
        <filter val="2001"/>
        <filter val="2002"/>
        <filter val="2003"/>
        <filter val="2004"/>
        <filter val="2005"/>
        <filter val="2006"/>
        <filter val="2007"/>
        <filter val="2008"/>
        <filter val="2009"/>
        <filter val="2010"/>
        <filter val="2011"/>
        <filter val="2012"/>
        <filter val="2013"/>
        <filter val="2014"/>
      </filters>
    </filterColumn>
  </autoFilter>
  <tableColumns count="8">
    <tableColumn id="1" name="y"/>
    <tableColumn id="2" name="in_area_filings"/>
    <tableColumn id="3" name="on_topic_in_area_filings" totalsRowFunction="sum"/>
    <tableColumn id="4" name="number_of_filed_families"/>
    <tableColumn id="5" name="number_of_filed_families_band"/>
    <tableColumn id="6" name="on_topic_as_fraction_of_area" totalsRowDxfId="52" dataCellStyle="Percent"/>
    <tableColumn id="7" name="in_area_as_fraction_of_ww" totalsRowDxfId="51" dataCellStyle="Percent"/>
    <tableColumn id="8" name="on_topic_as_fraction_of_ww" totalsRowDxfId="50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136" displayName="Table136" ref="A1:H22" totalsRowCount="1">
  <autoFilter ref="A1:H21">
    <filterColumn colId="0">
      <filters>
        <filter val="1996"/>
        <filter val="1997"/>
        <filter val="1998"/>
        <filter val="1999"/>
        <filter val="2000"/>
        <filter val="2001"/>
        <filter val="2002"/>
        <filter val="2003"/>
        <filter val="2004"/>
        <filter val="2005"/>
        <filter val="2006"/>
        <filter val="2007"/>
        <filter val="2008"/>
        <filter val="2009"/>
        <filter val="2010"/>
        <filter val="2011"/>
        <filter val="2012"/>
        <filter val="2013"/>
        <filter val="2014"/>
      </filters>
    </filterColumn>
  </autoFilter>
  <tableColumns count="8">
    <tableColumn id="1" name="y"/>
    <tableColumn id="2" name="in_area_filings"/>
    <tableColumn id="3" name="on_topic_in_area_filings" totalsRowFunction="sum"/>
    <tableColumn id="4" name="number_of_filed_families"/>
    <tableColumn id="5" name="number_of_filed_families_band"/>
    <tableColumn id="6" name="on_topic_as_fraction_of_area" totalsRowDxfId="49" dataCellStyle="Percent"/>
    <tableColumn id="7" name="in_area_as_fraction_of_ww" totalsRowDxfId="48" dataCellStyle="Percent"/>
    <tableColumn id="8" name="on_topic_as_fraction_of_ww" totalsRowDxfId="47" dataCellStyle="Perc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1357" displayName="Table1357" ref="A1:H22" totalsRowCount="1">
  <autoFilter ref="A1:H21">
    <filterColumn colId="0">
      <filters>
        <filter val="1996"/>
        <filter val="1997"/>
        <filter val="1998"/>
        <filter val="1999"/>
        <filter val="2000"/>
        <filter val="2001"/>
        <filter val="2002"/>
        <filter val="2003"/>
        <filter val="2004"/>
        <filter val="2005"/>
        <filter val="2006"/>
        <filter val="2007"/>
        <filter val="2008"/>
        <filter val="2009"/>
        <filter val="2010"/>
        <filter val="2011"/>
        <filter val="2012"/>
        <filter val="2013"/>
        <filter val="2014"/>
      </filters>
    </filterColumn>
  </autoFilter>
  <tableColumns count="8">
    <tableColumn id="1" name="y"/>
    <tableColumn id="2" name="in_area_filings"/>
    <tableColumn id="3" name="on_topic_in_area_filings" totalsRowFunction="sum"/>
    <tableColumn id="4" name="number_of_filed_families"/>
    <tableColumn id="5" name="number_of_filed_families_band"/>
    <tableColumn id="6" name="on_topic_as_fraction_of_area" totalsRowDxfId="46" dataCellStyle="Percent"/>
    <tableColumn id="7" name="in_area_as_fraction_of_ww" totalsRowDxfId="45" dataCellStyle="Percent"/>
    <tableColumn id="8" name="on_topic_as_fraction_of_ww" totalsRowDxfId="44" dataCellStyle="Perc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1358" displayName="Table1358" ref="A1:H22" totalsRowCount="1">
  <autoFilter ref="A1:H21">
    <filterColumn colId="0">
      <filters>
        <filter val="1996"/>
        <filter val="1997"/>
        <filter val="1998"/>
        <filter val="1999"/>
        <filter val="2000"/>
        <filter val="2001"/>
        <filter val="2002"/>
        <filter val="2003"/>
        <filter val="2004"/>
        <filter val="2005"/>
        <filter val="2006"/>
        <filter val="2007"/>
        <filter val="2008"/>
        <filter val="2009"/>
        <filter val="2010"/>
        <filter val="2011"/>
        <filter val="2012"/>
        <filter val="2013"/>
        <filter val="2014"/>
      </filters>
    </filterColumn>
  </autoFilter>
  <tableColumns count="8">
    <tableColumn id="1" name="y"/>
    <tableColumn id="2" name="in_area_filings"/>
    <tableColumn id="3" name="on_topic_in_area_filings" totalsRowFunction="sum"/>
    <tableColumn id="4" name="number_of_filed_families"/>
    <tableColumn id="5" name="number_of_filed_families_band"/>
    <tableColumn id="6" name="on_topic_as_fraction_of_area" totalsRowDxfId="43" dataCellStyle="Percent"/>
    <tableColumn id="7" name="in_area_as_fraction_of_ww" totalsRowDxfId="42" dataCellStyle="Percent"/>
    <tableColumn id="8" name="on_topic_as_fraction_of_ww" totalsRowDxfId="41" dataCellStyle="Perce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" name="Table134" displayName="Table134" ref="A1:H9" totalsRowCount="1">
  <autoFilter ref="A1:H8"/>
  <tableColumns count="8">
    <tableColumn id="1" name="y"/>
    <tableColumn id="2" name="in_area_filings"/>
    <tableColumn id="3" name="on_topic_in_area_filings" totalsRowFunction="sum"/>
    <tableColumn id="4" name="number_of_filed_families"/>
    <tableColumn id="5" name="number_of_filed_families_band"/>
    <tableColumn id="6" name="on_topic_as_fraction_of_area" dataCellStyle="Percent"/>
    <tableColumn id="7" name="in_area_as_fraction_of_ww" dataCellStyle="Percent"/>
    <tableColumn id="8" name="on_topic_as_fraction_of_ww" dataCellStyle="Percen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19" displayName="Table19" ref="A1:H9" totalsRowCount="1">
  <autoFilter ref="A1:H8"/>
  <tableColumns count="8">
    <tableColumn id="1" name="y"/>
    <tableColumn id="2" name="in_area_filings"/>
    <tableColumn id="3" name="on_topic_in_area_filings" totalsRowFunction="sum"/>
    <tableColumn id="4" name="number_of_filed_families"/>
    <tableColumn id="5" name="number_of_filed_families_band"/>
    <tableColumn id="6" name="on_topic_as_fraction_of_area" totalsRowDxfId="40" dataCellStyle="Percent"/>
    <tableColumn id="7" name="in_area_as_fraction_of_ww" totalsRowDxfId="39" dataCellStyle="Percent"/>
    <tableColumn id="8" name="on_topic_as_fraction_of_ww" totalsRowDxfId="38" dataCellStyle="Percen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13510" displayName="Table13510" ref="A1:H9" totalsRowCount="1">
  <autoFilter ref="A1:H8"/>
  <tableColumns count="8">
    <tableColumn id="1" name="y"/>
    <tableColumn id="2" name="in_area_filings"/>
    <tableColumn id="3" name="on_topic_in_area_filings" totalsRowFunction="sum"/>
    <tableColumn id="4" name="number_of_filed_families"/>
    <tableColumn id="5" name="number_of_filed_families_band"/>
    <tableColumn id="6" name="on_topic_as_fraction_of_area" totalsRowDxfId="37" dataCellStyle="Percent"/>
    <tableColumn id="7" name="in_area_as_fraction_of_ww" totalsRowDxfId="36" dataCellStyle="Percent"/>
    <tableColumn id="8" name="on_topic_as_fraction_of_ww" totalsRowDxfId="35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drawing" Target="../drawings/drawing18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D35" sqref="D35"/>
    </sheetView>
  </sheetViews>
  <sheetFormatPr defaultRowHeight="15" x14ac:dyDescent="0.25"/>
  <cols>
    <col min="2" max="2" width="16.140625" customWidth="1"/>
    <col min="3" max="3" width="24.85546875" customWidth="1"/>
    <col min="4" max="4" width="26.28515625" customWidth="1"/>
    <col min="5" max="5" width="31.7109375" customWidth="1"/>
    <col min="6" max="6" width="32.28515625" customWidth="1"/>
    <col min="7" max="7" width="27.140625" customWidth="1"/>
    <col min="8" max="8" width="28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1996</v>
      </c>
      <c r="B2">
        <v>2644</v>
      </c>
      <c r="C2">
        <v>244</v>
      </c>
      <c r="D2">
        <v>706613</v>
      </c>
      <c r="E2">
        <v>3371676</v>
      </c>
      <c r="F2" s="1">
        <v>1.32688858878819</v>
      </c>
      <c r="G2" s="1">
        <v>1.05147121546955</v>
      </c>
      <c r="H2" s="1">
        <v>1.3941517997369799</v>
      </c>
    </row>
    <row r="3" spans="1:8" x14ac:dyDescent="0.25">
      <c r="A3">
        <v>1997</v>
      </c>
      <c r="B3">
        <v>2759</v>
      </c>
      <c r="C3">
        <v>244</v>
      </c>
      <c r="D3">
        <v>700089</v>
      </c>
      <c r="E3">
        <v>3545439</v>
      </c>
      <c r="F3" s="1">
        <v>1.27158151824229</v>
      </c>
      <c r="G3" s="1">
        <v>1.10742925167605</v>
      </c>
      <c r="H3" s="1">
        <v>1.40714372816098</v>
      </c>
    </row>
    <row r="4" spans="1:8" x14ac:dyDescent="0.25">
      <c r="A4">
        <v>1998</v>
      </c>
      <c r="B4">
        <v>2768</v>
      </c>
      <c r="C4">
        <v>219</v>
      </c>
      <c r="D4">
        <v>721397</v>
      </c>
      <c r="E4">
        <v>3762185</v>
      </c>
      <c r="F4" s="1">
        <v>1.13758566466836</v>
      </c>
      <c r="G4" s="1">
        <v>1.0782248166133901</v>
      </c>
      <c r="H4" s="1">
        <v>1.2256645860175399</v>
      </c>
    </row>
    <row r="5" spans="1:8" x14ac:dyDescent="0.25">
      <c r="A5">
        <v>1999</v>
      </c>
      <c r="B5">
        <v>2807</v>
      </c>
      <c r="C5">
        <v>204</v>
      </c>
      <c r="D5">
        <v>781570</v>
      </c>
      <c r="E5">
        <v>3942509</v>
      </c>
      <c r="F5" s="1">
        <v>1.0449459278147399</v>
      </c>
      <c r="G5" s="1">
        <v>1.00923448625532</v>
      </c>
      <c r="H5" s="1">
        <v>1.0538144126948401</v>
      </c>
    </row>
    <row r="6" spans="1:8" x14ac:dyDescent="0.25">
      <c r="A6">
        <v>2000</v>
      </c>
      <c r="B6">
        <v>3242</v>
      </c>
      <c r="C6">
        <v>223</v>
      </c>
      <c r="D6">
        <v>852516</v>
      </c>
      <c r="E6">
        <v>4139750</v>
      </c>
      <c r="F6" s="1">
        <v>0.98900370530398196</v>
      </c>
      <c r="G6" s="1">
        <v>1.0686316327987</v>
      </c>
      <c r="H6" s="1">
        <v>1.0560979821193699</v>
      </c>
    </row>
    <row r="7" spans="1:8" x14ac:dyDescent="0.25">
      <c r="A7">
        <v>2001</v>
      </c>
      <c r="B7">
        <v>3013</v>
      </c>
      <c r="C7">
        <v>191</v>
      </c>
      <c r="D7">
        <v>886937</v>
      </c>
      <c r="E7">
        <v>4380217</v>
      </c>
      <c r="F7" s="1">
        <v>0.91146567323000305</v>
      </c>
      <c r="G7" s="1">
        <v>0.95460547082869096</v>
      </c>
      <c r="H7" s="1">
        <v>0.86944567512570003</v>
      </c>
    </row>
    <row r="8" spans="1:8" x14ac:dyDescent="0.25">
      <c r="A8">
        <v>2002</v>
      </c>
      <c r="B8">
        <v>2951</v>
      </c>
      <c r="C8">
        <v>196</v>
      </c>
      <c r="D8">
        <v>897330</v>
      </c>
      <c r="E8">
        <v>4598213</v>
      </c>
      <c r="F8" s="1">
        <v>0.95497706442847796</v>
      </c>
      <c r="G8" s="1">
        <v>0.92413325475625296</v>
      </c>
      <c r="H8" s="1">
        <v>0.88187241012930395</v>
      </c>
    </row>
    <row r="9" spans="1:8" x14ac:dyDescent="0.25">
      <c r="A9">
        <v>2003</v>
      </c>
      <c r="B9">
        <v>2921</v>
      </c>
      <c r="C9">
        <v>215</v>
      </c>
      <c r="D9">
        <v>961864</v>
      </c>
      <c r="E9">
        <v>4809727</v>
      </c>
      <c r="F9" s="1">
        <v>1.05831015077315</v>
      </c>
      <c r="G9" s="1">
        <v>0.85336625136724698</v>
      </c>
      <c r="H9" s="1">
        <v>0.90245731851848598</v>
      </c>
    </row>
    <row r="10" spans="1:8" x14ac:dyDescent="0.25">
      <c r="A10">
        <v>2004</v>
      </c>
      <c r="B10">
        <v>3016</v>
      </c>
      <c r="C10">
        <v>210</v>
      </c>
      <c r="D10">
        <v>999566</v>
      </c>
      <c r="E10">
        <v>5028369</v>
      </c>
      <c r="F10" s="1">
        <v>1.0011382252088099</v>
      </c>
      <c r="G10" s="1">
        <v>0.84788594621470603</v>
      </c>
      <c r="H10" s="1">
        <v>0.84822230967836398</v>
      </c>
    </row>
    <row r="11" spans="1:8" x14ac:dyDescent="0.25">
      <c r="A11">
        <v>2005</v>
      </c>
      <c r="B11">
        <v>3525</v>
      </c>
      <c r="C11">
        <v>226</v>
      </c>
      <c r="D11">
        <v>1064030</v>
      </c>
      <c r="E11">
        <v>5269033</v>
      </c>
      <c r="F11" s="1">
        <v>0.92183967915430798</v>
      </c>
      <c r="G11" s="1">
        <v>0.93094238440735</v>
      </c>
      <c r="H11" s="1">
        <v>0.85754406473659595</v>
      </c>
    </row>
    <row r="12" spans="1:8" x14ac:dyDescent="0.25">
      <c r="A12">
        <v>2006</v>
      </c>
      <c r="B12">
        <v>4131</v>
      </c>
      <c r="C12">
        <v>267</v>
      </c>
      <c r="D12">
        <v>1105579</v>
      </c>
      <c r="E12">
        <v>5518652</v>
      </c>
      <c r="F12" s="1">
        <v>0.92931323990259396</v>
      </c>
      <c r="G12" s="1">
        <v>1.04998471164842</v>
      </c>
      <c r="H12" s="1">
        <v>0.97504207790106101</v>
      </c>
    </row>
    <row r="13" spans="1:8" x14ac:dyDescent="0.25">
      <c r="A13">
        <v>2007</v>
      </c>
      <c r="B13">
        <v>4306</v>
      </c>
      <c r="C13">
        <v>262</v>
      </c>
      <c r="D13">
        <v>1137994</v>
      </c>
      <c r="E13">
        <v>5791347</v>
      </c>
      <c r="F13" s="1">
        <v>0.874849467765766</v>
      </c>
      <c r="G13" s="1">
        <v>1.0632897059728199</v>
      </c>
      <c r="H13" s="1">
        <v>0.92952949583627698</v>
      </c>
    </row>
    <row r="14" spans="1:8" x14ac:dyDescent="0.25">
      <c r="A14">
        <v>2008</v>
      </c>
      <c r="B14">
        <v>4552</v>
      </c>
      <c r="C14">
        <v>280</v>
      </c>
      <c r="D14">
        <v>1211483</v>
      </c>
      <c r="E14">
        <v>6118445</v>
      </c>
      <c r="F14" s="1">
        <v>0.88442672166803404</v>
      </c>
      <c r="G14" s="1">
        <v>1.05585064415667</v>
      </c>
      <c r="H14" s="1">
        <v>0.93313092946172504</v>
      </c>
    </row>
    <row r="15" spans="1:8" x14ac:dyDescent="0.25">
      <c r="A15">
        <v>2009</v>
      </c>
      <c r="B15">
        <v>4836</v>
      </c>
      <c r="C15">
        <v>332</v>
      </c>
      <c r="D15">
        <v>1272261</v>
      </c>
      <c r="E15">
        <v>6643756</v>
      </c>
      <c r="F15" s="1">
        <v>0.98709257171431697</v>
      </c>
      <c r="G15" s="1">
        <v>1.06813870499111</v>
      </c>
      <c r="H15" s="1">
        <v>1.05357082725607</v>
      </c>
    </row>
    <row r="16" spans="1:8" x14ac:dyDescent="0.25">
      <c r="A16">
        <v>2010</v>
      </c>
      <c r="B16">
        <v>5084</v>
      </c>
      <c r="C16">
        <v>382</v>
      </c>
      <c r="D16">
        <v>1391128</v>
      </c>
      <c r="E16">
        <v>7408937</v>
      </c>
      <c r="F16" s="1">
        <v>1.08034860630007</v>
      </c>
      <c r="G16" s="1">
        <v>1.0269658859280799</v>
      </c>
      <c r="H16" s="1">
        <v>1.1086594426663501</v>
      </c>
    </row>
    <row r="17" spans="1:8" x14ac:dyDescent="0.25">
      <c r="A17">
        <v>2011</v>
      </c>
      <c r="B17">
        <v>5501</v>
      </c>
      <c r="C17">
        <v>415</v>
      </c>
      <c r="D17">
        <v>1630890</v>
      </c>
      <c r="E17">
        <v>8240432</v>
      </c>
      <c r="F17" s="1">
        <v>1.08470725497511</v>
      </c>
      <c r="G17" s="1">
        <v>0.94783893422282095</v>
      </c>
      <c r="H17" s="1">
        <v>1.0273662982160801</v>
      </c>
    </row>
    <row r="18" spans="1:8" x14ac:dyDescent="0.25">
      <c r="A18">
        <v>2012</v>
      </c>
      <c r="B18">
        <v>6098</v>
      </c>
      <c r="C18">
        <v>422</v>
      </c>
      <c r="D18">
        <v>1903175</v>
      </c>
      <c r="E18">
        <v>8773921</v>
      </c>
      <c r="F18" s="1">
        <v>0.99501841979531402</v>
      </c>
      <c r="G18" s="1">
        <v>0.90038086033685505</v>
      </c>
      <c r="H18" s="1">
        <v>0.89523200803613401</v>
      </c>
    </row>
    <row r="19" spans="1:8" x14ac:dyDescent="0.25">
      <c r="A19">
        <v>2013</v>
      </c>
      <c r="B19">
        <v>6814</v>
      </c>
      <c r="C19">
        <v>461</v>
      </c>
      <c r="D19">
        <v>2042978</v>
      </c>
      <c r="E19">
        <v>8594168</v>
      </c>
      <c r="F19" s="1">
        <v>0.97275810565492604</v>
      </c>
      <c r="G19" s="1">
        <v>0.93725119298801496</v>
      </c>
      <c r="H19" s="1">
        <v>0.91104349960339703</v>
      </c>
    </row>
    <row r="20" spans="1:8" x14ac:dyDescent="0.25">
      <c r="A20">
        <v>2014</v>
      </c>
      <c r="B20">
        <v>6821</v>
      </c>
      <c r="C20">
        <v>495</v>
      </c>
      <c r="D20">
        <v>1805750</v>
      </c>
      <c r="E20">
        <v>6963301</v>
      </c>
      <c r="F20" s="1">
        <v>1.04342976897536</v>
      </c>
      <c r="G20" s="1">
        <v>1.06147063617797</v>
      </c>
      <c r="H20" s="1">
        <v>1.1067497704276299</v>
      </c>
    </row>
    <row r="21" spans="1:8" hidden="1" x14ac:dyDescent="0.25">
      <c r="A21">
        <v>2015</v>
      </c>
      <c r="B21">
        <v>4582</v>
      </c>
      <c r="C21">
        <v>169</v>
      </c>
      <c r="D21">
        <v>1211375</v>
      </c>
      <c r="E21">
        <v>5060126</v>
      </c>
      <c r="F21" s="1">
        <v>0.53031964563619605</v>
      </c>
      <c r="G21" s="1">
        <v>1.0629040131900001</v>
      </c>
      <c r="H21" s="1">
        <v>0.56326136367712298</v>
      </c>
    </row>
    <row r="22" spans="1:8" x14ac:dyDescent="0.25">
      <c r="C22">
        <f>SUBTOTAL(109,Table1[on_topic_in_area_filings])</f>
        <v>5488</v>
      </c>
      <c r="F22" s="1"/>
      <c r="G22" s="1"/>
      <c r="H22" s="1"/>
    </row>
    <row r="25" spans="1:8" x14ac:dyDescent="0.25">
      <c r="C25">
        <v>1817</v>
      </c>
    </row>
    <row r="26" spans="1:8" x14ac:dyDescent="0.25">
      <c r="C26">
        <v>1088</v>
      </c>
    </row>
    <row r="27" spans="1:8" x14ac:dyDescent="0.25">
      <c r="C27">
        <v>387</v>
      </c>
    </row>
    <row r="28" spans="1:8" x14ac:dyDescent="0.25">
      <c r="C28">
        <v>262</v>
      </c>
    </row>
    <row r="29" spans="1:8" x14ac:dyDescent="0.25">
      <c r="C29">
        <v>806</v>
      </c>
    </row>
    <row r="30" spans="1:8" x14ac:dyDescent="0.25">
      <c r="C30">
        <f>SUM(C25:C29)</f>
        <v>4360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F32" sqref="F32"/>
    </sheetView>
  </sheetViews>
  <sheetFormatPr defaultRowHeight="15" x14ac:dyDescent="0.25"/>
  <cols>
    <col min="2" max="2" width="16.140625" customWidth="1"/>
    <col min="3" max="3" width="24.85546875" customWidth="1"/>
    <col min="4" max="4" width="26.28515625" customWidth="1"/>
    <col min="5" max="5" width="31.7109375" customWidth="1"/>
    <col min="6" max="6" width="32.28515625" customWidth="1"/>
    <col min="7" max="7" width="27.140625" customWidth="1"/>
    <col min="8" max="8" width="28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1996</v>
      </c>
      <c r="B2">
        <v>14817</v>
      </c>
      <c r="C2">
        <v>2135</v>
      </c>
      <c r="D2">
        <v>706613</v>
      </c>
      <c r="E2">
        <v>3371676</v>
      </c>
      <c r="F2" s="1">
        <v>1.0185554960696199</v>
      </c>
      <c r="G2" s="1">
        <v>0.95623414070676205</v>
      </c>
      <c r="H2" s="1">
        <v>0.97105573122545796</v>
      </c>
    </row>
    <row r="3" spans="1:8" x14ac:dyDescent="0.25">
      <c r="A3">
        <v>1999</v>
      </c>
      <c r="B3">
        <v>18141</v>
      </c>
      <c r="C3">
        <v>2471</v>
      </c>
      <c r="D3">
        <v>781570</v>
      </c>
      <c r="E3">
        <v>3942509</v>
      </c>
      <c r="F3" s="1">
        <v>0.96284999678468997</v>
      </c>
      <c r="G3" s="1">
        <v>1.0012403143415101</v>
      </c>
      <c r="H3" s="1">
        <v>0.96115225122713899</v>
      </c>
    </row>
    <row r="4" spans="1:8" x14ac:dyDescent="0.25">
      <c r="A4">
        <v>2002</v>
      </c>
      <c r="B4">
        <v>20298</v>
      </c>
      <c r="C4">
        <v>2488</v>
      </c>
      <c r="D4">
        <v>897330</v>
      </c>
      <c r="E4">
        <v>4598213</v>
      </c>
      <c r="F4" s="1">
        <v>0.86645141581276997</v>
      </c>
      <c r="G4" s="1">
        <v>0.96053673710738097</v>
      </c>
      <c r="H4" s="1">
        <v>0.82976178671592804</v>
      </c>
    </row>
    <row r="5" spans="1:8" x14ac:dyDescent="0.25">
      <c r="A5">
        <v>2005</v>
      </c>
      <c r="B5">
        <v>22505</v>
      </c>
      <c r="C5">
        <v>2871</v>
      </c>
      <c r="D5">
        <v>1064030</v>
      </c>
      <c r="E5">
        <v>5269033</v>
      </c>
      <c r="F5" s="1">
        <v>0.90178143382911602</v>
      </c>
      <c r="G5" s="1">
        <v>0.92938980170545704</v>
      </c>
      <c r="H5" s="1">
        <v>0.835592188647032</v>
      </c>
    </row>
    <row r="6" spans="1:8" x14ac:dyDescent="0.25">
      <c r="A6">
        <v>2008</v>
      </c>
      <c r="B6">
        <v>28378</v>
      </c>
      <c r="C6">
        <v>4293</v>
      </c>
      <c r="D6">
        <v>1211483</v>
      </c>
      <c r="E6">
        <v>6118445</v>
      </c>
      <c r="F6" s="1">
        <v>1.06936561316673</v>
      </c>
      <c r="G6" s="1">
        <v>1.0092308649891899</v>
      </c>
      <c r="H6" s="1">
        <v>1.0759992169325401</v>
      </c>
    </row>
    <row r="7" spans="1:8" x14ac:dyDescent="0.25">
      <c r="A7">
        <v>2011</v>
      </c>
      <c r="B7">
        <v>39448</v>
      </c>
      <c r="C7">
        <v>6448</v>
      </c>
      <c r="D7">
        <v>1630890</v>
      </c>
      <c r="E7">
        <v>8240432</v>
      </c>
      <c r="F7" s="1">
        <v>1.15543933540294</v>
      </c>
      <c r="G7" s="1">
        <v>1.0416571396312599</v>
      </c>
      <c r="H7" s="1">
        <v>1.1999611118660201</v>
      </c>
    </row>
    <row r="8" spans="1:8" x14ac:dyDescent="0.25">
      <c r="A8">
        <v>2014</v>
      </c>
      <c r="B8">
        <v>35256</v>
      </c>
      <c r="C8">
        <v>5115</v>
      </c>
      <c r="D8">
        <v>1805750</v>
      </c>
      <c r="E8">
        <v>6963301</v>
      </c>
      <c r="F8" s="1">
        <v>1.02555670893413</v>
      </c>
      <c r="G8" s="1">
        <v>1.1017110015184399</v>
      </c>
      <c r="H8" s="1">
        <v>1.1264777133858801</v>
      </c>
    </row>
    <row r="9" spans="1:8" x14ac:dyDescent="0.25">
      <c r="C9">
        <f>SUBTOTAL(109,Table1351011[on_topic_in_area_filings])</f>
        <v>25821</v>
      </c>
      <c r="F9" s="1"/>
      <c r="G9" s="1"/>
      <c r="H9" s="1"/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F2" sqref="F2"/>
    </sheetView>
  </sheetViews>
  <sheetFormatPr defaultRowHeight="15" x14ac:dyDescent="0.25"/>
  <cols>
    <col min="2" max="2" width="16.140625" customWidth="1"/>
    <col min="3" max="3" width="24.85546875" customWidth="1"/>
    <col min="4" max="4" width="26.28515625" customWidth="1"/>
    <col min="5" max="5" width="31.7109375" customWidth="1"/>
    <col min="6" max="6" width="32.28515625" customWidth="1"/>
    <col min="7" max="7" width="27.140625" customWidth="1"/>
    <col min="8" max="8" width="28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1998</v>
      </c>
      <c r="B2">
        <v>15569</v>
      </c>
      <c r="C2">
        <v>94</v>
      </c>
      <c r="D2">
        <v>721397</v>
      </c>
      <c r="E2">
        <v>3762185</v>
      </c>
      <c r="F2" s="1">
        <v>0.88414582025984501</v>
      </c>
      <c r="G2" s="1">
        <v>1.0098538432628801</v>
      </c>
      <c r="H2" s="1">
        <v>0.89227489087410905</v>
      </c>
    </row>
    <row r="3" spans="1:8" x14ac:dyDescent="0.25">
      <c r="A3">
        <v>2001</v>
      </c>
      <c r="B3">
        <v>17230</v>
      </c>
      <c r="C3">
        <v>100</v>
      </c>
      <c r="D3">
        <v>886937</v>
      </c>
      <c r="E3">
        <v>4380217</v>
      </c>
      <c r="F3" s="1">
        <v>0.849907132417835</v>
      </c>
      <c r="G3" s="1">
        <v>0.95990354296245695</v>
      </c>
      <c r="H3" s="1">
        <v>0.81529607639833801</v>
      </c>
    </row>
    <row r="4" spans="1:8" x14ac:dyDescent="0.25">
      <c r="A4">
        <v>2004</v>
      </c>
      <c r="B4">
        <v>20309</v>
      </c>
      <c r="C4">
        <v>118</v>
      </c>
      <c r="D4">
        <v>999566</v>
      </c>
      <c r="E4">
        <v>5028369</v>
      </c>
      <c r="F4" s="1">
        <v>0.85084455373184498</v>
      </c>
      <c r="G4" s="1">
        <v>0.98559697327655404</v>
      </c>
      <c r="H4" s="1">
        <v>0.83804208470799302</v>
      </c>
    </row>
    <row r="5" spans="1:8" x14ac:dyDescent="0.25">
      <c r="A5">
        <v>2007</v>
      </c>
      <c r="B5">
        <v>24753</v>
      </c>
      <c r="C5">
        <v>141</v>
      </c>
      <c r="D5">
        <v>1137994</v>
      </c>
      <c r="E5">
        <v>5791347</v>
      </c>
      <c r="F5" s="1">
        <v>0.83415747239245797</v>
      </c>
      <c r="G5" s="1">
        <v>1.0430045011920599</v>
      </c>
      <c r="H5" s="1">
        <v>0.86946177963782201</v>
      </c>
    </row>
    <row r="6" spans="1:8" x14ac:dyDescent="0.25">
      <c r="A6">
        <v>2010</v>
      </c>
      <c r="B6">
        <v>31524</v>
      </c>
      <c r="C6">
        <v>288</v>
      </c>
      <c r="D6">
        <v>1391128</v>
      </c>
      <c r="E6">
        <v>7408937</v>
      </c>
      <c r="F6" s="1">
        <v>1.33785153086179</v>
      </c>
      <c r="G6" s="1">
        <v>1.0383011922246199</v>
      </c>
      <c r="H6" s="1">
        <v>1.3881857210233799</v>
      </c>
    </row>
    <row r="7" spans="1:8" x14ac:dyDescent="0.25">
      <c r="A7">
        <v>2013</v>
      </c>
      <c r="B7">
        <v>33927</v>
      </c>
      <c r="C7">
        <v>288</v>
      </c>
      <c r="D7">
        <v>2042978</v>
      </c>
      <c r="E7">
        <v>8594168</v>
      </c>
      <c r="F7" s="1">
        <v>1.2430934903362301</v>
      </c>
      <c r="G7" s="1">
        <v>0.963339947081429</v>
      </c>
      <c r="H7" s="1">
        <v>1.1967394473583599</v>
      </c>
    </row>
    <row r="8" spans="1:8" x14ac:dyDescent="0.25">
      <c r="C8">
        <f>SUBTOTAL(109,Table1351012[on_topic_in_area_filings])</f>
        <v>1029</v>
      </c>
      <c r="F8" s="1"/>
      <c r="G8" s="1"/>
      <c r="H8" s="1"/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C12" sqref="C12"/>
    </sheetView>
  </sheetViews>
  <sheetFormatPr defaultRowHeight="15" x14ac:dyDescent="0.25"/>
  <cols>
    <col min="2" max="2" width="16.140625" customWidth="1"/>
    <col min="3" max="3" width="24.85546875" customWidth="1"/>
    <col min="4" max="4" width="26.28515625" customWidth="1"/>
    <col min="5" max="5" width="31.7109375" customWidth="1"/>
    <col min="6" max="6" width="32.28515625" customWidth="1"/>
    <col min="7" max="7" width="27.140625" customWidth="1"/>
    <col min="8" max="8" width="28.28515625" customWidth="1"/>
  </cols>
  <sheetData>
    <row r="1" spans="1:8" x14ac:dyDescent="0.25">
      <c r="A1" t="s">
        <v>0</v>
      </c>
      <c r="B1" t="s">
        <v>1</v>
      </c>
      <c r="C1" t="s">
        <v>12</v>
      </c>
      <c r="D1" t="s">
        <v>10</v>
      </c>
      <c r="E1" t="s">
        <v>11</v>
      </c>
      <c r="F1" t="s">
        <v>5</v>
      </c>
      <c r="G1" t="s">
        <v>14</v>
      </c>
      <c r="H1" t="s">
        <v>13</v>
      </c>
    </row>
    <row r="2" spans="1:8" x14ac:dyDescent="0.25">
      <c r="A2">
        <v>1997</v>
      </c>
      <c r="B2">
        <v>2467</v>
      </c>
      <c r="C2">
        <v>6</v>
      </c>
      <c r="D2">
        <v>578639</v>
      </c>
      <c r="E2">
        <v>2977521</v>
      </c>
      <c r="F2" s="1">
        <v>0.60473876305368901</v>
      </c>
      <c r="G2" s="1">
        <v>1.0539341976640599</v>
      </c>
      <c r="H2" s="1">
        <v>0.63734365595331299</v>
      </c>
    </row>
    <row r="3" spans="1:8" x14ac:dyDescent="0.25">
      <c r="A3">
        <v>1999</v>
      </c>
      <c r="B3">
        <v>2646</v>
      </c>
      <c r="C3">
        <v>7</v>
      </c>
      <c r="D3">
        <v>676688</v>
      </c>
      <c r="E3">
        <v>3395373</v>
      </c>
      <c r="F3" s="1">
        <v>0.63275914842269398</v>
      </c>
      <c r="G3" s="1">
        <v>0.99102401324021405</v>
      </c>
      <c r="H3" s="1">
        <v>0.62706847548224898</v>
      </c>
    </row>
    <row r="4" spans="1:8" x14ac:dyDescent="0.25">
      <c r="A4">
        <v>2001</v>
      </c>
      <c r="B4">
        <v>2871</v>
      </c>
      <c r="C4">
        <v>11</v>
      </c>
      <c r="D4">
        <v>783437</v>
      </c>
      <c r="E4">
        <v>3798956</v>
      </c>
      <c r="F4" s="1">
        <v>0.83652771563351702</v>
      </c>
      <c r="G4" s="1">
        <v>0.96128376865331999</v>
      </c>
      <c r="H4" s="1">
        <v>0.80412633636087005</v>
      </c>
    </row>
    <row r="5" spans="1:8" x14ac:dyDescent="0.25">
      <c r="A5">
        <v>2003</v>
      </c>
      <c r="B5">
        <v>3128</v>
      </c>
      <c r="C5">
        <v>13</v>
      </c>
      <c r="D5">
        <v>819181</v>
      </c>
      <c r="E5">
        <v>4093185</v>
      </c>
      <c r="F5" s="1">
        <v>0.91909703283829702</v>
      </c>
      <c r="G5" s="1">
        <v>0.97197839736125702</v>
      </c>
      <c r="H5" s="1">
        <v>0.89332680939140596</v>
      </c>
    </row>
    <row r="6" spans="1:8" x14ac:dyDescent="0.25">
      <c r="A6">
        <v>2005</v>
      </c>
      <c r="B6">
        <v>3697</v>
      </c>
      <c r="C6">
        <v>18</v>
      </c>
      <c r="D6">
        <v>896051</v>
      </c>
      <c r="E6">
        <v>4505132</v>
      </c>
      <c r="F6" s="1">
        <v>1.0729245385895301</v>
      </c>
      <c r="G6" s="1">
        <v>1.04376344873705</v>
      </c>
      <c r="H6" s="1">
        <v>1.1198596682373601</v>
      </c>
    </row>
    <row r="7" spans="1:8" x14ac:dyDescent="0.25">
      <c r="A7">
        <v>2007</v>
      </c>
      <c r="B7">
        <v>4125</v>
      </c>
      <c r="C7">
        <v>25</v>
      </c>
      <c r="D7">
        <v>1014095</v>
      </c>
      <c r="E7">
        <v>5130974</v>
      </c>
      <c r="F7" s="1">
        <v>1.3586717890348401</v>
      </c>
      <c r="G7" s="1">
        <v>1.02248897507875</v>
      </c>
      <c r="H7" s="1">
        <v>1.3892024464155499</v>
      </c>
    </row>
    <row r="8" spans="1:8" x14ac:dyDescent="0.25">
      <c r="A8">
        <v>2009</v>
      </c>
      <c r="B8">
        <v>4903</v>
      </c>
      <c r="C8">
        <v>29</v>
      </c>
      <c r="D8">
        <v>1145175</v>
      </c>
      <c r="E8">
        <v>6036834</v>
      </c>
      <c r="F8" s="1">
        <v>1.3137803531110299</v>
      </c>
      <c r="G8" s="1">
        <v>1.03298384254392</v>
      </c>
      <c r="H8" s="1">
        <v>1.3570900605910601</v>
      </c>
    </row>
    <row r="9" spans="1:8" x14ac:dyDescent="0.25">
      <c r="A9">
        <v>2011</v>
      </c>
      <c r="B9">
        <v>5672</v>
      </c>
      <c r="C9">
        <v>34</v>
      </c>
      <c r="D9">
        <v>1520390</v>
      </c>
      <c r="E9">
        <v>7543693</v>
      </c>
      <c r="F9" s="1">
        <v>1.3217144547574</v>
      </c>
      <c r="G9" s="1">
        <v>0.956308193785951</v>
      </c>
      <c r="H9" s="1">
        <v>1.26394406172412</v>
      </c>
    </row>
    <row r="10" spans="1:8" x14ac:dyDescent="0.25">
      <c r="A10">
        <v>2013</v>
      </c>
      <c r="B10">
        <v>5654</v>
      </c>
      <c r="C10">
        <v>24</v>
      </c>
      <c r="D10">
        <v>1941598</v>
      </c>
      <c r="E10">
        <v>7442061</v>
      </c>
      <c r="F10" s="1">
        <v>0.93978620455901096</v>
      </c>
      <c r="G10" s="1">
        <v>0.96623516293547296</v>
      </c>
      <c r="H10" s="1">
        <v>0.90803848584408697</v>
      </c>
    </row>
    <row r="11" spans="1:8" x14ac:dyDescent="0.25">
      <c r="C11">
        <f>SUBTOTAL(109,Table135101213[Absolute '# on topic])</f>
        <v>167</v>
      </c>
      <c r="F11" s="2"/>
      <c r="G11" s="2"/>
      <c r="H11" s="2"/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D31" sqref="D31"/>
    </sheetView>
  </sheetViews>
  <sheetFormatPr defaultRowHeight="15" x14ac:dyDescent="0.25"/>
  <cols>
    <col min="2" max="2" width="16.140625" customWidth="1"/>
    <col min="3" max="3" width="24.85546875" customWidth="1"/>
    <col min="4" max="4" width="26.28515625" customWidth="1"/>
    <col min="5" max="5" width="31.7109375" customWidth="1"/>
    <col min="6" max="6" width="32.28515625" customWidth="1"/>
    <col min="7" max="7" width="27.140625" customWidth="1"/>
    <col min="8" max="8" width="28.28515625" customWidth="1"/>
  </cols>
  <sheetData>
    <row r="1" spans="1:8" x14ac:dyDescent="0.25">
      <c r="A1" t="s">
        <v>0</v>
      </c>
      <c r="B1" t="s">
        <v>1</v>
      </c>
      <c r="C1" t="s">
        <v>17</v>
      </c>
      <c r="D1" t="s">
        <v>10</v>
      </c>
      <c r="E1" t="s">
        <v>15</v>
      </c>
      <c r="F1" t="s">
        <v>5</v>
      </c>
      <c r="G1" t="s">
        <v>16</v>
      </c>
      <c r="H1" t="s">
        <v>18</v>
      </c>
    </row>
    <row r="2" spans="1:8" hidden="1" x14ac:dyDescent="0.25">
      <c r="A2">
        <v>1969</v>
      </c>
      <c r="B2">
        <v>108</v>
      </c>
      <c r="C2">
        <v>2</v>
      </c>
      <c r="D2">
        <v>66059</v>
      </c>
      <c r="E2">
        <v>0</v>
      </c>
      <c r="F2" s="1">
        <v>0.50908873434902402</v>
      </c>
      <c r="G2" s="1">
        <v>1.38822402736913</v>
      </c>
      <c r="H2" s="1">
        <v>0.96992348962886898</v>
      </c>
    </row>
    <row r="3" spans="1:8" hidden="1" x14ac:dyDescent="0.25">
      <c r="A3">
        <v>1971</v>
      </c>
      <c r="B3">
        <v>194</v>
      </c>
      <c r="C3">
        <v>4</v>
      </c>
      <c r="D3">
        <v>87520</v>
      </c>
      <c r="E3">
        <v>0</v>
      </c>
      <c r="F3" s="1">
        <v>0.61083923052659395</v>
      </c>
      <c r="G3" s="1">
        <v>1.88089893099134</v>
      </c>
      <c r="H3" s="1">
        <v>1.5768009148162101</v>
      </c>
    </row>
    <row r="4" spans="1:8" hidden="1" x14ac:dyDescent="0.25">
      <c r="A4">
        <v>1973</v>
      </c>
      <c r="B4">
        <v>285</v>
      </c>
      <c r="C4">
        <v>3</v>
      </c>
      <c r="D4">
        <v>98748</v>
      </c>
      <c r="E4">
        <v>0</v>
      </c>
      <c r="F4" s="1">
        <v>0.28239195759950703</v>
      </c>
      <c r="G4" s="1">
        <v>2.4468912979415398</v>
      </c>
      <c r="H4" s="1">
        <v>0.948312377045615</v>
      </c>
    </row>
    <row r="5" spans="1:8" hidden="1" x14ac:dyDescent="0.25">
      <c r="A5">
        <v>1975</v>
      </c>
      <c r="B5">
        <v>285</v>
      </c>
      <c r="C5">
        <v>2</v>
      </c>
      <c r="D5">
        <v>171942</v>
      </c>
      <c r="E5">
        <v>0</v>
      </c>
      <c r="F5" s="1">
        <v>0.192877160585532</v>
      </c>
      <c r="G5" s="1">
        <v>1.4077393809938099</v>
      </c>
      <c r="H5" s="1">
        <v>0.37263831672092901</v>
      </c>
    </row>
    <row r="6" spans="1:8" x14ac:dyDescent="0.25">
      <c r="A6">
        <v>1977</v>
      </c>
      <c r="B6">
        <v>364</v>
      </c>
      <c r="C6">
        <v>1</v>
      </c>
      <c r="D6">
        <v>182842</v>
      </c>
      <c r="E6">
        <v>0</v>
      </c>
      <c r="F6" s="1">
        <v>0.11610450220124301</v>
      </c>
      <c r="G6" s="1">
        <v>1.69167398483559</v>
      </c>
      <c r="H6" s="1">
        <v>0.26955673007288999</v>
      </c>
    </row>
    <row r="7" spans="1:8" x14ac:dyDescent="0.25">
      <c r="A7">
        <v>1979</v>
      </c>
      <c r="B7">
        <v>342</v>
      </c>
      <c r="C7">
        <v>3</v>
      </c>
      <c r="D7">
        <v>224719</v>
      </c>
      <c r="E7">
        <v>0</v>
      </c>
      <c r="F7" s="1">
        <v>0.22294101542016501</v>
      </c>
      <c r="G7" s="1">
        <v>1.2902814187437699</v>
      </c>
      <c r="H7" s="1">
        <v>0.39478335622497202</v>
      </c>
    </row>
    <row r="8" spans="1:8" x14ac:dyDescent="0.25">
      <c r="A8">
        <v>1981</v>
      </c>
      <c r="B8">
        <v>340</v>
      </c>
      <c r="C8">
        <v>5</v>
      </c>
      <c r="D8">
        <v>253820</v>
      </c>
      <c r="E8">
        <v>0</v>
      </c>
      <c r="F8" s="1">
        <v>0.39789080828464501</v>
      </c>
      <c r="G8" s="1">
        <v>1.13789424238256</v>
      </c>
      <c r="H8" s="1">
        <v>0.62137001420701599</v>
      </c>
    </row>
    <row r="9" spans="1:8" x14ac:dyDescent="0.25">
      <c r="A9">
        <v>1983</v>
      </c>
      <c r="B9">
        <v>353</v>
      </c>
      <c r="C9">
        <v>4</v>
      </c>
      <c r="D9">
        <v>284932</v>
      </c>
      <c r="E9">
        <v>0</v>
      </c>
      <c r="F9" s="1">
        <v>0.311843864745948</v>
      </c>
      <c r="G9" s="1">
        <v>1.0508399945957001</v>
      </c>
      <c r="H9" s="1">
        <v>0.44973662535667203</v>
      </c>
    </row>
    <row r="10" spans="1:8" x14ac:dyDescent="0.25">
      <c r="A10">
        <v>1985</v>
      </c>
      <c r="B10">
        <v>380</v>
      </c>
      <c r="C10">
        <v>7</v>
      </c>
      <c r="D10">
        <v>330926</v>
      </c>
      <c r="E10">
        <v>0</v>
      </c>
      <c r="F10" s="1">
        <v>0.51209054090583195</v>
      </c>
      <c r="G10" s="1">
        <v>0.97481425877488703</v>
      </c>
      <c r="H10" s="1">
        <v>0.68509856180460704</v>
      </c>
    </row>
    <row r="11" spans="1:8" x14ac:dyDescent="0.25">
      <c r="A11">
        <v>1987</v>
      </c>
      <c r="B11">
        <v>579</v>
      </c>
      <c r="C11">
        <v>6</v>
      </c>
      <c r="D11">
        <v>400607</v>
      </c>
      <c r="E11">
        <v>0</v>
      </c>
      <c r="F11" s="1">
        <v>0.299949993286107</v>
      </c>
      <c r="G11" s="1">
        <v>1.2253443348564099</v>
      </c>
      <c r="H11" s="1">
        <v>0.50441900430369702</v>
      </c>
    </row>
    <row r="12" spans="1:8" x14ac:dyDescent="0.25">
      <c r="A12">
        <v>1989</v>
      </c>
      <c r="B12">
        <v>534</v>
      </c>
      <c r="C12">
        <v>12</v>
      </c>
      <c r="D12">
        <v>447745</v>
      </c>
      <c r="E12">
        <v>0</v>
      </c>
      <c r="F12" s="1">
        <v>0.61022021739716903</v>
      </c>
      <c r="G12" s="1">
        <v>1.01208050938753</v>
      </c>
      <c r="H12" s="1">
        <v>0.84759057238824598</v>
      </c>
    </row>
    <row r="13" spans="1:8" x14ac:dyDescent="0.25">
      <c r="A13">
        <v>1991</v>
      </c>
      <c r="B13">
        <v>485</v>
      </c>
      <c r="C13">
        <v>13</v>
      </c>
      <c r="D13">
        <v>483634</v>
      </c>
      <c r="E13">
        <v>0</v>
      </c>
      <c r="F13" s="1">
        <v>0.70743552874665605</v>
      </c>
      <c r="G13" s="1">
        <v>0.85020378571854405</v>
      </c>
      <c r="H13" s="1">
        <v>0.82545675721936396</v>
      </c>
    </row>
    <row r="14" spans="1:8" x14ac:dyDescent="0.25">
      <c r="A14">
        <v>1993</v>
      </c>
      <c r="B14">
        <v>482</v>
      </c>
      <c r="C14">
        <v>18</v>
      </c>
      <c r="D14">
        <v>505048</v>
      </c>
      <c r="E14">
        <v>0</v>
      </c>
      <c r="F14" s="1">
        <v>0.95691363134450302</v>
      </c>
      <c r="G14" s="1">
        <v>0.80995850116244905</v>
      </c>
      <c r="H14" s="1">
        <v>1.06370198510475</v>
      </c>
    </row>
    <row r="15" spans="1:8" x14ac:dyDescent="0.25">
      <c r="A15">
        <v>1995</v>
      </c>
      <c r="B15">
        <v>441</v>
      </c>
      <c r="C15">
        <v>19</v>
      </c>
      <c r="D15">
        <v>519195</v>
      </c>
      <c r="E15">
        <v>0</v>
      </c>
      <c r="F15" s="1">
        <v>1.1125177017063499</v>
      </c>
      <c r="G15" s="1">
        <v>0.72121079348376005</v>
      </c>
      <c r="H15" s="1">
        <v>1.1011680986611001</v>
      </c>
    </row>
    <row r="16" spans="1:8" x14ac:dyDescent="0.25">
      <c r="A16">
        <v>1997</v>
      </c>
      <c r="B16">
        <v>462</v>
      </c>
      <c r="C16">
        <v>24</v>
      </c>
      <c r="D16">
        <v>578639</v>
      </c>
      <c r="E16">
        <v>0</v>
      </c>
      <c r="F16" s="1">
        <v>1.3463226910536801</v>
      </c>
      <c r="G16" s="1">
        <v>0.67764484838598904</v>
      </c>
      <c r="H16" s="1">
        <v>1.25209058095228</v>
      </c>
    </row>
    <row r="17" spans="1:8" x14ac:dyDescent="0.25">
      <c r="A17">
        <v>1999</v>
      </c>
      <c r="B17">
        <v>470</v>
      </c>
      <c r="C17">
        <v>22</v>
      </c>
      <c r="D17">
        <v>676688</v>
      </c>
      <c r="E17">
        <v>0</v>
      </c>
      <c r="F17" s="1">
        <v>1.2162574095463901</v>
      </c>
      <c r="G17" s="1">
        <v>0.58906262431564504</v>
      </c>
      <c r="H17" s="1">
        <v>0.98326689320266702</v>
      </c>
    </row>
    <row r="18" spans="1:8" x14ac:dyDescent="0.25">
      <c r="A18">
        <v>2001</v>
      </c>
      <c r="B18">
        <v>509</v>
      </c>
      <c r="C18">
        <v>24</v>
      </c>
      <c r="D18">
        <v>783437</v>
      </c>
      <c r="E18">
        <v>0</v>
      </c>
      <c r="F18" s="1">
        <v>1.2312474117952401</v>
      </c>
      <c r="G18" s="1">
        <v>0.55100303936272399</v>
      </c>
      <c r="H18" s="1">
        <v>0.93107308921669396</v>
      </c>
    </row>
    <row r="19" spans="1:8" x14ac:dyDescent="0.25">
      <c r="A19">
        <v>2003</v>
      </c>
      <c r="B19">
        <v>491</v>
      </c>
      <c r="C19">
        <v>28</v>
      </c>
      <c r="D19">
        <v>819181</v>
      </c>
      <c r="E19">
        <v>0</v>
      </c>
      <c r="F19" s="1">
        <v>1.49045513587247</v>
      </c>
      <c r="G19" s="1">
        <v>0.50884910042529796</v>
      </c>
      <c r="H19" s="1">
        <v>1.0408600685873599</v>
      </c>
    </row>
    <row r="20" spans="1:8" x14ac:dyDescent="0.25">
      <c r="A20">
        <v>2005</v>
      </c>
      <c r="B20">
        <v>593</v>
      </c>
      <c r="C20">
        <v>32</v>
      </c>
      <c r="D20">
        <v>896051</v>
      </c>
      <c r="E20">
        <v>0</v>
      </c>
      <c r="F20" s="1">
        <v>1.38498970880484</v>
      </c>
      <c r="G20" s="1">
        <v>0.56138929069216803</v>
      </c>
      <c r="H20" s="1">
        <v>1.0670754536582101</v>
      </c>
    </row>
    <row r="21" spans="1:8" x14ac:dyDescent="0.25">
      <c r="A21">
        <v>2007</v>
      </c>
      <c r="B21">
        <v>724</v>
      </c>
      <c r="C21">
        <v>48</v>
      </c>
      <c r="D21">
        <v>1014095</v>
      </c>
      <c r="E21">
        <v>0</v>
      </c>
      <c r="F21" s="1">
        <v>1.7009763127653099</v>
      </c>
      <c r="G21" s="1">
        <v>0.60583970126245001</v>
      </c>
      <c r="H21" s="1">
        <v>1.41429649650106</v>
      </c>
    </row>
    <row r="22" spans="1:8" x14ac:dyDescent="0.25">
      <c r="A22">
        <v>2009</v>
      </c>
      <c r="B22">
        <v>814</v>
      </c>
      <c r="C22">
        <v>65</v>
      </c>
      <c r="D22">
        <v>1145175</v>
      </c>
      <c r="E22">
        <v>0</v>
      </c>
      <c r="F22" s="1">
        <v>2.0481936345057998</v>
      </c>
      <c r="G22" s="1">
        <v>0.60324683960423198</v>
      </c>
      <c r="H22" s="1">
        <v>1.6957057121079</v>
      </c>
    </row>
    <row r="23" spans="1:8" x14ac:dyDescent="0.25">
      <c r="A23">
        <v>2011</v>
      </c>
      <c r="B23">
        <v>925</v>
      </c>
      <c r="C23">
        <v>87</v>
      </c>
      <c r="D23">
        <v>1520390</v>
      </c>
      <c r="E23">
        <v>0</v>
      </c>
      <c r="F23" s="1">
        <v>2.3932641982627301</v>
      </c>
      <c r="G23" s="1">
        <v>0.51617591185923895</v>
      </c>
      <c r="H23" s="1">
        <v>1.6954024757560799</v>
      </c>
    </row>
    <row r="24" spans="1:8" x14ac:dyDescent="0.25">
      <c r="A24">
        <v>2013</v>
      </c>
      <c r="B24">
        <v>1142</v>
      </c>
      <c r="C24">
        <v>150</v>
      </c>
      <c r="D24">
        <v>1941598</v>
      </c>
      <c r="E24">
        <v>0</v>
      </c>
      <c r="F24" s="1">
        <v>3.3451886102942598</v>
      </c>
      <c r="G24" s="1">
        <v>0.49873318285525098</v>
      </c>
      <c r="H24" s="1">
        <v>2.2896724264628099</v>
      </c>
    </row>
    <row r="30" spans="1:8" x14ac:dyDescent="0.25">
      <c r="D30">
        <f>5^(1/20)</f>
        <v>1.0837983867343681</v>
      </c>
    </row>
    <row r="31" spans="1:8" x14ac:dyDescent="0.25">
      <c r="D31">
        <f>2.5^(1/10)</f>
        <v>1.0959582263852172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F21" sqref="F21"/>
    </sheetView>
  </sheetViews>
  <sheetFormatPr defaultRowHeight="15" x14ac:dyDescent="0.25"/>
  <cols>
    <col min="2" max="2" width="16.140625" customWidth="1"/>
    <col min="3" max="3" width="24.85546875" customWidth="1"/>
    <col min="4" max="4" width="26.28515625" customWidth="1"/>
    <col min="5" max="5" width="31.7109375" customWidth="1"/>
    <col min="6" max="6" width="32.28515625" customWidth="1"/>
    <col min="7" max="7" width="27.140625" customWidth="1"/>
    <col min="8" max="8" width="28.28515625" customWidth="1"/>
    <col min="9" max="9" width="15.85546875" style="4" customWidth="1"/>
    <col min="10" max="10" width="13.42578125" customWidth="1"/>
  </cols>
  <sheetData>
    <row r="1" spans="1:10" x14ac:dyDescent="0.25">
      <c r="A1" t="s">
        <v>0</v>
      </c>
      <c r="B1" t="s">
        <v>1</v>
      </c>
      <c r="C1" t="s">
        <v>12</v>
      </c>
      <c r="D1" t="s">
        <v>10</v>
      </c>
      <c r="E1" t="s">
        <v>11</v>
      </c>
      <c r="F1" t="s">
        <v>5</v>
      </c>
      <c r="G1" t="s">
        <v>14</v>
      </c>
      <c r="H1" t="s">
        <v>13</v>
      </c>
      <c r="I1" s="4" t="s">
        <v>8</v>
      </c>
      <c r="J1" t="s">
        <v>9</v>
      </c>
    </row>
    <row r="2" spans="1:10" x14ac:dyDescent="0.25">
      <c r="A2">
        <v>1997</v>
      </c>
      <c r="B2">
        <v>29878</v>
      </c>
      <c r="C2" s="7">
        <v>16</v>
      </c>
      <c r="D2">
        <v>578639</v>
      </c>
      <c r="E2">
        <v>2977521</v>
      </c>
      <c r="F2" s="1">
        <v>0.91611408570953801</v>
      </c>
      <c r="G2" s="1">
        <v>0.98944831301260805</v>
      </c>
      <c r="H2" s="1">
        <v>0.912462622994199</v>
      </c>
      <c r="I2" s="5">
        <f>Table1351012131415[[#This Row],[Absolute '# on topic]]/Table1351012131415[[#This Row],[number_of_filed_families_band_text]]</f>
        <v>5.3735977009062238E-6</v>
      </c>
      <c r="J2" s="5">
        <f>(Table1351012131415[[#This Row],[Absolute '# on topic]]/Table1351012131415[[#This Row],[number_of_filed_families_band_text]])/Table1351012131415[[#Totals],[Column1]]</f>
        <v>0.92031240680765458</v>
      </c>
    </row>
    <row r="3" spans="1:10" x14ac:dyDescent="0.25">
      <c r="A3">
        <v>1999</v>
      </c>
      <c r="B3">
        <v>34830</v>
      </c>
      <c r="C3" s="7">
        <v>18</v>
      </c>
      <c r="D3">
        <v>676688</v>
      </c>
      <c r="E3">
        <v>3395373</v>
      </c>
      <c r="F3" s="1">
        <v>0.88408478053523498</v>
      </c>
      <c r="G3" s="1">
        <v>1.01150642559018</v>
      </c>
      <c r="H3" s="1">
        <v>0.90019150647129997</v>
      </c>
      <c r="I3" s="5">
        <f>Table1351012131415[[#This Row],[Absolute '# on topic]]/Table1351012131415[[#This Row],[number_of_filed_families_band_text]]</f>
        <v>5.3013321364103443E-6</v>
      </c>
      <c r="J3" s="5">
        <f>(Table1351012131415[[#This Row],[Absolute '# on topic]]/Table1351012131415[[#This Row],[number_of_filed_families_band_text]])/Table1351012131415[[#Totals],[Column1]]</f>
        <v>0.90793580191605638</v>
      </c>
    </row>
    <row r="4" spans="1:10" x14ac:dyDescent="0.25">
      <c r="A4">
        <v>2001</v>
      </c>
      <c r="B4">
        <v>39267</v>
      </c>
      <c r="C4" s="7">
        <v>19</v>
      </c>
      <c r="D4">
        <v>783437</v>
      </c>
      <c r="E4">
        <v>3798956</v>
      </c>
      <c r="F4" s="1">
        <v>0.83501532378935595</v>
      </c>
      <c r="G4" s="1">
        <v>1.0192140523090301</v>
      </c>
      <c r="H4" s="1">
        <v>0.85670685824524595</v>
      </c>
      <c r="I4" s="5">
        <f>Table1351012131415[[#This Row],[Absolute '# on topic]]/Table1351012131415[[#This Row],[number_of_filed_families_band_text]]</f>
        <v>5.0013740617159028E-6</v>
      </c>
      <c r="J4" s="5">
        <f>(Table1351012131415[[#This Row],[Absolute '# on topic]]/Table1351012131415[[#This Row],[number_of_filed_families_band_text]])/Table1351012131415[[#Totals],[Column1]]</f>
        <v>0.85656330381913404</v>
      </c>
    </row>
    <row r="5" spans="1:10" x14ac:dyDescent="0.25">
      <c r="A5">
        <v>2003</v>
      </c>
      <c r="B5">
        <v>43642</v>
      </c>
      <c r="C5" s="7">
        <v>20</v>
      </c>
      <c r="D5">
        <v>819181</v>
      </c>
      <c r="E5">
        <v>4093185</v>
      </c>
      <c r="F5" s="1">
        <v>0.80357915205203101</v>
      </c>
      <c r="G5" s="1">
        <v>1.05133554089666</v>
      </c>
      <c r="H5" s="1">
        <v>0.85043750645165805</v>
      </c>
      <c r="I5" s="5">
        <f>Table1351012131415[[#This Row],[Absolute '# on topic]]/Table1351012131415[[#This Row],[number_of_filed_families_band_text]]</f>
        <v>4.8861705493399394E-6</v>
      </c>
      <c r="J5" s="5">
        <f>(Table1351012131415[[#This Row],[Absolute '# on topic]]/Table1351012131415[[#This Row],[number_of_filed_families_band_text]])/Table1351012131415[[#Totals],[Column1]]</f>
        <v>0.83683290574159686</v>
      </c>
    </row>
    <row r="6" spans="1:10" x14ac:dyDescent="0.25">
      <c r="A6">
        <v>2005</v>
      </c>
      <c r="B6">
        <v>48766</v>
      </c>
      <c r="C6" s="7">
        <v>24</v>
      </c>
      <c r="D6">
        <v>896051</v>
      </c>
      <c r="E6">
        <v>4505132</v>
      </c>
      <c r="F6" s="1">
        <v>0.86530356599399105</v>
      </c>
      <c r="G6" s="1">
        <v>1.0673625214301401</v>
      </c>
      <c r="H6" s="1">
        <v>0.92972152533046304</v>
      </c>
      <c r="I6" s="5">
        <f>Table1351012131415[[#This Row],[Absolute '# on topic]]/Table1351012131415[[#This Row],[number_of_filed_families_band_text]]</f>
        <v>5.3272578916666594E-6</v>
      </c>
      <c r="J6" s="5">
        <f>(Table1351012131415[[#This Row],[Absolute '# on topic]]/Table1351012131415[[#This Row],[number_of_filed_families_band_text]])/Table1351012131415[[#Totals],[Column1]]</f>
        <v>0.91237599181233797</v>
      </c>
    </row>
    <row r="7" spans="1:10" x14ac:dyDescent="0.25">
      <c r="A7">
        <v>2007</v>
      </c>
      <c r="B7">
        <v>54328</v>
      </c>
      <c r="C7" s="7">
        <v>32</v>
      </c>
      <c r="D7">
        <v>1014095</v>
      </c>
      <c r="E7">
        <v>5130974</v>
      </c>
      <c r="F7" s="1">
        <v>1.0076321901538301</v>
      </c>
      <c r="G7" s="1">
        <v>1.0440604453959399</v>
      </c>
      <c r="H7" s="1">
        <v>1.0590100403148599</v>
      </c>
      <c r="I7" s="5">
        <f>Table1351012131415[[#This Row],[Absolute '# on topic]]/Table1351012131415[[#This Row],[number_of_filed_families_band_text]]</f>
        <v>6.236632654930623E-6</v>
      </c>
      <c r="J7" s="5">
        <f>(Table1351012131415[[#This Row],[Absolute '# on topic]]/Table1351012131415[[#This Row],[number_of_filed_families_band_text]])/Table1351012131415[[#Totals],[Column1]]</f>
        <v>1.0681206015974098</v>
      </c>
    </row>
    <row r="8" spans="1:10" x14ac:dyDescent="0.25">
      <c r="A8">
        <v>2009</v>
      </c>
      <c r="B8">
        <v>60681</v>
      </c>
      <c r="C8" s="7">
        <v>46</v>
      </c>
      <c r="D8">
        <v>1145175</v>
      </c>
      <c r="E8">
        <v>6036834</v>
      </c>
      <c r="F8" s="1">
        <v>1.3015238584200499</v>
      </c>
      <c r="G8" s="1">
        <v>0.99116209169471303</v>
      </c>
      <c r="H8" s="1">
        <v>1.2985814905539801</v>
      </c>
      <c r="I8" s="5">
        <f>Table1351012131415[[#This Row],[Absolute '# on topic]]/Table1351012131415[[#This Row],[number_of_filed_families_band_text]]</f>
        <v>7.6198881731715664E-6</v>
      </c>
      <c r="J8" s="5">
        <f>(Table1351012131415[[#This Row],[Absolute '# on topic]]/Table1351012131415[[#This Row],[number_of_filed_families_band_text]])/Table1351012131415[[#Totals],[Column1]]</f>
        <v>1.3050246807784032</v>
      </c>
    </row>
    <row r="9" spans="1:10" x14ac:dyDescent="0.25">
      <c r="A9">
        <v>2011</v>
      </c>
      <c r="B9">
        <v>69678</v>
      </c>
      <c r="C9" s="7">
        <v>53</v>
      </c>
      <c r="D9">
        <v>1520390</v>
      </c>
      <c r="E9">
        <v>7543693</v>
      </c>
      <c r="F9" s="1">
        <v>1.32170841880656</v>
      </c>
      <c r="G9" s="1">
        <v>0.910770853824175</v>
      </c>
      <c r="H9" s="1">
        <v>1.21176158572568</v>
      </c>
      <c r="I9" s="5">
        <f>Table1351012131415[[#This Row],[Absolute '# on topic]]/Table1351012131415[[#This Row],[number_of_filed_families_band_text]]</f>
        <v>7.0257365987719811E-6</v>
      </c>
      <c r="J9" s="5">
        <f>(Table1351012131415[[#This Row],[Absolute '# on topic]]/Table1351012131415[[#This Row],[number_of_filed_families_band_text]])/Table1351012131415[[#Totals],[Column1]]</f>
        <v>1.203266957949241</v>
      </c>
    </row>
    <row r="10" spans="1:10" x14ac:dyDescent="0.25">
      <c r="A10">
        <v>2013</v>
      </c>
      <c r="B10">
        <v>69069</v>
      </c>
      <c r="C10" s="7">
        <v>43</v>
      </c>
      <c r="D10">
        <v>1941598</v>
      </c>
      <c r="E10">
        <v>7442061</v>
      </c>
      <c r="F10" s="1">
        <v>1.0650386245393999</v>
      </c>
      <c r="G10" s="1">
        <v>0.91513975584655205</v>
      </c>
      <c r="H10" s="1">
        <v>0.98112686391260995</v>
      </c>
      <c r="I10" s="5">
        <f>Table1351012131415[[#This Row],[Absolute '# on topic]]/Table1351012131415[[#This Row],[number_of_filed_families_band_text]]</f>
        <v>5.7779693017834707E-6</v>
      </c>
      <c r="J10" s="5">
        <f>(Table1351012131415[[#This Row],[Absolute '# on topic]]/Table1351012131415[[#This Row],[number_of_filed_families_band_text]])/Table1351012131415[[#Totals],[Column1]]</f>
        <v>0.98956734957816428</v>
      </c>
    </row>
    <row r="11" spans="1:10" x14ac:dyDescent="0.25">
      <c r="C11">
        <f>SUBTOTAL(109,Table1351012131415[Absolute '# on topic])</f>
        <v>271</v>
      </c>
      <c r="F11" s="2"/>
      <c r="G11" s="2"/>
      <c r="H11" s="2"/>
      <c r="I11" s="6">
        <f>AVERAGE(Table1351012131415[Column1])</f>
        <v>5.8388843409663024E-6</v>
      </c>
      <c r="J11" s="3"/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C18" sqref="C18"/>
    </sheetView>
  </sheetViews>
  <sheetFormatPr defaultRowHeight="15" x14ac:dyDescent="0.25"/>
  <cols>
    <col min="2" max="2" width="16.140625" customWidth="1"/>
    <col min="3" max="3" width="24.85546875" customWidth="1"/>
    <col min="4" max="4" width="26.28515625" customWidth="1"/>
    <col min="5" max="5" width="31.7109375" customWidth="1"/>
    <col min="6" max="6" width="32.28515625" customWidth="1"/>
    <col min="7" max="7" width="27.140625" customWidth="1"/>
    <col min="8" max="8" width="28.28515625" customWidth="1"/>
  </cols>
  <sheetData>
    <row r="1" spans="1:8" x14ac:dyDescent="0.25">
      <c r="A1" t="s">
        <v>0</v>
      </c>
      <c r="B1" t="s">
        <v>1</v>
      </c>
      <c r="C1" t="s">
        <v>12</v>
      </c>
      <c r="D1" t="s">
        <v>10</v>
      </c>
      <c r="E1" t="s">
        <v>11</v>
      </c>
      <c r="F1" t="s">
        <v>5</v>
      </c>
      <c r="G1" t="s">
        <v>14</v>
      </c>
      <c r="H1" t="s">
        <v>13</v>
      </c>
    </row>
    <row r="2" spans="1:8" x14ac:dyDescent="0.25">
      <c r="A2">
        <v>1997</v>
      </c>
      <c r="B2">
        <v>2247</v>
      </c>
      <c r="C2">
        <v>287</v>
      </c>
      <c r="D2">
        <v>578639</v>
      </c>
      <c r="E2">
        <v>2977521</v>
      </c>
      <c r="F2" s="1">
        <v>1.1189475638577899</v>
      </c>
      <c r="G2" s="1">
        <v>1.13838349595321</v>
      </c>
      <c r="H2" s="1">
        <v>1.27050610854858</v>
      </c>
    </row>
    <row r="3" spans="1:8" x14ac:dyDescent="0.25">
      <c r="A3">
        <v>1999</v>
      </c>
      <c r="B3">
        <v>2409</v>
      </c>
      <c r="C3">
        <v>288</v>
      </c>
      <c r="D3">
        <v>676688</v>
      </c>
      <c r="E3">
        <v>3395373</v>
      </c>
      <c r="F3" s="1">
        <v>1.0460458637494401</v>
      </c>
      <c r="G3" s="1">
        <v>1.0703348943025699</v>
      </c>
      <c r="H3" s="1">
        <v>1.1167317202021001</v>
      </c>
    </row>
    <row r="4" spans="1:8" x14ac:dyDescent="0.25">
      <c r="A4">
        <v>2001</v>
      </c>
      <c r="B4">
        <v>2460</v>
      </c>
      <c r="C4">
        <v>274</v>
      </c>
      <c r="D4">
        <v>783437</v>
      </c>
      <c r="E4">
        <v>3798956</v>
      </c>
      <c r="F4" s="1">
        <v>0.97511159689710003</v>
      </c>
      <c r="G4" s="1">
        <v>0.97701096562713197</v>
      </c>
      <c r="H4" s="1">
        <v>0.95023759775827599</v>
      </c>
    </row>
    <row r="5" spans="1:8" x14ac:dyDescent="0.25">
      <c r="A5">
        <v>2003</v>
      </c>
      <c r="B5">
        <v>2515</v>
      </c>
      <c r="C5">
        <v>273</v>
      </c>
      <c r="D5">
        <v>819181</v>
      </c>
      <c r="E5">
        <v>4093185</v>
      </c>
      <c r="F5" s="1">
        <v>0.95038174836313905</v>
      </c>
      <c r="G5" s="1">
        <v>0.926988840654971</v>
      </c>
      <c r="H5" s="1">
        <v>0.87872107273413302</v>
      </c>
    </row>
    <row r="6" spans="1:8" x14ac:dyDescent="0.25">
      <c r="A6">
        <v>2005</v>
      </c>
      <c r="B6">
        <v>2869</v>
      </c>
      <c r="C6">
        <v>313</v>
      </c>
      <c r="D6">
        <v>896051</v>
      </c>
      <c r="E6">
        <v>4505132</v>
      </c>
      <c r="F6" s="1">
        <v>0.95529909494237597</v>
      </c>
      <c r="G6" s="1">
        <v>0.96086919940459403</v>
      </c>
      <c r="H6" s="1">
        <v>0.91554997550177097</v>
      </c>
    </row>
    <row r="7" spans="1:8" x14ac:dyDescent="0.25">
      <c r="A7">
        <v>2007</v>
      </c>
      <c r="B7">
        <v>3446</v>
      </c>
      <c r="C7">
        <v>373</v>
      </c>
      <c r="D7">
        <v>1014095</v>
      </c>
      <c r="E7">
        <v>5130974</v>
      </c>
      <c r="F7" s="1">
        <v>0.94677561176764702</v>
      </c>
      <c r="G7" s="1">
        <v>1.0131081142940299</v>
      </c>
      <c r="H7" s="1">
        <v>0.95671218537024005</v>
      </c>
    </row>
    <row r="8" spans="1:8" x14ac:dyDescent="0.25">
      <c r="A8">
        <v>2009</v>
      </c>
      <c r="B8">
        <v>3955</v>
      </c>
      <c r="C8">
        <v>448</v>
      </c>
      <c r="D8">
        <v>1145175</v>
      </c>
      <c r="E8">
        <v>6036834</v>
      </c>
      <c r="F8" s="1">
        <v>0.99118669156902395</v>
      </c>
      <c r="G8" s="1">
        <v>0.98839948236267605</v>
      </c>
      <c r="H8" s="1">
        <v>0.97716158000508202</v>
      </c>
    </row>
    <row r="9" spans="1:8" x14ac:dyDescent="0.25">
      <c r="A9">
        <v>2011</v>
      </c>
      <c r="B9">
        <v>4641</v>
      </c>
      <c r="C9">
        <v>544</v>
      </c>
      <c r="D9">
        <v>1520390</v>
      </c>
      <c r="E9">
        <v>7543693</v>
      </c>
      <c r="F9" s="1">
        <v>1.02508479209237</v>
      </c>
      <c r="G9" s="1">
        <v>0.92810923566465098</v>
      </c>
      <c r="H9" s="1">
        <v>0.94893681511122396</v>
      </c>
    </row>
    <row r="10" spans="1:8" x14ac:dyDescent="0.25">
      <c r="A10">
        <v>2013</v>
      </c>
      <c r="B10">
        <v>4917</v>
      </c>
      <c r="C10">
        <v>558</v>
      </c>
      <c r="D10">
        <v>1941598</v>
      </c>
      <c r="E10">
        <v>7442061</v>
      </c>
      <c r="F10" s="1">
        <v>0.99116703676110796</v>
      </c>
      <c r="G10" s="1">
        <v>0.99679577173616096</v>
      </c>
      <c r="H10" s="1">
        <v>0.98544294476858896</v>
      </c>
    </row>
    <row r="11" spans="1:8" x14ac:dyDescent="0.25">
      <c r="C11">
        <f>SUBTOTAL(109,Table13510121317[Absolute '# on topic])</f>
        <v>3358</v>
      </c>
      <c r="F11" s="2"/>
      <c r="G11" s="2"/>
      <c r="H11" s="2"/>
    </row>
    <row r="15" spans="1:8" x14ac:dyDescent="0.25">
      <c r="B15">
        <f>26/35</f>
        <v>0.74285714285714288</v>
      </c>
      <c r="C15">
        <f>18/19</f>
        <v>0.94736842105263153</v>
      </c>
    </row>
    <row r="17" spans="3:3" x14ac:dyDescent="0.25">
      <c r="C17">
        <f>1.6^(1/6)</f>
        <v>1.081483747120199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sqref="A1:H10"/>
    </sheetView>
  </sheetViews>
  <sheetFormatPr defaultRowHeight="15" x14ac:dyDescent="0.25"/>
  <cols>
    <col min="2" max="2" width="16.140625" customWidth="1"/>
    <col min="3" max="3" width="24.85546875" customWidth="1"/>
    <col min="4" max="4" width="26.28515625" customWidth="1"/>
    <col min="5" max="5" width="31.7109375" customWidth="1"/>
    <col min="6" max="6" width="32.28515625" customWidth="1"/>
    <col min="7" max="7" width="27.140625" customWidth="1"/>
    <col min="8" max="8" width="28.28515625" customWidth="1"/>
  </cols>
  <sheetData>
    <row r="1" spans="1:8" x14ac:dyDescent="0.25">
      <c r="A1" t="s">
        <v>0</v>
      </c>
      <c r="B1" t="s">
        <v>1</v>
      </c>
      <c r="C1" t="s">
        <v>12</v>
      </c>
      <c r="D1" t="s">
        <v>10</v>
      </c>
      <c r="E1" t="s">
        <v>11</v>
      </c>
      <c r="F1" t="s">
        <v>5</v>
      </c>
      <c r="G1" t="s">
        <v>14</v>
      </c>
      <c r="H1" t="s">
        <v>13</v>
      </c>
    </row>
    <row r="2" spans="1:8" x14ac:dyDescent="0.25">
      <c r="A2">
        <v>1997</v>
      </c>
      <c r="B2">
        <v>369</v>
      </c>
      <c r="C2">
        <v>43</v>
      </c>
      <c r="D2">
        <v>578639</v>
      </c>
      <c r="E2">
        <v>2977521</v>
      </c>
      <c r="F2" s="1">
        <v>1.01849645238246</v>
      </c>
      <c r="G2" s="1">
        <v>0.82133129215027401</v>
      </c>
      <c r="H2" s="1">
        <v>0.84061500379823395</v>
      </c>
    </row>
    <row r="3" spans="1:8" x14ac:dyDescent="0.25">
      <c r="A3">
        <v>1999</v>
      </c>
      <c r="B3">
        <v>437</v>
      </c>
      <c r="C3">
        <v>48</v>
      </c>
      <c r="D3">
        <v>676688</v>
      </c>
      <c r="E3">
        <v>3395373</v>
      </c>
      <c r="F3" s="1">
        <v>0.96512329355196802</v>
      </c>
      <c r="G3" s="1">
        <v>0.85363440426267501</v>
      </c>
      <c r="H3" s="1">
        <v>0.82789255528140604</v>
      </c>
    </row>
    <row r="4" spans="1:8" x14ac:dyDescent="0.25">
      <c r="A4">
        <v>2001</v>
      </c>
      <c r="B4">
        <v>530</v>
      </c>
      <c r="C4">
        <v>59</v>
      </c>
      <c r="D4">
        <v>783437</v>
      </c>
      <c r="E4">
        <v>3798956</v>
      </c>
      <c r="F4" s="1">
        <v>0.97212601710259094</v>
      </c>
      <c r="G4" s="1">
        <v>0.926063438702453</v>
      </c>
      <c r="H4" s="1">
        <v>0.90465409238900696</v>
      </c>
    </row>
    <row r="5" spans="1:8" x14ac:dyDescent="0.25">
      <c r="A5">
        <v>2003</v>
      </c>
      <c r="B5">
        <v>628</v>
      </c>
      <c r="C5">
        <v>65</v>
      </c>
      <c r="D5">
        <v>819181</v>
      </c>
      <c r="E5">
        <v>4093185</v>
      </c>
      <c r="F5" s="1">
        <v>0.90361756442879904</v>
      </c>
      <c r="G5" s="1">
        <v>1.01790178142191</v>
      </c>
      <c r="H5" s="1">
        <v>0.92429328135700095</v>
      </c>
    </row>
    <row r="6" spans="1:8" x14ac:dyDescent="0.25">
      <c r="A6">
        <v>2005</v>
      </c>
      <c r="B6">
        <v>817</v>
      </c>
      <c r="C6">
        <v>88</v>
      </c>
      <c r="D6">
        <v>896051</v>
      </c>
      <c r="E6">
        <v>4505132</v>
      </c>
      <c r="F6" s="1">
        <v>0.93397622652828005</v>
      </c>
      <c r="G6" s="1">
        <v>1.2021258083255899</v>
      </c>
      <c r="H6" s="1">
        <v>1.12824911481947</v>
      </c>
    </row>
    <row r="7" spans="1:8" x14ac:dyDescent="0.25">
      <c r="A7">
        <v>2007</v>
      </c>
      <c r="B7">
        <v>989</v>
      </c>
      <c r="C7">
        <v>106</v>
      </c>
      <c r="D7">
        <v>1014095</v>
      </c>
      <c r="E7">
        <v>5130974</v>
      </c>
      <c r="F7" s="1">
        <v>0.93184628610440601</v>
      </c>
      <c r="G7" s="1">
        <v>1.2783093364615099</v>
      </c>
      <c r="H7" s="1">
        <v>1.19701474895142</v>
      </c>
    </row>
    <row r="8" spans="1:8" x14ac:dyDescent="0.25">
      <c r="A8">
        <v>2009</v>
      </c>
      <c r="B8">
        <v>1017</v>
      </c>
      <c r="C8">
        <v>125</v>
      </c>
      <c r="D8">
        <v>1145175</v>
      </c>
      <c r="E8">
        <v>6036834</v>
      </c>
      <c r="F8" s="1">
        <v>1.07221732098242</v>
      </c>
      <c r="G8" s="1">
        <v>1.11741434911904</v>
      </c>
      <c r="H8" s="1">
        <v>1.2039719045889701</v>
      </c>
    </row>
    <row r="9" spans="1:8" x14ac:dyDescent="0.25">
      <c r="A9">
        <v>2011</v>
      </c>
      <c r="B9">
        <v>1009</v>
      </c>
      <c r="C9">
        <v>130</v>
      </c>
      <c r="D9">
        <v>1520390</v>
      </c>
      <c r="E9">
        <v>7543693</v>
      </c>
      <c r="F9" s="1">
        <v>1.11704978186667</v>
      </c>
      <c r="G9" s="1">
        <v>0.886742294140204</v>
      </c>
      <c r="H9" s="1">
        <v>0.99538065237473194</v>
      </c>
    </row>
    <row r="10" spans="1:8" x14ac:dyDescent="0.25">
      <c r="A10">
        <v>2013</v>
      </c>
      <c r="B10">
        <v>1006</v>
      </c>
      <c r="C10">
        <v>126</v>
      </c>
      <c r="D10">
        <v>1941598</v>
      </c>
      <c r="E10">
        <v>7442061</v>
      </c>
      <c r="F10" s="1">
        <v>1.0855470570524</v>
      </c>
      <c r="G10" s="1">
        <v>0.89647729541634902</v>
      </c>
      <c r="H10" s="1">
        <v>0.97792864643976196</v>
      </c>
    </row>
    <row r="11" spans="1:8" x14ac:dyDescent="0.25">
      <c r="C11">
        <f>SUBTOTAL(109,Table1351012131719[Absolute '# on topic])</f>
        <v>790</v>
      </c>
      <c r="F11" s="2"/>
      <c r="G11" s="2"/>
      <c r="H11" s="2"/>
    </row>
    <row r="15" spans="1:8" x14ac:dyDescent="0.25">
      <c r="B15">
        <f>26/35</f>
        <v>0.74285714285714288</v>
      </c>
      <c r="C15">
        <f>18/19</f>
        <v>0.94736842105263153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sqref="A1:H10"/>
    </sheetView>
  </sheetViews>
  <sheetFormatPr defaultRowHeight="15" x14ac:dyDescent="0.25"/>
  <cols>
    <col min="2" max="2" width="16.140625" customWidth="1"/>
    <col min="3" max="3" width="24.85546875" customWidth="1"/>
    <col min="4" max="4" width="26.28515625" customWidth="1"/>
    <col min="5" max="5" width="31.7109375" customWidth="1"/>
    <col min="6" max="6" width="32.28515625" customWidth="1"/>
    <col min="7" max="7" width="27.140625" customWidth="1"/>
    <col min="8" max="8" width="28.28515625" customWidth="1"/>
  </cols>
  <sheetData>
    <row r="1" spans="1:8" x14ac:dyDescent="0.25">
      <c r="A1" t="s">
        <v>0</v>
      </c>
      <c r="B1" t="s">
        <v>1</v>
      </c>
      <c r="C1" t="s">
        <v>12</v>
      </c>
      <c r="D1" t="s">
        <v>10</v>
      </c>
      <c r="E1" t="s">
        <v>11</v>
      </c>
      <c r="F1" t="s">
        <v>5</v>
      </c>
      <c r="G1" t="s">
        <v>14</v>
      </c>
      <c r="H1" t="s">
        <v>13</v>
      </c>
    </row>
    <row r="2" spans="1:8" x14ac:dyDescent="0.25">
      <c r="A2">
        <v>1997</v>
      </c>
      <c r="B2">
        <v>2467</v>
      </c>
      <c r="C2">
        <v>21</v>
      </c>
      <c r="D2">
        <v>578639</v>
      </c>
      <c r="E2">
        <v>2977521</v>
      </c>
      <c r="F2" s="1">
        <v>0.926762369465438</v>
      </c>
      <c r="G2" s="1">
        <v>1.0539341976640599</v>
      </c>
      <c r="H2" s="1">
        <v>0.97877561541521196</v>
      </c>
    </row>
    <row r="3" spans="1:8" x14ac:dyDescent="0.25">
      <c r="A3">
        <v>1999</v>
      </c>
      <c r="B3">
        <v>2646</v>
      </c>
      <c r="C3">
        <v>23</v>
      </c>
      <c r="D3">
        <v>676688</v>
      </c>
      <c r="E3">
        <v>3395373</v>
      </c>
      <c r="F3" s="1">
        <v>0.94532925953980396</v>
      </c>
      <c r="G3" s="1">
        <v>0.99102401324021405</v>
      </c>
      <c r="H3" s="1">
        <v>0.93879021339187096</v>
      </c>
    </row>
    <row r="4" spans="1:8" x14ac:dyDescent="0.25">
      <c r="A4">
        <v>2001</v>
      </c>
      <c r="B4">
        <v>2871</v>
      </c>
      <c r="C4">
        <v>26</v>
      </c>
      <c r="D4">
        <v>783437</v>
      </c>
      <c r="E4">
        <v>3798956</v>
      </c>
      <c r="F4" s="1">
        <v>0.97681090575413898</v>
      </c>
      <c r="G4" s="1">
        <v>0.96128376865331999</v>
      </c>
      <c r="H4" s="1">
        <v>0.94094321615690502</v>
      </c>
    </row>
    <row r="5" spans="1:8" x14ac:dyDescent="0.25">
      <c r="A5">
        <v>2003</v>
      </c>
      <c r="B5">
        <v>3128</v>
      </c>
      <c r="C5">
        <v>28</v>
      </c>
      <c r="D5">
        <v>819181</v>
      </c>
      <c r="E5">
        <v>4093185</v>
      </c>
      <c r="F5" s="1">
        <v>0.97086235252291397</v>
      </c>
      <c r="G5" s="1">
        <v>0.97197839736125702</v>
      </c>
      <c r="H5" s="1">
        <v>0.94561764996762199</v>
      </c>
    </row>
    <row r="6" spans="1:8" x14ac:dyDescent="0.25">
      <c r="A6">
        <v>2005</v>
      </c>
      <c r="B6">
        <v>3697</v>
      </c>
      <c r="C6">
        <v>30</v>
      </c>
      <c r="D6">
        <v>896051</v>
      </c>
      <c r="E6">
        <v>4505132</v>
      </c>
      <c r="F6" s="1">
        <v>0.86974044192532995</v>
      </c>
      <c r="G6" s="1">
        <v>1.04376344873705</v>
      </c>
      <c r="H6" s="1">
        <v>0.90968910053635799</v>
      </c>
    </row>
    <row r="7" spans="1:8" x14ac:dyDescent="0.25">
      <c r="A7">
        <v>2007</v>
      </c>
      <c r="B7">
        <v>4125</v>
      </c>
      <c r="C7">
        <v>33</v>
      </c>
      <c r="D7">
        <v>1014095</v>
      </c>
      <c r="E7">
        <v>5130974</v>
      </c>
      <c r="F7" s="1">
        <v>0.85749879420543695</v>
      </c>
      <c r="G7" s="1">
        <v>1.02248897507875</v>
      </c>
      <c r="H7" s="1">
        <v>0.87860445529850095</v>
      </c>
    </row>
    <row r="8" spans="1:8" x14ac:dyDescent="0.25">
      <c r="A8">
        <v>2009</v>
      </c>
      <c r="B8">
        <v>4903</v>
      </c>
      <c r="C8">
        <v>52</v>
      </c>
      <c r="D8">
        <v>1145175</v>
      </c>
      <c r="E8">
        <v>6036834</v>
      </c>
      <c r="F8" s="1">
        <v>1.1440726573715401</v>
      </c>
      <c r="G8" s="1">
        <v>1.03298384254392</v>
      </c>
      <c r="H8" s="1">
        <v>1.1842637555531399</v>
      </c>
    </row>
    <row r="9" spans="1:8" x14ac:dyDescent="0.25">
      <c r="A9">
        <v>2011</v>
      </c>
      <c r="B9">
        <v>5672</v>
      </c>
      <c r="C9">
        <v>65</v>
      </c>
      <c r="D9">
        <v>1520390</v>
      </c>
      <c r="E9">
        <v>7543693</v>
      </c>
      <c r="F9" s="1">
        <v>1.2346132277285899</v>
      </c>
      <c r="G9" s="1">
        <v>0.956308193785951</v>
      </c>
      <c r="H9" s="1">
        <v>1.1831235164093901</v>
      </c>
    </row>
    <row r="10" spans="1:8" x14ac:dyDescent="0.25">
      <c r="A10">
        <v>2013</v>
      </c>
      <c r="B10">
        <v>5654</v>
      </c>
      <c r="C10">
        <v>56</v>
      </c>
      <c r="D10">
        <v>1941598</v>
      </c>
      <c r="E10">
        <v>7442061</v>
      </c>
      <c r="F10" s="1">
        <v>1.0743099914868099</v>
      </c>
      <c r="G10" s="1">
        <v>0.96623516293547296</v>
      </c>
      <c r="H10" s="1">
        <v>1.0401924772710101</v>
      </c>
    </row>
    <row r="11" spans="1:8" x14ac:dyDescent="0.25">
      <c r="C11">
        <f>SUBTOTAL(109,Table1351012131718[Absolute '# on topic])</f>
        <v>334</v>
      </c>
      <c r="F11" s="2"/>
      <c r="G11" s="2"/>
      <c r="H11" s="2"/>
    </row>
    <row r="15" spans="1:8" x14ac:dyDescent="0.25">
      <c r="B15">
        <f>26/35</f>
        <v>0.74285714285714288</v>
      </c>
      <c r="C15">
        <f>18/19</f>
        <v>0.94736842105263153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tabSelected="1" topLeftCell="A19" zoomScale="70" zoomScaleNormal="70" workbookViewId="0">
      <selection activeCell="P57" sqref="P57"/>
    </sheetView>
  </sheetViews>
  <sheetFormatPr defaultRowHeight="15" x14ac:dyDescent="0.25"/>
  <cols>
    <col min="2" max="2" width="16.140625" customWidth="1"/>
    <col min="3" max="7" width="10.7109375" customWidth="1"/>
    <col min="8" max="8" width="17" customWidth="1"/>
    <col min="12" max="12" width="16.140625" customWidth="1"/>
    <col min="13" max="13" width="20.140625" customWidth="1"/>
    <col min="14" max="14" width="29.28515625" customWidth="1"/>
    <col min="15" max="15" width="34.7109375" customWidth="1"/>
    <col min="16" max="16" width="29.28515625" customWidth="1"/>
    <col min="17" max="17" width="22.85546875" customWidth="1"/>
    <col min="18" max="18" width="15.85546875" customWidth="1"/>
    <col min="21" max="21" width="17.5703125" customWidth="1"/>
    <col min="22" max="22" width="37.5703125" customWidth="1"/>
    <col min="23" max="23" width="35.85546875" customWidth="1"/>
    <col min="24" max="24" width="23.7109375" customWidth="1"/>
  </cols>
  <sheetData>
    <row r="1" spans="1:8" x14ac:dyDescent="0.25">
      <c r="A1" t="s">
        <v>0</v>
      </c>
      <c r="B1" t="s">
        <v>1</v>
      </c>
      <c r="C1" t="s">
        <v>12</v>
      </c>
      <c r="D1" t="s">
        <v>10</v>
      </c>
      <c r="E1" t="s">
        <v>11</v>
      </c>
      <c r="F1" t="s">
        <v>5</v>
      </c>
      <c r="G1" t="s">
        <v>14</v>
      </c>
      <c r="H1" t="s">
        <v>13</v>
      </c>
    </row>
    <row r="2" spans="1:8" x14ac:dyDescent="0.25">
      <c r="A2">
        <v>1996</v>
      </c>
      <c r="B2">
        <v>34208</v>
      </c>
      <c r="C2">
        <v>15</v>
      </c>
      <c r="D2">
        <v>576030</v>
      </c>
      <c r="E2">
        <v>2807727</v>
      </c>
      <c r="F2" s="1">
        <v>0.67671687374502398</v>
      </c>
      <c r="G2" s="1">
        <v>0.96813890314159901</v>
      </c>
      <c r="H2" s="1">
        <v>0.653147488867455</v>
      </c>
    </row>
    <row r="3" spans="1:8" x14ac:dyDescent="0.25">
      <c r="A3">
        <v>1998</v>
      </c>
      <c r="B3">
        <v>37415</v>
      </c>
      <c r="C3">
        <v>23</v>
      </c>
      <c r="D3">
        <v>626969</v>
      </c>
      <c r="E3">
        <v>3187966</v>
      </c>
      <c r="F3" s="1">
        <v>0.94869267227127196</v>
      </c>
      <c r="G3" s="1">
        <v>0.97286990016891794</v>
      </c>
      <c r="H3" s="1">
        <v>0.92012507655798004</v>
      </c>
    </row>
    <row r="4" spans="1:8" x14ac:dyDescent="0.25">
      <c r="A4">
        <v>2000</v>
      </c>
      <c r="B4">
        <v>47609</v>
      </c>
      <c r="C4">
        <v>29</v>
      </c>
      <c r="D4">
        <v>729640</v>
      </c>
      <c r="E4">
        <v>3606744</v>
      </c>
      <c r="F4" s="1">
        <v>0.94005304883478003</v>
      </c>
      <c r="G4" s="1">
        <v>1.06374008526653</v>
      </c>
      <c r="H4" s="1">
        <v>0.99690659246395197</v>
      </c>
    </row>
    <row r="5" spans="1:8" x14ac:dyDescent="0.25">
      <c r="A5">
        <v>2002</v>
      </c>
      <c r="B5">
        <v>49195</v>
      </c>
      <c r="C5">
        <v>29</v>
      </c>
      <c r="D5">
        <v>790010</v>
      </c>
      <c r="E5">
        <v>3926774</v>
      </c>
      <c r="F5" s="1">
        <v>0.90974667956105004</v>
      </c>
      <c r="G5" s="1">
        <v>1.0151809860221299</v>
      </c>
      <c r="H5" s="1">
        <v>0.92072622103468305</v>
      </c>
    </row>
    <row r="6" spans="1:8" x14ac:dyDescent="0.25">
      <c r="A6">
        <v>2004</v>
      </c>
      <c r="B6">
        <v>55237</v>
      </c>
      <c r="C6">
        <v>31</v>
      </c>
      <c r="D6">
        <v>804506</v>
      </c>
      <c r="E6">
        <v>4281047</v>
      </c>
      <c r="F6" s="1">
        <v>0.86611396264907303</v>
      </c>
      <c r="G6" s="1">
        <v>1.11932413814565</v>
      </c>
      <c r="H6" s="1">
        <v>0.96649030616435105</v>
      </c>
    </row>
    <row r="7" spans="1:8" x14ac:dyDescent="0.25">
      <c r="A7">
        <v>2006</v>
      </c>
      <c r="B7">
        <v>65061</v>
      </c>
      <c r="C7">
        <v>42</v>
      </c>
      <c r="D7">
        <v>971299</v>
      </c>
      <c r="E7">
        <v>4790305</v>
      </c>
      <c r="F7" s="1">
        <v>0.99625843588797003</v>
      </c>
      <c r="G7" s="1">
        <v>1.0920005958019701</v>
      </c>
      <c r="H7" s="1">
        <v>1.0845797002078399</v>
      </c>
    </row>
    <row r="8" spans="1:8" x14ac:dyDescent="0.25">
      <c r="A8">
        <v>2008</v>
      </c>
      <c r="B8">
        <v>69412</v>
      </c>
      <c r="C8">
        <v>52</v>
      </c>
      <c r="D8">
        <v>1104354</v>
      </c>
      <c r="E8">
        <v>5487743</v>
      </c>
      <c r="F8" s="1">
        <v>1.1561447838366701</v>
      </c>
      <c r="G8" s="1">
        <v>1.0246636288442801</v>
      </c>
      <c r="H8" s="1">
        <v>1.18102789309003</v>
      </c>
    </row>
    <row r="9" spans="1:8" x14ac:dyDescent="0.25">
      <c r="A9">
        <v>2010</v>
      </c>
      <c r="B9">
        <v>77252</v>
      </c>
      <c r="C9">
        <v>82</v>
      </c>
      <c r="D9">
        <v>1252820</v>
      </c>
      <c r="E9">
        <v>6706449</v>
      </c>
      <c r="F9" s="1">
        <v>1.63812693301659</v>
      </c>
      <c r="G9" s="1">
        <v>1.00525475908846</v>
      </c>
      <c r="H9" s="1">
        <v>1.6416866940561801</v>
      </c>
    </row>
    <row r="10" spans="1:8" x14ac:dyDescent="0.25">
      <c r="A10">
        <v>2012</v>
      </c>
      <c r="B10">
        <v>93253</v>
      </c>
      <c r="C10">
        <v>71</v>
      </c>
      <c r="D10">
        <v>1683710</v>
      </c>
      <c r="E10">
        <v>8092011</v>
      </c>
      <c r="F10" s="1">
        <v>1.17500298057442</v>
      </c>
      <c r="G10" s="1">
        <v>0.90292280753421095</v>
      </c>
      <c r="H10" s="1">
        <v>1.05768459851837</v>
      </c>
    </row>
    <row r="11" spans="1:8" x14ac:dyDescent="0.25">
      <c r="A11">
        <v>2014</v>
      </c>
      <c r="B11">
        <v>86833</v>
      </c>
      <c r="C11">
        <v>39</v>
      </c>
      <c r="D11">
        <v>1693493</v>
      </c>
      <c r="E11">
        <v>5921672</v>
      </c>
      <c r="F11" s="1">
        <v>0.69314362962315101</v>
      </c>
      <c r="G11" s="1">
        <v>0.83590419598624599</v>
      </c>
      <c r="H11" s="1">
        <v>0.57762542903915404</v>
      </c>
    </row>
    <row r="14" spans="1:8" x14ac:dyDescent="0.25">
      <c r="B14">
        <f>26/35</f>
        <v>0.74285714285714288</v>
      </c>
      <c r="C14">
        <f>18/19</f>
        <v>0.94736842105263153</v>
      </c>
    </row>
    <row r="16" spans="1:8" x14ac:dyDescent="0.25">
      <c r="C16">
        <f>1.6^(1/6)</f>
        <v>1.081483747120199</v>
      </c>
    </row>
    <row r="21" spans="1:26" x14ac:dyDescent="0.25">
      <c r="A21" t="s">
        <v>0</v>
      </c>
      <c r="B21" t="s">
        <v>1</v>
      </c>
      <c r="C21" t="s">
        <v>12</v>
      </c>
      <c r="D21" t="s">
        <v>19</v>
      </c>
      <c r="E21" t="s">
        <v>20</v>
      </c>
      <c r="F21" t="s">
        <v>5</v>
      </c>
      <c r="G21" t="s">
        <v>14</v>
      </c>
      <c r="H21" t="s">
        <v>13</v>
      </c>
      <c r="K21" t="s">
        <v>0</v>
      </c>
      <c r="L21" t="s">
        <v>1</v>
      </c>
      <c r="M21" t="s">
        <v>12</v>
      </c>
      <c r="N21" t="s">
        <v>19</v>
      </c>
      <c r="O21" t="s">
        <v>20</v>
      </c>
      <c r="P21" t="s">
        <v>5</v>
      </c>
      <c r="Q21" t="s">
        <v>21</v>
      </c>
      <c r="R21" t="s">
        <v>28</v>
      </c>
      <c r="S21" t="s">
        <v>29</v>
      </c>
      <c r="U21" t="s">
        <v>22</v>
      </c>
      <c r="V21" t="s">
        <v>10</v>
      </c>
      <c r="W21" t="s">
        <v>19</v>
      </c>
      <c r="X21" t="s">
        <v>23</v>
      </c>
      <c r="Y21" t="s">
        <v>24</v>
      </c>
      <c r="Z21" t="s">
        <v>9</v>
      </c>
    </row>
    <row r="22" spans="1:26" x14ac:dyDescent="0.25">
      <c r="A22">
        <v>1965</v>
      </c>
      <c r="K22">
        <v>1965</v>
      </c>
      <c r="S22">
        <f>_xlfn.IFNA(VLOOKUP(Table21[[#This Row],[y]],Table23[#All],3,FALSE),0)</f>
        <v>4.2844120328167735E-2</v>
      </c>
      <c r="U22">
        <v>1997</v>
      </c>
      <c r="V22">
        <v>578639</v>
      </c>
      <c r="W22">
        <v>77050</v>
      </c>
      <c r="X22">
        <v>1</v>
      </c>
      <c r="Y22">
        <f>(Table22[[#This Row],['# Families by Mineralisation companies]]/Table22[[#This Row],[number_of_filed_families_us]])*Table22[[#Totals],[number_of_filed_families_us]]</f>
        <v>1.6244079995280516</v>
      </c>
      <c r="Z22">
        <f>(Table22[[#This Row],['# Families by Mineralisation companies]]/Table22[[#This Row],[number_of_filed_families_text]])*Table22[[#Totals],[number_of_filed_families_text]]</f>
        <v>2.0775405736564592</v>
      </c>
    </row>
    <row r="23" spans="1:26" x14ac:dyDescent="0.25">
      <c r="A23">
        <v>1966</v>
      </c>
      <c r="B23" s="7">
        <v>431</v>
      </c>
      <c r="C23">
        <v>0</v>
      </c>
      <c r="D23">
        <v>57639</v>
      </c>
      <c r="E23">
        <v>293928</v>
      </c>
      <c r="F23">
        <v>0.86023436366491501</v>
      </c>
      <c r="G23">
        <v>0.22064311830307701</v>
      </c>
      <c r="H23">
        <v>0.19932156565441</v>
      </c>
      <c r="K23">
        <v>1966</v>
      </c>
      <c r="L23">
        <v>536</v>
      </c>
      <c r="M23">
        <v>5</v>
      </c>
      <c r="N23">
        <v>57639</v>
      </c>
      <c r="O23">
        <v>293928</v>
      </c>
      <c r="P23">
        <v>0.24609250036261801</v>
      </c>
      <c r="Q23">
        <v>0.21714849166908701</v>
      </c>
      <c r="R23">
        <v>4.8660589205053298E-2</v>
      </c>
      <c r="S23">
        <f>_xlfn.IFNA(VLOOKUP(Table21[[#This Row],[y]],Table23[#All],3,FALSE),0)</f>
        <v>0</v>
      </c>
      <c r="U23">
        <v>2004</v>
      </c>
      <c r="V23">
        <v>804506</v>
      </c>
      <c r="W23">
        <v>145785</v>
      </c>
      <c r="X23">
        <v>1</v>
      </c>
      <c r="Y23">
        <f>(Table22[[#This Row],['# Families by Mineralisation companies]]/Table22[[#This Row],[number_of_filed_families_us]])*Table22[[#Totals],[number_of_filed_families_us]]</f>
        <v>0.85852890464476017</v>
      </c>
      <c r="Z23">
        <f>(Table22[[#This Row],['# Families by Mineralisation companies]]/Table22[[#This Row],[number_of_filed_families_text]])*Table22[[#Totals],[number_of_filed_families_text]]</f>
        <v>1.4942660464931277</v>
      </c>
    </row>
    <row r="24" spans="1:26" x14ac:dyDescent="0.25">
      <c r="A24">
        <v>1967</v>
      </c>
      <c r="B24" s="7">
        <v>457</v>
      </c>
      <c r="C24">
        <v>0</v>
      </c>
      <c r="D24">
        <v>57943</v>
      </c>
      <c r="E24">
        <v>301532</v>
      </c>
      <c r="F24">
        <v>0.81103340064900298</v>
      </c>
      <c r="G24">
        <v>0.22812664960833701</v>
      </c>
      <c r="H24">
        <v>0.19429508909303</v>
      </c>
      <c r="K24">
        <v>1967</v>
      </c>
      <c r="L24">
        <v>508</v>
      </c>
      <c r="M24">
        <v>5</v>
      </c>
      <c r="N24">
        <v>57943</v>
      </c>
      <c r="O24">
        <v>301532</v>
      </c>
      <c r="P24">
        <v>0.259656662244662</v>
      </c>
      <c r="Q24">
        <v>0.204725145458267</v>
      </c>
      <c r="R24">
        <v>4.8405290728424998E-2</v>
      </c>
      <c r="S24">
        <f>_xlfn.IFNA(VLOOKUP(Table21[[#This Row],[y]],Table23[#All],3,FALSE),0)</f>
        <v>4.2844120328167735E-2</v>
      </c>
      <c r="U24">
        <v>2005</v>
      </c>
      <c r="V24">
        <v>896051</v>
      </c>
      <c r="W24">
        <v>153580</v>
      </c>
      <c r="X24">
        <v>1</v>
      </c>
      <c r="Y24">
        <f>(Table22[[#This Row],['# Families by Mineralisation companies]]/Table22[[#This Row],[number_of_filed_families_us]])*Table22[[#Totals],[number_of_filed_families_us]]</f>
        <v>0.81495400679539243</v>
      </c>
      <c r="Z24">
        <f>(Table22[[#This Row],['# Families by Mineralisation companies]]/Table22[[#This Row],[number_of_filed_families_text]])*Table22[[#Totals],[number_of_filed_families_text]]</f>
        <v>1.3416044399258522</v>
      </c>
    </row>
    <row r="25" spans="1:26" x14ac:dyDescent="0.25">
      <c r="A25">
        <v>1968</v>
      </c>
      <c r="B25" s="7">
        <v>504</v>
      </c>
      <c r="C25">
        <v>0</v>
      </c>
      <c r="D25">
        <v>61985</v>
      </c>
      <c r="E25">
        <v>305080</v>
      </c>
      <c r="F25">
        <v>0.73620592996373402</v>
      </c>
      <c r="G25">
        <v>0.248390594959564</v>
      </c>
      <c r="H25">
        <v>0.19203549959140601</v>
      </c>
      <c r="K25">
        <v>1968</v>
      </c>
      <c r="L25">
        <v>538</v>
      </c>
      <c r="M25">
        <v>10</v>
      </c>
      <c r="N25">
        <v>61985</v>
      </c>
      <c r="O25">
        <v>305080</v>
      </c>
      <c r="P25">
        <v>0.49035532273583299</v>
      </c>
      <c r="Q25">
        <v>0.20267683903431899</v>
      </c>
      <c r="R25">
        <v>9.0497630633778595E-2</v>
      </c>
      <c r="S25">
        <f>_xlfn.IFNA(VLOOKUP(Table21[[#This Row],[y]],Table23[#All],3,FALSE),0)</f>
        <v>8.5688240656335471E-2</v>
      </c>
      <c r="U25">
        <v>2008</v>
      </c>
      <c r="V25">
        <v>1104354</v>
      </c>
      <c r="W25">
        <v>152897</v>
      </c>
      <c r="X25">
        <v>7</v>
      </c>
      <c r="Y25">
        <f>(Table22[[#This Row],['# Families by Mineralisation companies]]/Table22[[#This Row],[number_of_filed_families_us]])*Table22[[#Totals],[number_of_filed_families_us]]</f>
        <v>5.7301611839699573</v>
      </c>
      <c r="Z25">
        <f>(Table22[[#This Row],['# Families by Mineralisation companies]]/Table22[[#This Row],[number_of_filed_families_text]])*Table22[[#Totals],[number_of_filed_families_text]]</f>
        <v>7.6198592118107049</v>
      </c>
    </row>
    <row r="26" spans="1:26" x14ac:dyDescent="0.25">
      <c r="A26">
        <v>1969</v>
      </c>
      <c r="B26" s="7">
        <v>608</v>
      </c>
      <c r="C26">
        <v>0</v>
      </c>
      <c r="D26">
        <v>63432</v>
      </c>
      <c r="E26">
        <v>310844</v>
      </c>
      <c r="F26">
        <v>0.60994151688231502</v>
      </c>
      <c r="G26">
        <v>0.29425065574908399</v>
      </c>
      <c r="H26">
        <v>0.18847455917644501</v>
      </c>
      <c r="K26">
        <v>1969</v>
      </c>
      <c r="L26">
        <v>649</v>
      </c>
      <c r="M26">
        <v>13</v>
      </c>
      <c r="N26">
        <v>63432</v>
      </c>
      <c r="O26">
        <v>310844</v>
      </c>
      <c r="P26">
        <v>0.52843532697614604</v>
      </c>
      <c r="Q26">
        <v>0.23891572177215101</v>
      </c>
      <c r="R26">
        <v>0.11496317616624301</v>
      </c>
      <c r="S26">
        <f>_xlfn.IFNA(VLOOKUP(Table21[[#This Row],[y]],Table23[#All],3,FALSE),0)</f>
        <v>0</v>
      </c>
      <c r="U26">
        <v>2009</v>
      </c>
      <c r="V26">
        <v>1145175</v>
      </c>
      <c r="W26">
        <v>135420</v>
      </c>
      <c r="X26">
        <v>2</v>
      </c>
      <c r="Y26">
        <f>(Table22[[#This Row],['# Families by Mineralisation companies]]/Table22[[#This Row],[number_of_filed_families_us]])*Table22[[#Totals],[number_of_filed_families_us]]</f>
        <v>1.8484808206119683</v>
      </c>
      <c r="Z26">
        <f>(Table22[[#This Row],['# Families by Mineralisation companies]]/Table22[[#This Row],[number_of_filed_families_text]])*Table22[[#Totals],[number_of_filed_families_text]]</f>
        <v>2.0994974567205889</v>
      </c>
    </row>
    <row r="27" spans="1:26" x14ac:dyDescent="0.25">
      <c r="A27">
        <v>1970</v>
      </c>
      <c r="B27" s="7">
        <v>791</v>
      </c>
      <c r="C27">
        <v>0</v>
      </c>
      <c r="D27">
        <v>64081</v>
      </c>
      <c r="E27">
        <v>314910</v>
      </c>
      <c r="F27">
        <v>0.46898812226728598</v>
      </c>
      <c r="G27">
        <v>0.37774597836743901</v>
      </c>
      <c r="H27">
        <v>0.18604105126262199</v>
      </c>
      <c r="K27">
        <v>1970</v>
      </c>
      <c r="L27">
        <v>813</v>
      </c>
      <c r="M27">
        <v>16</v>
      </c>
      <c r="N27">
        <v>64081</v>
      </c>
      <c r="O27">
        <v>314910</v>
      </c>
      <c r="P27">
        <v>0.51918556397441895</v>
      </c>
      <c r="Q27">
        <v>0.29625773237632302</v>
      </c>
      <c r="R27">
        <v>0.1400601294289</v>
      </c>
      <c r="S27">
        <f>_xlfn.IFNA(VLOOKUP(Table21[[#This Row],[y]],Table23[#All],3,FALSE),0)</f>
        <v>4.2844120328167735E-2</v>
      </c>
      <c r="U27">
        <v>2010</v>
      </c>
      <c r="V27">
        <v>1252820</v>
      </c>
      <c r="W27">
        <v>140459</v>
      </c>
      <c r="X27">
        <v>9</v>
      </c>
      <c r="Y27">
        <f>(Table22[[#This Row],['# Families by Mineralisation companies]]/Table22[[#This Row],[number_of_filed_families_us]])*Table22[[#Totals],[number_of_filed_families_us]]</f>
        <v>8.0197475937656346</v>
      </c>
      <c r="Z27">
        <f>(Table22[[#This Row],['# Families by Mineralisation companies]]/Table22[[#This Row],[number_of_filed_families_text]])*Table22[[#Totals],[number_of_filed_families_text]]</f>
        <v>8.6359684551651483</v>
      </c>
    </row>
    <row r="28" spans="1:26" x14ac:dyDescent="0.25">
      <c r="A28">
        <v>1971</v>
      </c>
      <c r="B28" s="7">
        <v>984</v>
      </c>
      <c r="C28">
        <v>0</v>
      </c>
      <c r="D28">
        <v>63403</v>
      </c>
      <c r="E28">
        <v>312450</v>
      </c>
      <c r="F28">
        <v>0.50234932856473102</v>
      </c>
      <c r="G28">
        <v>0.47391508283235301</v>
      </c>
      <c r="H28">
        <v>0.25000773529678699</v>
      </c>
      <c r="K28">
        <v>1971</v>
      </c>
      <c r="L28">
        <v>1165</v>
      </c>
      <c r="M28">
        <v>28</v>
      </c>
      <c r="N28">
        <v>63403</v>
      </c>
      <c r="O28">
        <v>312450</v>
      </c>
      <c r="P28">
        <v>0.63405258599157799</v>
      </c>
      <c r="Q28">
        <v>0.42906645783930503</v>
      </c>
      <c r="R28">
        <v>0.24772625303923401</v>
      </c>
      <c r="S28">
        <f>_xlfn.IFNA(VLOOKUP(Table21[[#This Row],[y]],Table23[#All],3,FALSE),0)</f>
        <v>4.2844120328167735E-2</v>
      </c>
      <c r="U28">
        <v>2011</v>
      </c>
      <c r="V28">
        <v>1520390</v>
      </c>
      <c r="W28">
        <v>145035</v>
      </c>
      <c r="X28">
        <v>4</v>
      </c>
      <c r="Y28">
        <f>(Table22[[#This Row],['# Families by Mineralisation companies]]/Table22[[#This Row],[number_of_filed_families_us]])*Table22[[#Totals],[number_of_filed_families_us]]</f>
        <v>3.4518739990660561</v>
      </c>
      <c r="Z28">
        <f>(Table22[[#This Row],['# Families by Mineralisation companies]]/Table22[[#This Row],[number_of_filed_families_text]])*Table22[[#Totals],[number_of_filed_families_text]]</f>
        <v>3.1627306151711077</v>
      </c>
    </row>
    <row r="29" spans="1:26" x14ac:dyDescent="0.25">
      <c r="A29">
        <v>1972</v>
      </c>
      <c r="B29" s="7">
        <v>1161</v>
      </c>
      <c r="C29" s="7">
        <v>1</v>
      </c>
      <c r="D29">
        <v>62009</v>
      </c>
      <c r="E29">
        <v>306150</v>
      </c>
      <c r="F29">
        <v>0.63872804517490001</v>
      </c>
      <c r="G29">
        <v>0.57059489695357402</v>
      </c>
      <c r="H29">
        <v>0.38272863748375602</v>
      </c>
      <c r="K29">
        <v>1972</v>
      </c>
      <c r="L29">
        <v>1612</v>
      </c>
      <c r="M29">
        <v>17</v>
      </c>
      <c r="N29">
        <v>62009</v>
      </c>
      <c r="O29">
        <v>306150</v>
      </c>
      <c r="P29">
        <v>0.27821277141461898</v>
      </c>
      <c r="Q29">
        <v>0.60704202972810695</v>
      </c>
      <c r="R29">
        <v>0.15378642134357301</v>
      </c>
      <c r="S29">
        <f>_xlfn.IFNA(VLOOKUP(Table21[[#This Row],[y]],Table23[#All],3,FALSE),0)</f>
        <v>4.2844120328167735E-2</v>
      </c>
      <c r="U29">
        <v>2012</v>
      </c>
      <c r="V29">
        <v>1683710</v>
      </c>
      <c r="W29">
        <v>152811</v>
      </c>
      <c r="X29">
        <v>7</v>
      </c>
      <c r="Y29">
        <f>(Table22[[#This Row],['# Families by Mineralisation companies]]/Table22[[#This Row],[number_of_filed_families_us]])*Table22[[#Totals],[number_of_filed_families_us]]</f>
        <v>5.7333860425326355</v>
      </c>
      <c r="Z29">
        <f>(Table22[[#This Row],['# Families by Mineralisation companies]]/Table22[[#This Row],[number_of_filed_families_text]])*Table22[[#Totals],[number_of_filed_families_text]]</f>
        <v>4.9979046272814207</v>
      </c>
    </row>
    <row r="30" spans="1:26" x14ac:dyDescent="0.25">
      <c r="A30">
        <v>1973</v>
      </c>
      <c r="B30" s="7">
        <v>1311</v>
      </c>
      <c r="C30">
        <v>0</v>
      </c>
      <c r="D30">
        <v>59525</v>
      </c>
      <c r="E30">
        <v>300290</v>
      </c>
      <c r="F30">
        <v>0.471411225182708</v>
      </c>
      <c r="G30">
        <v>0.65683474427889299</v>
      </c>
      <c r="H30">
        <v>0.32516448485013499</v>
      </c>
      <c r="K30">
        <v>1973</v>
      </c>
      <c r="L30">
        <v>1710</v>
      </c>
      <c r="M30">
        <v>19</v>
      </c>
      <c r="N30">
        <v>59525</v>
      </c>
      <c r="O30">
        <v>300290</v>
      </c>
      <c r="P30">
        <v>0.29312352912375</v>
      </c>
      <c r="Q30">
        <v>0.67081867928836203</v>
      </c>
      <c r="R30">
        <v>0.17905151382132201</v>
      </c>
      <c r="S30">
        <f>_xlfn.IFNA(VLOOKUP(Table21[[#This Row],[y]],Table23[#All],3,FALSE),0)</f>
        <v>4.2844120328167735E-2</v>
      </c>
      <c r="U30">
        <v>2013</v>
      </c>
      <c r="V30">
        <v>1941598</v>
      </c>
      <c r="W30">
        <v>156532</v>
      </c>
      <c r="X30">
        <v>3</v>
      </c>
      <c r="Y30">
        <f>(Table22[[#This Row],['# Families by Mineralisation companies]]/Table22[[#This Row],[number_of_filed_families_us]])*Table22[[#Totals],[number_of_filed_families_us]]</f>
        <v>2.398754945256619</v>
      </c>
      <c r="Z30">
        <f>(Table22[[#This Row],['# Families by Mineralisation companies]]/Table22[[#This Row],[number_of_filed_families_text]])*Table22[[#Totals],[number_of_filed_families_text]]</f>
        <v>1.8574586500398127</v>
      </c>
    </row>
    <row r="31" spans="1:26" x14ac:dyDescent="0.25">
      <c r="A31">
        <v>1974</v>
      </c>
      <c r="B31" s="7">
        <v>1455</v>
      </c>
      <c r="C31" s="7">
        <v>1</v>
      </c>
      <c r="D31">
        <v>57132</v>
      </c>
      <c r="E31">
        <v>296551</v>
      </c>
      <c r="F31">
        <v>0.50979772645616195</v>
      </c>
      <c r="G31">
        <v>0.73804166381542202</v>
      </c>
      <c r="H31">
        <v>0.39511712732327098</v>
      </c>
      <c r="K31">
        <v>1974</v>
      </c>
      <c r="L31">
        <v>1724</v>
      </c>
      <c r="M31">
        <v>16</v>
      </c>
      <c r="N31">
        <v>57132</v>
      </c>
      <c r="O31">
        <v>296551</v>
      </c>
      <c r="P31">
        <v>0.24483634423848499</v>
      </c>
      <c r="Q31">
        <v>0.70463837439109001</v>
      </c>
      <c r="R31">
        <v>0.15709572238793401</v>
      </c>
      <c r="S31">
        <f>_xlfn.IFNA(VLOOKUP(Table21[[#This Row],[y]],Table23[#All],3,FALSE),0)</f>
        <v>4.2844120328167735E-2</v>
      </c>
      <c r="U31">
        <v>2014</v>
      </c>
      <c r="V31">
        <v>1693493</v>
      </c>
      <c r="W31">
        <v>97610</v>
      </c>
      <c r="X31">
        <v>12</v>
      </c>
      <c r="Y31">
        <f>(Table22[[#This Row],['# Families by Mineralisation companies]]/Table22[[#This Row],[number_of_filed_families_us]])*Table22[[#Totals],[number_of_filed_families_us]]</f>
        <v>15.387026292015536</v>
      </c>
      <c r="Z31">
        <f>(Table22[[#This Row],['# Families by Mineralisation companies]]/Table22[[#This Row],[number_of_filed_families_text]])*Table22[[#Totals],[number_of_filed_families_text]]</f>
        <v>8.5183416760506248</v>
      </c>
    </row>
    <row r="32" spans="1:26" x14ac:dyDescent="0.25">
      <c r="A32">
        <v>1975</v>
      </c>
      <c r="B32" s="7">
        <v>1550</v>
      </c>
      <c r="C32" s="7">
        <v>1</v>
      </c>
      <c r="D32">
        <v>58221</v>
      </c>
      <c r="E32">
        <v>291520</v>
      </c>
      <c r="F32">
        <v>0.558566517041441</v>
      </c>
      <c r="G32">
        <v>0.79943231120034497</v>
      </c>
      <c r="H32">
        <v>0.46892531649232599</v>
      </c>
      <c r="K32">
        <v>1975</v>
      </c>
      <c r="L32">
        <v>1713</v>
      </c>
      <c r="M32">
        <v>13</v>
      </c>
      <c r="N32">
        <v>58221</v>
      </c>
      <c r="O32">
        <v>291520</v>
      </c>
      <c r="P32">
        <v>0.20020695517958401</v>
      </c>
      <c r="Q32">
        <v>0.68704650469459405</v>
      </c>
      <c r="R32">
        <v>0.12525281778446001</v>
      </c>
      <c r="S32">
        <f>_xlfn.IFNA(VLOOKUP(Table21[[#This Row],[y]],Table23[#All],3,FALSE),0)</f>
        <v>8.5688240656335471E-2</v>
      </c>
      <c r="U32">
        <v>2015</v>
      </c>
      <c r="V32">
        <v>602870</v>
      </c>
      <c r="W32">
        <v>19588</v>
      </c>
      <c r="X32">
        <v>5</v>
      </c>
      <c r="Y32">
        <f>(Table22[[#This Row],['# Families by Mineralisation companies]]/Table22[[#This Row],[number_of_filed_families_us]])*Table22[[#Totals],[number_of_filed_families_us]]</f>
        <v>31.948293946200828</v>
      </c>
      <c r="Z32">
        <f>(Table22[[#This Row],['# Families by Mineralisation companies]]/Table22[[#This Row],[number_of_filed_families_text]])*Table22[[#Totals],[number_of_filed_families_text]]</f>
        <v>9.9701925788312575</v>
      </c>
    </row>
    <row r="33" spans="1:23" x14ac:dyDescent="0.25">
      <c r="A33">
        <v>1976</v>
      </c>
      <c r="B33" s="7">
        <v>1640</v>
      </c>
      <c r="C33" s="7">
        <v>1</v>
      </c>
      <c r="D33">
        <v>59664</v>
      </c>
      <c r="E33">
        <v>284975</v>
      </c>
      <c r="F33">
        <v>0.45245131742157002</v>
      </c>
      <c r="G33">
        <v>0.865365410930243</v>
      </c>
      <c r="H33">
        <v>0.41116721072745399</v>
      </c>
      <c r="K33">
        <v>1976</v>
      </c>
      <c r="L33">
        <v>2031</v>
      </c>
      <c r="M33">
        <v>15</v>
      </c>
      <c r="N33">
        <v>59664</v>
      </c>
      <c r="O33">
        <v>284975</v>
      </c>
      <c r="P33">
        <v>0.19483838463533101</v>
      </c>
      <c r="Q33">
        <v>0.79488807854579802</v>
      </c>
      <c r="R33">
        <v>0.141027138069379</v>
      </c>
      <c r="S33">
        <f>_xlfn.IFNA(VLOOKUP(Table21[[#This Row],[y]],Table23[#All],3,FALSE),0)</f>
        <v>0.17137648131267094</v>
      </c>
      <c r="V33">
        <f>AVERAGE(Table22[number_of_filed_families_text])</f>
        <v>1202146</v>
      </c>
      <c r="W33">
        <f>AVERAGE(Table22[number_of_filed_families_us])</f>
        <v>125160.63636363637</v>
      </c>
    </row>
    <row r="34" spans="1:23" x14ac:dyDescent="0.25">
      <c r="A34">
        <v>1977</v>
      </c>
      <c r="B34" s="7">
        <v>1695</v>
      </c>
      <c r="C34">
        <v>0</v>
      </c>
      <c r="D34">
        <v>56978</v>
      </c>
      <c r="E34">
        <v>278290</v>
      </c>
      <c r="F34">
        <v>0.29184761904752199</v>
      </c>
      <c r="G34">
        <v>0.91586851167241101</v>
      </c>
      <c r="H34">
        <v>0.28069609381789201</v>
      </c>
      <c r="K34">
        <v>1977</v>
      </c>
      <c r="L34">
        <v>2189</v>
      </c>
      <c r="M34">
        <v>10</v>
      </c>
      <c r="N34">
        <v>56978</v>
      </c>
      <c r="O34">
        <v>278290</v>
      </c>
      <c r="P34">
        <v>0.12051675168685499</v>
      </c>
      <c r="Q34">
        <v>0.89711271799935</v>
      </c>
      <c r="R34">
        <v>9.8450204097926597E-2</v>
      </c>
      <c r="S34">
        <f>_xlfn.IFNA(VLOOKUP(Table21[[#This Row],[y]],Table23[#All],3,FALSE),0)</f>
        <v>8.5688240656335471E-2</v>
      </c>
    </row>
    <row r="35" spans="1:23" x14ac:dyDescent="0.25">
      <c r="A35">
        <v>1978</v>
      </c>
      <c r="B35" s="7">
        <v>1743</v>
      </c>
      <c r="C35" s="7">
        <v>1</v>
      </c>
      <c r="D35">
        <v>52980</v>
      </c>
      <c r="E35">
        <v>265616</v>
      </c>
      <c r="F35">
        <v>0.49662223394049498</v>
      </c>
      <c r="G35">
        <v>0.986835005954939</v>
      </c>
      <c r="H35">
        <v>0.51465690721758095</v>
      </c>
      <c r="K35">
        <v>1978</v>
      </c>
      <c r="L35">
        <v>2247</v>
      </c>
      <c r="M35">
        <v>11</v>
      </c>
      <c r="N35">
        <v>52980</v>
      </c>
      <c r="O35">
        <v>265616</v>
      </c>
      <c r="P35">
        <v>0.12914654450534499</v>
      </c>
      <c r="Q35">
        <v>0.99037479355341196</v>
      </c>
      <c r="R35">
        <v>0.116467441759807</v>
      </c>
      <c r="S35">
        <f>_xlfn.IFNA(VLOOKUP(Table21[[#This Row],[y]],Table23[#All],3,FALSE),0)</f>
        <v>0.17137648131267094</v>
      </c>
    </row>
    <row r="36" spans="1:23" x14ac:dyDescent="0.25">
      <c r="A36">
        <v>1979</v>
      </c>
      <c r="B36" s="7">
        <v>1746</v>
      </c>
      <c r="C36" s="7">
        <v>1</v>
      </c>
      <c r="D36">
        <v>50447</v>
      </c>
      <c r="E36">
        <v>248875</v>
      </c>
      <c r="F36">
        <v>0.63729576397000998</v>
      </c>
      <c r="G36">
        <v>1.05522991153348</v>
      </c>
      <c r="H36">
        <v>0.70621219519638301</v>
      </c>
      <c r="K36">
        <v>1979</v>
      </c>
      <c r="L36">
        <v>2052</v>
      </c>
      <c r="M36">
        <v>18</v>
      </c>
      <c r="N36">
        <v>50447</v>
      </c>
      <c r="O36">
        <v>248875</v>
      </c>
      <c r="P36">
        <v>0.23141330858675099</v>
      </c>
      <c r="Q36">
        <v>0.94983996073410504</v>
      </c>
      <c r="R36">
        <v>0.200152471053195</v>
      </c>
      <c r="S36">
        <f>_xlfn.IFNA(VLOOKUP(Table21[[#This Row],[y]],Table23[#All],3,FALSE),0)</f>
        <v>0.38559708295350958</v>
      </c>
    </row>
    <row r="37" spans="1:23" x14ac:dyDescent="0.25">
      <c r="A37">
        <v>1980</v>
      </c>
      <c r="B37" s="7">
        <v>1712</v>
      </c>
      <c r="C37" s="7">
        <v>1</v>
      </c>
      <c r="D37">
        <v>45547</v>
      </c>
      <c r="E37">
        <v>232484</v>
      </c>
      <c r="F37">
        <v>0.72216380321760398</v>
      </c>
      <c r="G37">
        <v>1.1076386223317201</v>
      </c>
      <c r="H37">
        <v>0.840003125441247</v>
      </c>
      <c r="K37">
        <v>1980</v>
      </c>
      <c r="L37">
        <v>2002</v>
      </c>
      <c r="M37">
        <v>37</v>
      </c>
      <c r="N37">
        <v>45547</v>
      </c>
      <c r="O37">
        <v>232484</v>
      </c>
      <c r="P37">
        <v>0.48756311668260699</v>
      </c>
      <c r="Q37">
        <v>1.0263907648092301</v>
      </c>
      <c r="R37">
        <v>0.45568607157465202</v>
      </c>
      <c r="S37">
        <f>_xlfn.IFNA(VLOOKUP(Table21[[#This Row],[y]],Table23[#All],3,FALSE),0)</f>
        <v>0.77119416590701917</v>
      </c>
    </row>
    <row r="38" spans="1:23" x14ac:dyDescent="0.25">
      <c r="A38">
        <v>1981</v>
      </c>
      <c r="B38" s="7">
        <v>1688</v>
      </c>
      <c r="C38" s="7">
        <v>1</v>
      </c>
      <c r="D38">
        <v>42923</v>
      </c>
      <c r="E38">
        <v>218483</v>
      </c>
      <c r="F38">
        <v>0.73257213950350697</v>
      </c>
      <c r="G38">
        <v>1.1618735933330899</v>
      </c>
      <c r="H38">
        <v>0.89383286327960298</v>
      </c>
      <c r="K38">
        <v>1981</v>
      </c>
      <c r="L38">
        <v>2044</v>
      </c>
      <c r="M38">
        <v>32</v>
      </c>
      <c r="N38">
        <v>42923</v>
      </c>
      <c r="O38">
        <v>218483</v>
      </c>
      <c r="P38">
        <v>0.41301161308462297</v>
      </c>
      <c r="Q38">
        <v>1.1119859032396799</v>
      </c>
      <c r="R38">
        <v>0.41819969559881598</v>
      </c>
      <c r="S38">
        <f>_xlfn.IFNA(VLOOKUP(Table21[[#This Row],[y]],Table23[#All],3,FALSE),0)</f>
        <v>0.47128532360984504</v>
      </c>
    </row>
    <row r="39" spans="1:23" x14ac:dyDescent="0.25">
      <c r="A39">
        <v>1982</v>
      </c>
      <c r="B39" s="7">
        <v>1711</v>
      </c>
      <c r="C39" s="7">
        <v>1</v>
      </c>
      <c r="D39">
        <v>40587</v>
      </c>
      <c r="E39">
        <v>207520</v>
      </c>
      <c r="F39">
        <v>0.72286724430034799</v>
      </c>
      <c r="G39">
        <v>1.2396764975321199</v>
      </c>
      <c r="H39">
        <v>0.94105284891317598</v>
      </c>
      <c r="K39">
        <v>1982</v>
      </c>
      <c r="L39">
        <v>1984</v>
      </c>
      <c r="M39">
        <v>29</v>
      </c>
      <c r="N39">
        <v>40587</v>
      </c>
      <c r="O39">
        <v>207520</v>
      </c>
      <c r="P39">
        <v>0.38561108571580099</v>
      </c>
      <c r="Q39">
        <v>1.141466501297</v>
      </c>
      <c r="R39">
        <v>0.40080660069473201</v>
      </c>
      <c r="S39">
        <f>_xlfn.IFNA(VLOOKUP(Table21[[#This Row],[y]],Table23[#All],3,FALSE),0)</f>
        <v>0.51412944393801274</v>
      </c>
    </row>
    <row r="40" spans="1:23" x14ac:dyDescent="0.25">
      <c r="A40">
        <v>1983</v>
      </c>
      <c r="B40" s="7">
        <v>1752</v>
      </c>
      <c r="C40" s="7">
        <v>1</v>
      </c>
      <c r="D40">
        <v>38979</v>
      </c>
      <c r="E40">
        <v>201722</v>
      </c>
      <c r="F40">
        <v>0.63511408151583904</v>
      </c>
      <c r="G40">
        <v>1.3063645410979801</v>
      </c>
      <c r="H40">
        <v>0.87129103358675697</v>
      </c>
      <c r="K40">
        <v>1983</v>
      </c>
      <c r="L40">
        <v>2119</v>
      </c>
      <c r="M40">
        <v>26</v>
      </c>
      <c r="N40">
        <v>38979</v>
      </c>
      <c r="O40">
        <v>201722</v>
      </c>
      <c r="P40">
        <v>0.323694679363211</v>
      </c>
      <c r="Q40">
        <v>1.2694298705545799</v>
      </c>
      <c r="R40">
        <v>0.37416785703164601</v>
      </c>
      <c r="S40">
        <f>_xlfn.IFNA(VLOOKUP(Table21[[#This Row],[y]],Table23[#All],3,FALSE),0)</f>
        <v>0.59981768459434825</v>
      </c>
    </row>
    <row r="41" spans="1:23" x14ac:dyDescent="0.25">
      <c r="A41">
        <v>1984</v>
      </c>
      <c r="B41" s="7">
        <v>1807</v>
      </c>
      <c r="C41" s="7">
        <v>1</v>
      </c>
      <c r="D41">
        <v>39484</v>
      </c>
      <c r="E41">
        <v>198649</v>
      </c>
      <c r="F41">
        <v>0.54757093595849005</v>
      </c>
      <c r="G41">
        <v>1.3676976831777301</v>
      </c>
      <c r="H41">
        <v>0.786461688630955</v>
      </c>
      <c r="K41">
        <v>1984</v>
      </c>
      <c r="L41">
        <v>2192</v>
      </c>
      <c r="M41">
        <v>34</v>
      </c>
      <c r="N41">
        <v>39484</v>
      </c>
      <c r="O41">
        <v>198649</v>
      </c>
      <c r="P41">
        <v>0.409196168153666</v>
      </c>
      <c r="Q41">
        <v>1.2963666245265499</v>
      </c>
      <c r="R41">
        <v>0.48303831715601703</v>
      </c>
      <c r="S41">
        <f>_xlfn.IFNA(VLOOKUP(Table21[[#This Row],[y]],Table23[#All],3,FALSE),0)</f>
        <v>0.64266180492251601</v>
      </c>
    </row>
    <row r="42" spans="1:23" x14ac:dyDescent="0.25">
      <c r="A42">
        <v>1985</v>
      </c>
      <c r="B42" s="7">
        <v>2052</v>
      </c>
      <c r="C42" s="7">
        <v>1</v>
      </c>
      <c r="D42">
        <v>39749</v>
      </c>
      <c r="E42">
        <v>200482</v>
      </c>
      <c r="F42">
        <v>0.48203670597723602</v>
      </c>
      <c r="G42">
        <v>1.53943503661611</v>
      </c>
      <c r="H42">
        <v>0.77927114270896403</v>
      </c>
      <c r="K42">
        <v>1985</v>
      </c>
      <c r="L42">
        <v>2283</v>
      </c>
      <c r="M42">
        <v>46</v>
      </c>
      <c r="N42">
        <v>39749</v>
      </c>
      <c r="O42">
        <v>200482</v>
      </c>
      <c r="P42">
        <v>0.53155120938001399</v>
      </c>
      <c r="Q42">
        <v>1.3411833585671</v>
      </c>
      <c r="R42">
        <v>0.64916547773481903</v>
      </c>
      <c r="S42">
        <f>_xlfn.IFNA(VLOOKUP(Table21[[#This Row],[y]],Table23[#All],3,FALSE),0)</f>
        <v>0.59981768459434825</v>
      </c>
    </row>
    <row r="43" spans="1:23" x14ac:dyDescent="0.25">
      <c r="A43">
        <v>1986</v>
      </c>
      <c r="B43" s="7">
        <v>2267</v>
      </c>
      <c r="C43" s="7">
        <v>1</v>
      </c>
      <c r="D43">
        <v>39850</v>
      </c>
      <c r="E43">
        <v>206130</v>
      </c>
      <c r="F43">
        <v>0.54553814889346297</v>
      </c>
      <c r="G43">
        <v>1.65371460143858</v>
      </c>
      <c r="H43">
        <v>0.94739866856023203</v>
      </c>
      <c r="K43">
        <v>1986</v>
      </c>
      <c r="L43">
        <v>2405</v>
      </c>
      <c r="M43">
        <v>37</v>
      </c>
      <c r="N43">
        <v>39850</v>
      </c>
      <c r="O43">
        <v>206130</v>
      </c>
      <c r="P43">
        <v>0.40586333856775803</v>
      </c>
      <c r="Q43">
        <v>1.4092731821984701</v>
      </c>
      <c r="R43">
        <v>0.52083145455058999</v>
      </c>
      <c r="S43">
        <f>_xlfn.IFNA(VLOOKUP(Table21[[#This Row],[y]],Table23[#All],3,FALSE),0)</f>
        <v>0.5569735642661805</v>
      </c>
    </row>
    <row r="44" spans="1:23" x14ac:dyDescent="0.25">
      <c r="A44">
        <v>1987</v>
      </c>
      <c r="B44" s="7">
        <v>2440</v>
      </c>
      <c r="C44" s="7">
        <v>1</v>
      </c>
      <c r="D44">
        <v>42420</v>
      </c>
      <c r="E44">
        <v>211904</v>
      </c>
      <c r="F44">
        <v>0.55754735898763197</v>
      </c>
      <c r="G44">
        <v>1.731405015552</v>
      </c>
      <c r="H44">
        <v>1.01374214875473</v>
      </c>
      <c r="K44">
        <v>1987</v>
      </c>
      <c r="L44">
        <v>3474</v>
      </c>
      <c r="M44">
        <v>41</v>
      </c>
      <c r="N44">
        <v>42420</v>
      </c>
      <c r="O44">
        <v>211904</v>
      </c>
      <c r="P44">
        <v>0.31134881226809602</v>
      </c>
      <c r="Q44">
        <v>1.9123508625300301</v>
      </c>
      <c r="R44">
        <v>0.54217189465907001</v>
      </c>
      <c r="S44">
        <f>_xlfn.IFNA(VLOOKUP(Table21[[#This Row],[y]],Table23[#All],3,FALSE),0)</f>
        <v>0.51412944393801274</v>
      </c>
    </row>
    <row r="45" spans="1:23" x14ac:dyDescent="0.25">
      <c r="A45">
        <v>1988</v>
      </c>
      <c r="B45" s="7">
        <v>2594</v>
      </c>
      <c r="C45" s="7">
        <v>2</v>
      </c>
      <c r="D45">
        <v>44627</v>
      </c>
      <c r="E45">
        <v>219712</v>
      </c>
      <c r="F45">
        <v>0.71502010740769995</v>
      </c>
      <c r="G45">
        <v>1.7756040038616001</v>
      </c>
      <c r="H45">
        <v>1.33324959623161</v>
      </c>
      <c r="K45">
        <v>1988</v>
      </c>
      <c r="L45">
        <v>3419</v>
      </c>
      <c r="M45">
        <v>79</v>
      </c>
      <c r="N45">
        <v>44627</v>
      </c>
      <c r="O45">
        <v>219712</v>
      </c>
      <c r="P45">
        <v>0.60956659536900204</v>
      </c>
      <c r="Q45">
        <v>1.7889980421343099</v>
      </c>
      <c r="R45">
        <v>0.99300901346619996</v>
      </c>
      <c r="S45">
        <f>_xlfn.IFNA(VLOOKUP(Table21[[#This Row],[y]],Table23[#All],3,FALSE),0)</f>
        <v>0.5569735642661805</v>
      </c>
    </row>
    <row r="46" spans="1:23" x14ac:dyDescent="0.25">
      <c r="A46">
        <v>1989</v>
      </c>
      <c r="B46" s="7">
        <v>2676</v>
      </c>
      <c r="C46" s="7">
        <v>2</v>
      </c>
      <c r="D46">
        <v>45258</v>
      </c>
      <c r="E46">
        <v>227626</v>
      </c>
      <c r="F46">
        <v>0.73941519362253605</v>
      </c>
      <c r="G46">
        <v>1.7678144621823799</v>
      </c>
      <c r="H46">
        <v>1.37268886427239</v>
      </c>
      <c r="K46">
        <v>1989</v>
      </c>
      <c r="L46">
        <v>3207</v>
      </c>
      <c r="M46">
        <v>77</v>
      </c>
      <c r="N46">
        <v>45258</v>
      </c>
      <c r="O46">
        <v>227626</v>
      </c>
      <c r="P46">
        <v>0.63341004887893004</v>
      </c>
      <c r="Q46">
        <v>1.6546724964629</v>
      </c>
      <c r="R46">
        <v>0.95437522897351201</v>
      </c>
      <c r="S46">
        <f>_xlfn.IFNA(VLOOKUP(Table21[[#This Row],[y]],Table23[#All],3,FALSE),0)</f>
        <v>0.47128532360984504</v>
      </c>
    </row>
    <row r="47" spans="1:23" x14ac:dyDescent="0.25">
      <c r="A47">
        <v>1990</v>
      </c>
      <c r="B47" s="7">
        <v>2599</v>
      </c>
      <c r="C47" s="7">
        <v>2</v>
      </c>
      <c r="D47">
        <v>47557</v>
      </c>
      <c r="E47">
        <v>234827</v>
      </c>
      <c r="F47">
        <v>0.71359914346186204</v>
      </c>
      <c r="G47">
        <v>1.6646226856903199</v>
      </c>
      <c r="H47">
        <v>1.24743293747911</v>
      </c>
      <c r="K47">
        <v>1990</v>
      </c>
      <c r="L47">
        <v>3198</v>
      </c>
      <c r="M47">
        <v>70</v>
      </c>
      <c r="N47">
        <v>47557</v>
      </c>
      <c r="O47">
        <v>234827</v>
      </c>
      <c r="P47">
        <v>0.57744784761544798</v>
      </c>
      <c r="Q47">
        <v>1.57026311663202</v>
      </c>
      <c r="R47">
        <v>0.82567172072122397</v>
      </c>
      <c r="S47">
        <f>_xlfn.IFNA(VLOOKUP(Table21[[#This Row],[y]],Table23[#All],3,FALSE),0)</f>
        <v>0.21422060164083867</v>
      </c>
    </row>
    <row r="48" spans="1:23" x14ac:dyDescent="0.25">
      <c r="A48">
        <v>1991</v>
      </c>
      <c r="B48" s="7">
        <v>2512</v>
      </c>
      <c r="C48" s="7">
        <v>2</v>
      </c>
      <c r="D48">
        <v>47764</v>
      </c>
      <c r="E48">
        <v>243179</v>
      </c>
      <c r="F48">
        <v>0.83691286201688997</v>
      </c>
      <c r="G48">
        <v>1.55335076035182</v>
      </c>
      <c r="H48">
        <v>1.36520170504528</v>
      </c>
      <c r="K48">
        <v>1991</v>
      </c>
      <c r="L48">
        <v>2910</v>
      </c>
      <c r="M48">
        <v>81</v>
      </c>
      <c r="N48">
        <v>47764</v>
      </c>
      <c r="O48">
        <v>243179</v>
      </c>
      <c r="P48">
        <v>0.734319775168088</v>
      </c>
      <c r="Q48">
        <v>1.42265874485045</v>
      </c>
      <c r="R48">
        <v>0.95127946914027794</v>
      </c>
      <c r="S48">
        <f>_xlfn.IFNA(VLOOKUP(Table21[[#This Row],[y]],Table23[#All],3,FALSE),0)</f>
        <v>0.17137648131267094</v>
      </c>
    </row>
    <row r="49" spans="1:19" x14ac:dyDescent="0.25">
      <c r="A49">
        <v>1992</v>
      </c>
      <c r="B49" s="7">
        <v>2437</v>
      </c>
      <c r="C49" s="7">
        <v>3</v>
      </c>
      <c r="D49">
        <v>49621</v>
      </c>
      <c r="E49">
        <v>254319</v>
      </c>
      <c r="F49">
        <v>0.91353571650094301</v>
      </c>
      <c r="G49">
        <v>1.4407713361427399</v>
      </c>
      <c r="H49">
        <v>1.3821897258995599</v>
      </c>
      <c r="K49">
        <v>1992</v>
      </c>
      <c r="L49">
        <v>3023</v>
      </c>
      <c r="M49">
        <v>89</v>
      </c>
      <c r="N49">
        <v>49621</v>
      </c>
      <c r="O49">
        <v>254319</v>
      </c>
      <c r="P49">
        <v>0.77668521104889598</v>
      </c>
      <c r="Q49">
        <v>1.42259437236394</v>
      </c>
      <c r="R49">
        <v>1.0061165909451499</v>
      </c>
      <c r="S49">
        <f>_xlfn.IFNA(VLOOKUP(Table21[[#This Row],[y]],Table23[#All],3,FALSE),0)</f>
        <v>0.17137648131267094</v>
      </c>
    </row>
    <row r="50" spans="1:19" x14ac:dyDescent="0.25">
      <c r="A50">
        <v>1993</v>
      </c>
      <c r="B50" s="7">
        <v>2345</v>
      </c>
      <c r="C50" s="7">
        <v>2</v>
      </c>
      <c r="D50">
        <v>52979</v>
      </c>
      <c r="E50">
        <v>269078</v>
      </c>
      <c r="F50">
        <v>0.89644173102726799</v>
      </c>
      <c r="G50">
        <v>1.3106162929229599</v>
      </c>
      <c r="H50">
        <v>1.2337998084797499</v>
      </c>
      <c r="K50">
        <v>1993</v>
      </c>
      <c r="L50">
        <v>2895</v>
      </c>
      <c r="M50">
        <v>109</v>
      </c>
      <c r="N50">
        <v>52979</v>
      </c>
      <c r="O50">
        <v>269078</v>
      </c>
      <c r="P50">
        <v>0.99327864387740605</v>
      </c>
      <c r="Q50">
        <v>1.27600760780839</v>
      </c>
      <c r="R50">
        <v>1.15410822541825</v>
      </c>
      <c r="S50">
        <f>_xlfn.IFNA(VLOOKUP(Table21[[#This Row],[y]],Table23[#All],3,FALSE),0)</f>
        <v>0.21422060164083867</v>
      </c>
    </row>
    <row r="51" spans="1:19" x14ac:dyDescent="0.25">
      <c r="A51">
        <v>1994</v>
      </c>
      <c r="B51" s="7">
        <v>2301</v>
      </c>
      <c r="C51" s="7">
        <v>3</v>
      </c>
      <c r="D51">
        <v>56398</v>
      </c>
      <c r="E51">
        <v>289492</v>
      </c>
      <c r="F51">
        <v>1.1286215206736701</v>
      </c>
      <c r="G51">
        <v>1.1952570099841699</v>
      </c>
      <c r="H51">
        <v>1.4166309709427201</v>
      </c>
      <c r="K51">
        <v>1994</v>
      </c>
      <c r="L51">
        <v>2756</v>
      </c>
      <c r="M51">
        <v>98</v>
      </c>
      <c r="N51">
        <v>56398</v>
      </c>
      <c r="O51">
        <v>289492</v>
      </c>
      <c r="P51">
        <v>0.93808040135438997</v>
      </c>
      <c r="Q51">
        <v>1.1411006220020199</v>
      </c>
      <c r="R51">
        <v>0.97473413049671997</v>
      </c>
      <c r="S51">
        <f>_xlfn.IFNA(VLOOKUP(Table21[[#This Row],[y]],Table23[#All],3,FALSE),0)</f>
        <v>0.34275296262534188</v>
      </c>
    </row>
    <row r="52" spans="1:19" x14ac:dyDescent="0.25">
      <c r="A52">
        <v>1995</v>
      </c>
      <c r="B52" s="7">
        <v>2257</v>
      </c>
      <c r="C52" s="7">
        <v>3</v>
      </c>
      <c r="D52">
        <v>62316</v>
      </c>
      <c r="E52">
        <v>316921</v>
      </c>
      <c r="F52">
        <v>1.2602035768580899</v>
      </c>
      <c r="G52">
        <v>1.07093474107062</v>
      </c>
      <c r="H52">
        <v>1.41726412490085</v>
      </c>
      <c r="K52">
        <v>1995</v>
      </c>
      <c r="L52">
        <v>2650</v>
      </c>
      <c r="M52">
        <v>116</v>
      </c>
      <c r="N52">
        <v>62316</v>
      </c>
      <c r="O52">
        <v>316921</v>
      </c>
      <c r="P52">
        <v>1.15479604202927</v>
      </c>
      <c r="Q52">
        <v>0.99301258667312697</v>
      </c>
      <c r="R52">
        <v>1.0441964743513601</v>
      </c>
      <c r="S52">
        <f>_xlfn.IFNA(VLOOKUP(Table21[[#This Row],[y]],Table23[#All],3,FALSE),0)</f>
        <v>0.77119416590701917</v>
      </c>
    </row>
    <row r="53" spans="1:19" x14ac:dyDescent="0.25">
      <c r="A53">
        <v>1996</v>
      </c>
      <c r="B53" s="7">
        <v>2238</v>
      </c>
      <c r="C53" s="7">
        <v>3</v>
      </c>
      <c r="D53">
        <v>68178</v>
      </c>
      <c r="E53">
        <v>343465</v>
      </c>
      <c r="F53">
        <v>1.10504879315293</v>
      </c>
      <c r="G53">
        <v>0.97992522076267397</v>
      </c>
      <c r="H53">
        <v>1.13715978350731</v>
      </c>
      <c r="K53">
        <v>1996</v>
      </c>
      <c r="L53">
        <v>2650</v>
      </c>
      <c r="M53">
        <v>106</v>
      </c>
      <c r="N53">
        <v>68178</v>
      </c>
      <c r="O53">
        <v>343465</v>
      </c>
      <c r="P53">
        <v>1.05524465570684</v>
      </c>
      <c r="Q53">
        <v>0.90763257413341902</v>
      </c>
      <c r="R53">
        <v>0.87213841886865895</v>
      </c>
      <c r="S53">
        <f>_xlfn.IFNA(VLOOKUP(Table21[[#This Row],[y]],Table23[#All],3,FALSE),0)</f>
        <v>0.29990884229717413</v>
      </c>
    </row>
    <row r="54" spans="1:19" x14ac:dyDescent="0.25">
      <c r="A54">
        <v>1997</v>
      </c>
      <c r="B54" s="7">
        <v>2247</v>
      </c>
      <c r="C54" s="7">
        <v>3</v>
      </c>
      <c r="D54">
        <v>77050</v>
      </c>
      <c r="E54">
        <v>372512</v>
      </c>
      <c r="F54">
        <v>1.2659988774061599</v>
      </c>
      <c r="G54">
        <v>0.90694538732964802</v>
      </c>
      <c r="H54">
        <v>1.20576185857199</v>
      </c>
      <c r="K54">
        <v>1997</v>
      </c>
      <c r="L54">
        <v>2775</v>
      </c>
      <c r="M54">
        <v>147</v>
      </c>
      <c r="N54">
        <v>77050</v>
      </c>
      <c r="O54">
        <v>372512</v>
      </c>
      <c r="P54">
        <v>1.39748618160268</v>
      </c>
      <c r="Q54">
        <v>0.84100539778348704</v>
      </c>
      <c r="R54">
        <v>1.0702087325071199</v>
      </c>
      <c r="S54">
        <f>_xlfn.IFNA(VLOOKUP(Table21[[#This Row],[y]],Table23[#All],3,FALSE),0)</f>
        <v>0.42844120328167734</v>
      </c>
    </row>
    <row r="55" spans="1:19" x14ac:dyDescent="0.25">
      <c r="A55">
        <v>1998</v>
      </c>
      <c r="B55" s="7">
        <v>2347</v>
      </c>
      <c r="C55" s="7">
        <v>4</v>
      </c>
      <c r="D55">
        <v>79523</v>
      </c>
      <c r="E55">
        <v>414979</v>
      </c>
      <c r="F55">
        <v>1.47523426338749</v>
      </c>
      <c r="G55">
        <v>0.85054603239892301</v>
      </c>
      <c r="H55">
        <v>1.3176677000563499</v>
      </c>
      <c r="K55">
        <v>1998</v>
      </c>
      <c r="L55">
        <v>2785</v>
      </c>
      <c r="M55">
        <v>105</v>
      </c>
      <c r="N55">
        <v>79523</v>
      </c>
      <c r="O55">
        <v>414979</v>
      </c>
      <c r="P55">
        <v>0.99462022756121604</v>
      </c>
      <c r="Q55">
        <v>0.81778832965390802</v>
      </c>
      <c r="R55">
        <v>0.74066246654346901</v>
      </c>
      <c r="S55">
        <f>_xlfn.IFNA(VLOOKUP(Table21[[#This Row],[y]],Table23[#All],3,FALSE),0)</f>
        <v>0.29990884229717413</v>
      </c>
    </row>
    <row r="56" spans="1:19" x14ac:dyDescent="0.25">
      <c r="A56">
        <v>1999</v>
      </c>
      <c r="B56" s="7">
        <v>2409</v>
      </c>
      <c r="C56" s="7">
        <v>4</v>
      </c>
      <c r="D56">
        <v>85445</v>
      </c>
      <c r="E56">
        <v>474958</v>
      </c>
      <c r="F56">
        <v>1.2834582116472799</v>
      </c>
      <c r="G56">
        <v>0.76265822865761002</v>
      </c>
      <c r="H56">
        <v>1.0279187727922201</v>
      </c>
      <c r="K56">
        <v>1999</v>
      </c>
      <c r="L56">
        <v>2821</v>
      </c>
      <c r="M56">
        <v>135</v>
      </c>
      <c r="N56">
        <v>85445</v>
      </c>
      <c r="O56">
        <v>474958</v>
      </c>
      <c r="P56">
        <v>1.2624781075201901</v>
      </c>
      <c r="Q56">
        <v>0.77094760285154695</v>
      </c>
      <c r="R56">
        <v>0.88627994068882099</v>
      </c>
      <c r="S56">
        <f>_xlfn.IFNA(VLOOKUP(Table21[[#This Row],[y]],Table23[#All],3,FALSE),0)</f>
        <v>0.51412944393801274</v>
      </c>
    </row>
    <row r="57" spans="1:19" x14ac:dyDescent="0.25">
      <c r="A57">
        <v>2000</v>
      </c>
      <c r="B57" s="7">
        <v>2438</v>
      </c>
      <c r="C57" s="7">
        <v>5</v>
      </c>
      <c r="D57">
        <v>104783</v>
      </c>
      <c r="E57">
        <v>530560</v>
      </c>
      <c r="F57">
        <v>1.67378529290984</v>
      </c>
      <c r="G57">
        <v>0.69104540648485802</v>
      </c>
      <c r="H57">
        <v>1.2146562791997699</v>
      </c>
      <c r="K57">
        <v>2000</v>
      </c>
      <c r="L57">
        <v>3264</v>
      </c>
      <c r="M57">
        <v>119</v>
      </c>
      <c r="N57">
        <v>104783</v>
      </c>
      <c r="O57">
        <v>530560</v>
      </c>
      <c r="P57">
        <v>0.96181152388852098</v>
      </c>
      <c r="Q57">
        <v>0.727390742759909</v>
      </c>
      <c r="R57">
        <v>0.63705938894511904</v>
      </c>
      <c r="S57">
        <f>_xlfn.IFNA(VLOOKUP(Table21[[#This Row],[y]],Table23[#All],3,FALSE),0)</f>
        <v>1.4567000911577028</v>
      </c>
    </row>
    <row r="58" spans="1:19" x14ac:dyDescent="0.25">
      <c r="A58">
        <v>2001</v>
      </c>
      <c r="B58" s="7">
        <v>2460</v>
      </c>
      <c r="C58" s="7">
        <v>5</v>
      </c>
      <c r="D58">
        <v>128157</v>
      </c>
      <c r="E58">
        <v>589067</v>
      </c>
      <c r="F58">
        <v>1.70908684759149</v>
      </c>
      <c r="G58">
        <v>0.62802509982649701</v>
      </c>
      <c r="H58">
        <v>1.1271668634965999</v>
      </c>
      <c r="K58">
        <v>2001</v>
      </c>
      <c r="L58">
        <v>3055</v>
      </c>
      <c r="M58">
        <v>148</v>
      </c>
      <c r="N58">
        <v>128157</v>
      </c>
      <c r="O58">
        <v>589067</v>
      </c>
      <c r="P58">
        <v>1.2780377657983799</v>
      </c>
      <c r="Q58">
        <v>0.55664372266256501</v>
      </c>
      <c r="R58">
        <v>0.64780331989907203</v>
      </c>
      <c r="S58">
        <f>_xlfn.IFNA(VLOOKUP(Table21[[#This Row],[y]],Table23[#All],3,FALSE),0)</f>
        <v>1.7994530537830449</v>
      </c>
    </row>
    <row r="59" spans="1:19" x14ac:dyDescent="0.25">
      <c r="A59">
        <v>2002</v>
      </c>
      <c r="B59" s="7">
        <v>2485</v>
      </c>
      <c r="C59" s="7">
        <v>6</v>
      </c>
      <c r="D59">
        <v>132652</v>
      </c>
      <c r="E59">
        <v>649407</v>
      </c>
      <c r="F59">
        <v>1.7917798997099299</v>
      </c>
      <c r="G59">
        <v>0.57534421903275101</v>
      </c>
      <c r="H59">
        <v>1.0825788147495901</v>
      </c>
      <c r="K59">
        <v>2002</v>
      </c>
      <c r="L59">
        <v>2983</v>
      </c>
      <c r="M59">
        <v>120</v>
      </c>
      <c r="N59">
        <v>132652</v>
      </c>
      <c r="O59">
        <v>649407</v>
      </c>
      <c r="P59">
        <v>1.06125844142069</v>
      </c>
      <c r="Q59">
        <v>0.52510711957987199</v>
      </c>
      <c r="R59">
        <v>0.50744764486275395</v>
      </c>
      <c r="S59">
        <f>_xlfn.IFNA(VLOOKUP(Table21[[#This Row],[y]],Table23[#All],3,FALSE),0)</f>
        <v>1.8422971741112124</v>
      </c>
    </row>
    <row r="60" spans="1:19" x14ac:dyDescent="0.25">
      <c r="A60">
        <v>2003</v>
      </c>
      <c r="B60" s="7">
        <v>2515</v>
      </c>
      <c r="C60" s="7">
        <v>5</v>
      </c>
      <c r="D60">
        <v>138030</v>
      </c>
      <c r="E60">
        <v>698204</v>
      </c>
      <c r="F60">
        <v>1.4751435525324901</v>
      </c>
      <c r="G60">
        <v>0.54166594766349396</v>
      </c>
      <c r="H60">
        <v>0.83909843709936105</v>
      </c>
      <c r="K60">
        <v>2003</v>
      </c>
      <c r="L60">
        <v>2950</v>
      </c>
      <c r="M60">
        <v>173</v>
      </c>
      <c r="N60">
        <v>138030</v>
      </c>
      <c r="O60">
        <v>698204</v>
      </c>
      <c r="P60">
        <v>1.54709600493354</v>
      </c>
      <c r="Q60">
        <v>0.499064838705988</v>
      </c>
      <c r="R60">
        <v>0.70306654457935502</v>
      </c>
      <c r="S60">
        <f>_xlfn.IFNA(VLOOKUP(Table21[[#This Row],[y]],Table23[#All],3,FALSE),0)</f>
        <v>2.0993618960802189</v>
      </c>
    </row>
    <row r="61" spans="1:19" x14ac:dyDescent="0.25">
      <c r="A61">
        <v>2004</v>
      </c>
      <c r="B61" s="7">
        <v>2668</v>
      </c>
      <c r="C61" s="7">
        <v>5</v>
      </c>
      <c r="D61">
        <v>145785</v>
      </c>
      <c r="E61">
        <v>723429</v>
      </c>
      <c r="F61">
        <v>1.4369120372341599</v>
      </c>
      <c r="G61">
        <v>0.55457780240700405</v>
      </c>
      <c r="H61">
        <v>0.83683486907196702</v>
      </c>
      <c r="K61">
        <v>2004</v>
      </c>
      <c r="L61">
        <v>3042</v>
      </c>
      <c r="M61">
        <v>124</v>
      </c>
      <c r="N61">
        <v>145785</v>
      </c>
      <c r="O61">
        <v>723429</v>
      </c>
      <c r="P61">
        <v>1.07536438159391</v>
      </c>
      <c r="Q61">
        <v>0.48725331383406001</v>
      </c>
      <c r="R61">
        <v>0.47712551121709801</v>
      </c>
      <c r="S61">
        <f>_xlfn.IFNA(VLOOKUP(Table21[[#This Row],[y]],Table23[#All],3,FALSE),0)</f>
        <v>2.3564266180492255</v>
      </c>
    </row>
    <row r="62" spans="1:19" x14ac:dyDescent="0.25">
      <c r="A62">
        <v>2005</v>
      </c>
      <c r="B62" s="7">
        <v>2869</v>
      </c>
      <c r="C62" s="7">
        <v>5</v>
      </c>
      <c r="D62">
        <v>153580</v>
      </c>
      <c r="E62">
        <v>745643</v>
      </c>
      <c r="F62">
        <v>1.3360995350240299</v>
      </c>
      <c r="G62">
        <v>0.57865385472165498</v>
      </c>
      <c r="H62">
        <v>0.81190407674489296</v>
      </c>
      <c r="K62">
        <v>2005</v>
      </c>
      <c r="L62">
        <v>3560</v>
      </c>
      <c r="M62">
        <v>194</v>
      </c>
      <c r="N62">
        <v>153580</v>
      </c>
      <c r="O62">
        <v>745643</v>
      </c>
      <c r="P62">
        <v>1.43762263874635</v>
      </c>
      <c r="Q62">
        <v>0.54128222913903801</v>
      </c>
      <c r="R62">
        <v>0.70858322177616495</v>
      </c>
      <c r="S62">
        <f>_xlfn.IFNA(VLOOKUP(Table21[[#This Row],[y]],Table23[#All],3,FALSE),0)</f>
        <v>2.6563354603463996</v>
      </c>
    </row>
    <row r="63" spans="1:19" x14ac:dyDescent="0.25">
      <c r="A63">
        <v>2006</v>
      </c>
      <c r="B63" s="7">
        <v>3135</v>
      </c>
      <c r="C63" s="7">
        <v>6</v>
      </c>
      <c r="D63">
        <v>153382</v>
      </c>
      <c r="E63">
        <v>760510</v>
      </c>
      <c r="F63">
        <v>1.45973065518029</v>
      </c>
      <c r="G63">
        <v>0.61979908727982702</v>
      </c>
      <c r="H63">
        <v>0.95010321354208505</v>
      </c>
      <c r="K63">
        <v>2006</v>
      </c>
      <c r="L63">
        <v>4154</v>
      </c>
      <c r="M63">
        <v>247</v>
      </c>
      <c r="N63">
        <v>153382</v>
      </c>
      <c r="O63">
        <v>760510</v>
      </c>
      <c r="P63">
        <v>1.5686412433349799</v>
      </c>
      <c r="Q63">
        <v>0.63241261850114705</v>
      </c>
      <c r="R63">
        <v>0.90332986768328105</v>
      </c>
      <c r="S63">
        <f>_xlfn.IFNA(VLOOKUP(Table21[[#This Row],[y]],Table23[#All],3,FALSE),0)</f>
        <v>3.4703737465815863</v>
      </c>
    </row>
    <row r="64" spans="1:19" x14ac:dyDescent="0.25">
      <c r="A64">
        <v>2007</v>
      </c>
      <c r="B64" s="7">
        <v>3446</v>
      </c>
      <c r="C64" s="7">
        <v>7</v>
      </c>
      <c r="D64">
        <v>154866</v>
      </c>
      <c r="E64">
        <v>750145</v>
      </c>
      <c r="F64">
        <v>1.54334049167331</v>
      </c>
      <c r="G64">
        <v>0.69069827421652497</v>
      </c>
      <c r="H64">
        <v>1.1194306911834</v>
      </c>
      <c r="K64">
        <v>2007</v>
      </c>
      <c r="L64">
        <v>4348</v>
      </c>
      <c r="M64">
        <v>291</v>
      </c>
      <c r="N64">
        <v>154866</v>
      </c>
      <c r="O64">
        <v>750145</v>
      </c>
      <c r="P64">
        <v>1.7656174913479299</v>
      </c>
      <c r="Q64">
        <v>0.65560445957519897</v>
      </c>
      <c r="R64">
        <v>1.05404875646839</v>
      </c>
      <c r="S64">
        <f>_xlfn.IFNA(VLOOKUP(Table21[[#This Row],[y]],Table23[#All],3,FALSE),0)</f>
        <v>3.8988149498632638</v>
      </c>
    </row>
    <row r="65" spans="1:19" x14ac:dyDescent="0.25">
      <c r="A65">
        <v>2008</v>
      </c>
      <c r="B65" s="7">
        <v>3715</v>
      </c>
      <c r="C65" s="7">
        <v>8</v>
      </c>
      <c r="D65">
        <v>152897</v>
      </c>
      <c r="E65">
        <v>737024</v>
      </c>
      <c r="F65">
        <v>1.73099032259755</v>
      </c>
      <c r="G65">
        <v>0.75797341334121904</v>
      </c>
      <c r="H65">
        <v>1.3778302562879099</v>
      </c>
      <c r="K65">
        <v>2008</v>
      </c>
      <c r="L65">
        <v>4591</v>
      </c>
      <c r="M65">
        <v>361</v>
      </c>
      <c r="N65">
        <v>152897</v>
      </c>
      <c r="O65">
        <v>737024</v>
      </c>
      <c r="P65">
        <v>2.07440286259247</v>
      </c>
      <c r="Q65">
        <v>0.70115943294927296</v>
      </c>
      <c r="R65">
        <v>1.32443927451885</v>
      </c>
      <c r="S65">
        <f>_xlfn.IFNA(VLOOKUP(Table21[[#This Row],[y]],Table23[#All],3,FALSE),0)</f>
        <v>4.0273473108477669</v>
      </c>
    </row>
    <row r="66" spans="1:19" x14ac:dyDescent="0.25">
      <c r="A66">
        <v>2009</v>
      </c>
      <c r="B66" s="7">
        <v>3955</v>
      </c>
      <c r="C66" s="7">
        <v>9</v>
      </c>
      <c r="D66">
        <v>135420</v>
      </c>
      <c r="E66">
        <v>728677</v>
      </c>
      <c r="F66">
        <v>1.8135734849945</v>
      </c>
      <c r="G66">
        <v>0.81617755733841502</v>
      </c>
      <c r="H66">
        <v>1.55441470702254</v>
      </c>
      <c r="K66">
        <v>2009</v>
      </c>
      <c r="L66">
        <v>4889</v>
      </c>
      <c r="M66">
        <v>394</v>
      </c>
      <c r="N66">
        <v>135420</v>
      </c>
      <c r="O66">
        <v>728677</v>
      </c>
      <c r="P66">
        <v>2.1260299038919599</v>
      </c>
      <c r="Q66">
        <v>0.84303513187517598</v>
      </c>
      <c r="R66">
        <v>1.6320641311432</v>
      </c>
      <c r="S66">
        <f>_xlfn.IFNA(VLOOKUP(Table21[[#This Row],[y]],Table23[#All],3,FALSE),0)</f>
        <v>5.3126709206927991</v>
      </c>
    </row>
    <row r="67" spans="1:19" x14ac:dyDescent="0.25">
      <c r="A67">
        <v>2010</v>
      </c>
      <c r="B67" s="7">
        <v>4258</v>
      </c>
      <c r="C67" s="7">
        <v>11</v>
      </c>
      <c r="D67">
        <v>140459</v>
      </c>
      <c r="E67">
        <v>726622</v>
      </c>
      <c r="F67">
        <v>1.9171091270718801</v>
      </c>
      <c r="G67">
        <v>0.88108022921357299</v>
      </c>
      <c r="H67">
        <v>1.7738193201605701</v>
      </c>
      <c r="K67">
        <v>2010</v>
      </c>
      <c r="L67">
        <v>5126</v>
      </c>
      <c r="M67">
        <v>384</v>
      </c>
      <c r="N67">
        <v>140459</v>
      </c>
      <c r="O67">
        <v>726622</v>
      </c>
      <c r="P67">
        <v>1.97626784899372</v>
      </c>
      <c r="Q67">
        <v>0.85219203109206398</v>
      </c>
      <c r="R67">
        <v>1.53357657365911</v>
      </c>
      <c r="S67">
        <f>_xlfn.IFNA(VLOOKUP(Table21[[#This Row],[y]],Table23[#All],3,FALSE),0)</f>
        <v>2.7848678213309026</v>
      </c>
    </row>
    <row r="68" spans="1:19" x14ac:dyDescent="0.25">
      <c r="A68">
        <v>2011</v>
      </c>
      <c r="B68" s="7">
        <v>4641</v>
      </c>
      <c r="C68" s="7">
        <v>10</v>
      </c>
      <c r="D68">
        <v>145035</v>
      </c>
      <c r="E68">
        <v>730257</v>
      </c>
      <c r="F68">
        <v>1.73212481302416</v>
      </c>
      <c r="G68">
        <v>0.95562026746054096</v>
      </c>
      <c r="H68">
        <v>1.7382474633479199</v>
      </c>
      <c r="K68">
        <v>2011</v>
      </c>
      <c r="L68">
        <v>5554</v>
      </c>
      <c r="M68">
        <v>523</v>
      </c>
      <c r="N68">
        <v>145035</v>
      </c>
      <c r="O68">
        <v>730257</v>
      </c>
      <c r="P68">
        <v>2.4842139765014299</v>
      </c>
      <c r="Q68">
        <v>0.89421404232955704</v>
      </c>
      <c r="R68">
        <v>2.0227987047131202</v>
      </c>
      <c r="S68">
        <f>_xlfn.IFNA(VLOOKUP(Table21[[#This Row],[y]],Table23[#All],3,FALSE),0)</f>
        <v>2.8277119416590701</v>
      </c>
    </row>
    <row r="69" spans="1:19" x14ac:dyDescent="0.25">
      <c r="A69">
        <v>2012</v>
      </c>
      <c r="B69" s="7">
        <v>4981</v>
      </c>
      <c r="C69" s="7">
        <v>11</v>
      </c>
      <c r="D69">
        <v>152811</v>
      </c>
      <c r="E69">
        <v>692447</v>
      </c>
      <c r="F69">
        <v>1.66355725524717</v>
      </c>
      <c r="G69">
        <v>1.08162671366412</v>
      </c>
      <c r="H69">
        <v>1.88956685454575</v>
      </c>
      <c r="K69">
        <v>2012</v>
      </c>
      <c r="L69">
        <v>6143</v>
      </c>
      <c r="M69">
        <v>648</v>
      </c>
      <c r="N69">
        <v>152811</v>
      </c>
      <c r="O69">
        <v>692447</v>
      </c>
      <c r="P69">
        <v>2.7828362936173101</v>
      </c>
      <c r="Q69">
        <v>0.93871622108465003</v>
      </c>
      <c r="R69">
        <v>2.3787247548069099</v>
      </c>
      <c r="S69">
        <f>_xlfn.IFNA(VLOOKUP(Table21[[#This Row],[y]],Table23[#All],3,FALSE),0)</f>
        <v>2.0136736554238834</v>
      </c>
    </row>
    <row r="70" spans="1:19" x14ac:dyDescent="0.25">
      <c r="A70">
        <v>2013</v>
      </c>
      <c r="B70" s="7">
        <v>4917</v>
      </c>
      <c r="C70" s="7">
        <v>9</v>
      </c>
      <c r="D70">
        <v>156532</v>
      </c>
      <c r="E70">
        <v>571576</v>
      </c>
      <c r="F70">
        <v>1.3581359662261501</v>
      </c>
      <c r="G70">
        <v>1.29361021915071</v>
      </c>
      <c r="H70">
        <v>1.8449888942033801</v>
      </c>
      <c r="K70">
        <v>2013</v>
      </c>
      <c r="L70">
        <v>6853</v>
      </c>
      <c r="M70">
        <v>902</v>
      </c>
      <c r="N70">
        <v>156532</v>
      </c>
      <c r="O70">
        <v>571576</v>
      </c>
      <c r="P70">
        <v>3.47231379876854</v>
      </c>
      <c r="Q70">
        <v>1.02231807416916</v>
      </c>
      <c r="R70">
        <v>3.2324157598559999</v>
      </c>
    </row>
    <row r="71" spans="1:19" x14ac:dyDescent="0.25">
      <c r="A71">
        <v>2014</v>
      </c>
      <c r="B71" s="7">
        <v>4020</v>
      </c>
      <c r="C71" s="7">
        <v>6</v>
      </c>
      <c r="D71">
        <v>97610</v>
      </c>
      <c r="E71">
        <v>426541</v>
      </c>
      <c r="F71">
        <v>1.23051944305741</v>
      </c>
      <c r="G71">
        <v>1.4172211399710199</v>
      </c>
      <c r="H71">
        <v>1.8313577544669</v>
      </c>
      <c r="K71">
        <v>2014</v>
      </c>
      <c r="L71">
        <v>6856</v>
      </c>
      <c r="M71">
        <v>966</v>
      </c>
      <c r="N71">
        <v>97610</v>
      </c>
      <c r="O71">
        <v>426541</v>
      </c>
      <c r="P71">
        <v>3.7170593101947902</v>
      </c>
      <c r="Q71">
        <v>1.64015510891626</v>
      </c>
      <c r="R71">
        <v>5.5514524156937197</v>
      </c>
    </row>
    <row r="72" spans="1:19" x14ac:dyDescent="0.25">
      <c r="B72" s="7"/>
      <c r="C72" s="7"/>
    </row>
    <row r="73" spans="1:19" x14ac:dyDescent="0.25">
      <c r="B73" s="7"/>
      <c r="C73" s="7"/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opLeftCell="A12" workbookViewId="0">
      <selection activeCell="C7" sqref="C7"/>
    </sheetView>
  </sheetViews>
  <sheetFormatPr defaultRowHeight="15" x14ac:dyDescent="0.25"/>
  <cols>
    <col min="1" max="1" width="11.42578125" customWidth="1"/>
  </cols>
  <sheetData>
    <row r="1" spans="1:3" x14ac:dyDescent="0.25">
      <c r="A1" t="s">
        <v>25</v>
      </c>
      <c r="B1" t="s">
        <v>26</v>
      </c>
      <c r="C1" t="s">
        <v>27</v>
      </c>
    </row>
    <row r="2" spans="1:3" x14ac:dyDescent="0.25">
      <c r="A2">
        <v>1953</v>
      </c>
      <c r="B2">
        <v>1</v>
      </c>
      <c r="C2">
        <f>Table23[[#This Row],[nn]]/AVERAGE(Table23[nn])</f>
        <v>4.2844120328167735E-2</v>
      </c>
    </row>
    <row r="3" spans="1:3" x14ac:dyDescent="0.25">
      <c r="A3">
        <v>1965</v>
      </c>
      <c r="B3">
        <v>1</v>
      </c>
      <c r="C3">
        <f>Table23[[#This Row],[nn]]/AVERAGE(Table23[nn])</f>
        <v>4.2844120328167735E-2</v>
      </c>
    </row>
    <row r="4" spans="1:3" x14ac:dyDescent="0.25">
      <c r="A4">
        <v>1967</v>
      </c>
      <c r="B4">
        <v>1</v>
      </c>
      <c r="C4">
        <f>Table23[[#This Row],[nn]]/AVERAGE(Table23[nn])</f>
        <v>4.2844120328167735E-2</v>
      </c>
    </row>
    <row r="5" spans="1:3" x14ac:dyDescent="0.25">
      <c r="A5">
        <v>1968</v>
      </c>
      <c r="B5">
        <v>2</v>
      </c>
      <c r="C5">
        <f>Table23[[#This Row],[nn]]/AVERAGE(Table23[nn])</f>
        <v>8.5688240656335471E-2</v>
      </c>
    </row>
    <row r="6" spans="1:3" x14ac:dyDescent="0.25">
      <c r="A6">
        <v>1970</v>
      </c>
      <c r="B6">
        <v>1</v>
      </c>
      <c r="C6">
        <f>Table23[[#This Row],[nn]]/AVERAGE(Table23[nn])</f>
        <v>4.2844120328167735E-2</v>
      </c>
    </row>
    <row r="7" spans="1:3" x14ac:dyDescent="0.25">
      <c r="A7">
        <v>1971</v>
      </c>
      <c r="B7">
        <v>1</v>
      </c>
      <c r="C7">
        <f>Table23[[#This Row],[nn]]/AVERAGE(Table23[nn])</f>
        <v>4.2844120328167735E-2</v>
      </c>
    </row>
    <row r="8" spans="1:3" x14ac:dyDescent="0.25">
      <c r="A8">
        <v>1972</v>
      </c>
      <c r="B8">
        <v>1</v>
      </c>
      <c r="C8">
        <f>Table23[[#This Row],[nn]]/AVERAGE(Table23[nn])</f>
        <v>4.2844120328167735E-2</v>
      </c>
    </row>
    <row r="9" spans="1:3" x14ac:dyDescent="0.25">
      <c r="A9">
        <v>1973</v>
      </c>
      <c r="B9">
        <v>1</v>
      </c>
      <c r="C9">
        <f>Table23[[#This Row],[nn]]/AVERAGE(Table23[nn])</f>
        <v>4.2844120328167735E-2</v>
      </c>
    </row>
    <row r="10" spans="1:3" x14ac:dyDescent="0.25">
      <c r="A10">
        <v>1974</v>
      </c>
      <c r="B10">
        <v>1</v>
      </c>
      <c r="C10">
        <f>Table23[[#This Row],[nn]]/AVERAGE(Table23[nn])</f>
        <v>4.2844120328167735E-2</v>
      </c>
    </row>
    <row r="11" spans="1:3" x14ac:dyDescent="0.25">
      <c r="A11">
        <v>1975</v>
      </c>
      <c r="B11">
        <v>2</v>
      </c>
      <c r="C11">
        <f>Table23[[#This Row],[nn]]/AVERAGE(Table23[nn])</f>
        <v>8.5688240656335471E-2</v>
      </c>
    </row>
    <row r="12" spans="1:3" x14ac:dyDescent="0.25">
      <c r="A12">
        <v>1976</v>
      </c>
      <c r="B12">
        <v>4</v>
      </c>
      <c r="C12">
        <f>Table23[[#This Row],[nn]]/AVERAGE(Table23[nn])</f>
        <v>0.17137648131267094</v>
      </c>
    </row>
    <row r="13" spans="1:3" x14ac:dyDescent="0.25">
      <c r="A13">
        <v>1977</v>
      </c>
      <c r="B13">
        <v>2</v>
      </c>
      <c r="C13">
        <f>Table23[[#This Row],[nn]]/AVERAGE(Table23[nn])</f>
        <v>8.5688240656335471E-2</v>
      </c>
    </row>
    <row r="14" spans="1:3" x14ac:dyDescent="0.25">
      <c r="A14">
        <v>1978</v>
      </c>
      <c r="B14">
        <v>4</v>
      </c>
      <c r="C14">
        <f>Table23[[#This Row],[nn]]/AVERAGE(Table23[nn])</f>
        <v>0.17137648131267094</v>
      </c>
    </row>
    <row r="15" spans="1:3" x14ac:dyDescent="0.25">
      <c r="A15">
        <v>1979</v>
      </c>
      <c r="B15">
        <v>9</v>
      </c>
      <c r="C15">
        <f>Table23[[#This Row],[nn]]/AVERAGE(Table23[nn])</f>
        <v>0.38559708295350958</v>
      </c>
    </row>
    <row r="16" spans="1:3" x14ac:dyDescent="0.25">
      <c r="A16">
        <v>1980</v>
      </c>
      <c r="B16">
        <v>18</v>
      </c>
      <c r="C16">
        <f>Table23[[#This Row],[nn]]/AVERAGE(Table23[nn])</f>
        <v>0.77119416590701917</v>
      </c>
    </row>
    <row r="17" spans="1:3" x14ac:dyDescent="0.25">
      <c r="A17">
        <v>1981</v>
      </c>
      <c r="B17">
        <v>11</v>
      </c>
      <c r="C17">
        <f>Table23[[#This Row],[nn]]/AVERAGE(Table23[nn])</f>
        <v>0.47128532360984504</v>
      </c>
    </row>
    <row r="18" spans="1:3" x14ac:dyDescent="0.25">
      <c r="A18">
        <v>1982</v>
      </c>
      <c r="B18">
        <v>12</v>
      </c>
      <c r="C18">
        <f>Table23[[#This Row],[nn]]/AVERAGE(Table23[nn])</f>
        <v>0.51412944393801274</v>
      </c>
    </row>
    <row r="19" spans="1:3" x14ac:dyDescent="0.25">
      <c r="A19">
        <v>1983</v>
      </c>
      <c r="B19">
        <v>14</v>
      </c>
      <c r="C19">
        <f>Table23[[#This Row],[nn]]/AVERAGE(Table23[nn])</f>
        <v>0.59981768459434825</v>
      </c>
    </row>
    <row r="20" spans="1:3" x14ac:dyDescent="0.25">
      <c r="A20">
        <v>1984</v>
      </c>
      <c r="B20">
        <v>15</v>
      </c>
      <c r="C20">
        <f>Table23[[#This Row],[nn]]/AVERAGE(Table23[nn])</f>
        <v>0.64266180492251601</v>
      </c>
    </row>
    <row r="21" spans="1:3" x14ac:dyDescent="0.25">
      <c r="A21">
        <v>1985</v>
      </c>
      <c r="B21">
        <v>14</v>
      </c>
      <c r="C21">
        <f>Table23[[#This Row],[nn]]/AVERAGE(Table23[nn])</f>
        <v>0.59981768459434825</v>
      </c>
    </row>
    <row r="22" spans="1:3" x14ac:dyDescent="0.25">
      <c r="A22">
        <v>1986</v>
      </c>
      <c r="B22">
        <v>13</v>
      </c>
      <c r="C22">
        <f>Table23[[#This Row],[nn]]/AVERAGE(Table23[nn])</f>
        <v>0.5569735642661805</v>
      </c>
    </row>
    <row r="23" spans="1:3" x14ac:dyDescent="0.25">
      <c r="A23">
        <v>1987</v>
      </c>
      <c r="B23">
        <v>12</v>
      </c>
      <c r="C23">
        <f>Table23[[#This Row],[nn]]/AVERAGE(Table23[nn])</f>
        <v>0.51412944393801274</v>
      </c>
    </row>
    <row r="24" spans="1:3" x14ac:dyDescent="0.25">
      <c r="A24">
        <v>1988</v>
      </c>
      <c r="B24">
        <v>13</v>
      </c>
      <c r="C24">
        <f>Table23[[#This Row],[nn]]/AVERAGE(Table23[nn])</f>
        <v>0.5569735642661805</v>
      </c>
    </row>
    <row r="25" spans="1:3" x14ac:dyDescent="0.25">
      <c r="A25">
        <v>1989</v>
      </c>
      <c r="B25">
        <v>11</v>
      </c>
      <c r="C25">
        <f>Table23[[#This Row],[nn]]/AVERAGE(Table23[nn])</f>
        <v>0.47128532360984504</v>
      </c>
    </row>
    <row r="26" spans="1:3" x14ac:dyDescent="0.25">
      <c r="A26">
        <v>1990</v>
      </c>
      <c r="B26">
        <v>5</v>
      </c>
      <c r="C26">
        <f>Table23[[#This Row],[nn]]/AVERAGE(Table23[nn])</f>
        <v>0.21422060164083867</v>
      </c>
    </row>
    <row r="27" spans="1:3" x14ac:dyDescent="0.25">
      <c r="A27">
        <v>1991</v>
      </c>
      <c r="B27">
        <v>4</v>
      </c>
      <c r="C27">
        <f>Table23[[#This Row],[nn]]/AVERAGE(Table23[nn])</f>
        <v>0.17137648131267094</v>
      </c>
    </row>
    <row r="28" spans="1:3" x14ac:dyDescent="0.25">
      <c r="A28">
        <v>1992</v>
      </c>
      <c r="B28">
        <v>4</v>
      </c>
      <c r="C28">
        <f>Table23[[#This Row],[nn]]/AVERAGE(Table23[nn])</f>
        <v>0.17137648131267094</v>
      </c>
    </row>
    <row r="29" spans="1:3" x14ac:dyDescent="0.25">
      <c r="A29">
        <v>1993</v>
      </c>
      <c r="B29">
        <v>5</v>
      </c>
      <c r="C29">
        <f>Table23[[#This Row],[nn]]/AVERAGE(Table23[nn])</f>
        <v>0.21422060164083867</v>
      </c>
    </row>
    <row r="30" spans="1:3" x14ac:dyDescent="0.25">
      <c r="A30">
        <v>1994</v>
      </c>
      <c r="B30">
        <v>8</v>
      </c>
      <c r="C30">
        <f>Table23[[#This Row],[nn]]/AVERAGE(Table23[nn])</f>
        <v>0.34275296262534188</v>
      </c>
    </row>
    <row r="31" spans="1:3" x14ac:dyDescent="0.25">
      <c r="A31">
        <v>1995</v>
      </c>
      <c r="B31">
        <v>18</v>
      </c>
      <c r="C31">
        <f>Table23[[#This Row],[nn]]/AVERAGE(Table23[nn])</f>
        <v>0.77119416590701917</v>
      </c>
    </row>
    <row r="32" spans="1:3" x14ac:dyDescent="0.25">
      <c r="A32">
        <v>1996</v>
      </c>
      <c r="B32">
        <v>7</v>
      </c>
      <c r="C32">
        <f>Table23[[#This Row],[nn]]/AVERAGE(Table23[nn])</f>
        <v>0.29990884229717413</v>
      </c>
    </row>
    <row r="33" spans="1:3" x14ac:dyDescent="0.25">
      <c r="A33">
        <v>1997</v>
      </c>
      <c r="B33">
        <v>10</v>
      </c>
      <c r="C33">
        <f>Table23[[#This Row],[nn]]/AVERAGE(Table23[nn])</f>
        <v>0.42844120328167734</v>
      </c>
    </row>
    <row r="34" spans="1:3" x14ac:dyDescent="0.25">
      <c r="A34">
        <v>1998</v>
      </c>
      <c r="B34">
        <v>7</v>
      </c>
      <c r="C34">
        <f>Table23[[#This Row],[nn]]/AVERAGE(Table23[nn])</f>
        <v>0.29990884229717413</v>
      </c>
    </row>
    <row r="35" spans="1:3" x14ac:dyDescent="0.25">
      <c r="A35">
        <v>1999</v>
      </c>
      <c r="B35">
        <v>12</v>
      </c>
      <c r="C35">
        <f>Table23[[#This Row],[nn]]/AVERAGE(Table23[nn])</f>
        <v>0.51412944393801274</v>
      </c>
    </row>
    <row r="36" spans="1:3" x14ac:dyDescent="0.25">
      <c r="A36">
        <v>2000</v>
      </c>
      <c r="B36">
        <v>34</v>
      </c>
      <c r="C36">
        <f>Table23[[#This Row],[nn]]/AVERAGE(Table23[nn])</f>
        <v>1.4567000911577028</v>
      </c>
    </row>
    <row r="37" spans="1:3" x14ac:dyDescent="0.25">
      <c r="A37">
        <v>2001</v>
      </c>
      <c r="B37">
        <v>42</v>
      </c>
      <c r="C37">
        <f>Table23[[#This Row],[nn]]/AVERAGE(Table23[nn])</f>
        <v>1.7994530537830449</v>
      </c>
    </row>
    <row r="38" spans="1:3" x14ac:dyDescent="0.25">
      <c r="A38">
        <v>2002</v>
      </c>
      <c r="B38">
        <v>43</v>
      </c>
      <c r="C38">
        <f>Table23[[#This Row],[nn]]/AVERAGE(Table23[nn])</f>
        <v>1.8422971741112124</v>
      </c>
    </row>
    <row r="39" spans="1:3" x14ac:dyDescent="0.25">
      <c r="A39">
        <v>2003</v>
      </c>
      <c r="B39">
        <v>49</v>
      </c>
      <c r="C39">
        <f>Table23[[#This Row],[nn]]/AVERAGE(Table23[nn])</f>
        <v>2.0993618960802189</v>
      </c>
    </row>
    <row r="40" spans="1:3" x14ac:dyDescent="0.25">
      <c r="A40">
        <v>2004</v>
      </c>
      <c r="B40">
        <v>55</v>
      </c>
      <c r="C40">
        <f>Table23[[#This Row],[nn]]/AVERAGE(Table23[nn])</f>
        <v>2.3564266180492255</v>
      </c>
    </row>
    <row r="41" spans="1:3" x14ac:dyDescent="0.25">
      <c r="A41">
        <v>2005</v>
      </c>
      <c r="B41">
        <v>62</v>
      </c>
      <c r="C41">
        <f>Table23[[#This Row],[nn]]/AVERAGE(Table23[nn])</f>
        <v>2.6563354603463996</v>
      </c>
    </row>
    <row r="42" spans="1:3" x14ac:dyDescent="0.25">
      <c r="A42">
        <v>2006</v>
      </c>
      <c r="B42">
        <v>81</v>
      </c>
      <c r="C42">
        <f>Table23[[#This Row],[nn]]/AVERAGE(Table23[nn])</f>
        <v>3.4703737465815863</v>
      </c>
    </row>
    <row r="43" spans="1:3" x14ac:dyDescent="0.25">
      <c r="A43">
        <v>2007</v>
      </c>
      <c r="B43">
        <v>91</v>
      </c>
      <c r="C43">
        <f>Table23[[#This Row],[nn]]/AVERAGE(Table23[nn])</f>
        <v>3.8988149498632638</v>
      </c>
    </row>
    <row r="44" spans="1:3" x14ac:dyDescent="0.25">
      <c r="A44">
        <v>2008</v>
      </c>
      <c r="B44">
        <v>94</v>
      </c>
      <c r="C44">
        <f>Table23[[#This Row],[nn]]/AVERAGE(Table23[nn])</f>
        <v>4.0273473108477669</v>
      </c>
    </row>
    <row r="45" spans="1:3" x14ac:dyDescent="0.25">
      <c r="A45">
        <v>2009</v>
      </c>
      <c r="B45">
        <v>124</v>
      </c>
      <c r="C45">
        <f>Table23[[#This Row],[nn]]/AVERAGE(Table23[nn])</f>
        <v>5.3126709206927991</v>
      </c>
    </row>
    <row r="46" spans="1:3" x14ac:dyDescent="0.25">
      <c r="A46">
        <v>2010</v>
      </c>
      <c r="B46">
        <v>65</v>
      </c>
      <c r="C46">
        <f>Table23[[#This Row],[nn]]/AVERAGE(Table23[nn])</f>
        <v>2.7848678213309026</v>
      </c>
    </row>
    <row r="47" spans="1:3" x14ac:dyDescent="0.25">
      <c r="A47">
        <v>2011</v>
      </c>
      <c r="B47">
        <v>66</v>
      </c>
      <c r="C47">
        <f>Table23[[#This Row],[nn]]/AVERAGE(Table23[nn])</f>
        <v>2.8277119416590701</v>
      </c>
    </row>
    <row r="48" spans="1:3" x14ac:dyDescent="0.25">
      <c r="A48">
        <v>2012</v>
      </c>
      <c r="B48">
        <v>47</v>
      </c>
      <c r="C48">
        <f>Table23[[#This Row],[nn]]/AVERAGE(Table23[nn])</f>
        <v>2.0136736554238834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C30" sqref="C30"/>
    </sheetView>
  </sheetViews>
  <sheetFormatPr defaultRowHeight="15" x14ac:dyDescent="0.25"/>
  <cols>
    <col min="2" max="2" width="16.140625" customWidth="1"/>
    <col min="3" max="3" width="24.85546875" customWidth="1"/>
    <col min="4" max="4" width="26.28515625" customWidth="1"/>
    <col min="5" max="5" width="31.7109375" customWidth="1"/>
    <col min="6" max="6" width="32.28515625" customWidth="1"/>
    <col min="7" max="7" width="27.140625" customWidth="1"/>
    <col min="8" max="8" width="28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1996</v>
      </c>
      <c r="B2">
        <v>1074</v>
      </c>
      <c r="C2">
        <v>49</v>
      </c>
      <c r="D2">
        <v>706613</v>
      </c>
      <c r="E2">
        <v>3371676</v>
      </c>
      <c r="F2" s="1">
        <v>1.03564618632467</v>
      </c>
      <c r="G2" s="1">
        <v>0.89276246954206595</v>
      </c>
      <c r="H2" s="1">
        <v>0.929218817171241</v>
      </c>
    </row>
    <row r="3" spans="1:8" x14ac:dyDescent="0.25">
      <c r="A3">
        <v>1997</v>
      </c>
      <c r="B3">
        <v>1133</v>
      </c>
      <c r="C3">
        <v>42</v>
      </c>
      <c r="D3">
        <v>700089</v>
      </c>
      <c r="E3">
        <v>3545439</v>
      </c>
      <c r="F3" s="1">
        <v>0.84147071313217403</v>
      </c>
      <c r="G3" s="1">
        <v>0.95058274794322195</v>
      </c>
      <c r="H3" s="1">
        <v>0.80389546776891396</v>
      </c>
    </row>
    <row r="4" spans="1:8" x14ac:dyDescent="0.25">
      <c r="A4">
        <v>1998</v>
      </c>
      <c r="B4">
        <v>1259</v>
      </c>
      <c r="C4">
        <v>60</v>
      </c>
      <c r="D4">
        <v>721397</v>
      </c>
      <c r="E4">
        <v>3762185</v>
      </c>
      <c r="F4" s="1">
        <v>1.08179544539787</v>
      </c>
      <c r="G4" s="1">
        <v>1.02509634923814</v>
      </c>
      <c r="H4" s="1">
        <v>1.11450101422313</v>
      </c>
    </row>
    <row r="5" spans="1:8" x14ac:dyDescent="0.25">
      <c r="A5">
        <v>1999</v>
      </c>
      <c r="B5">
        <v>1211</v>
      </c>
      <c r="C5">
        <v>57</v>
      </c>
      <c r="D5">
        <v>781570</v>
      </c>
      <c r="E5">
        <v>3942509</v>
      </c>
      <c r="F5" s="1">
        <v>1.0684405150444001</v>
      </c>
      <c r="G5" s="1">
        <v>0.91010088092666197</v>
      </c>
      <c r="H5" s="1">
        <v>0.97726083190700097</v>
      </c>
    </row>
    <row r="6" spans="1:8" x14ac:dyDescent="0.25">
      <c r="A6">
        <v>2000</v>
      </c>
      <c r="B6">
        <v>1568</v>
      </c>
      <c r="C6">
        <v>58</v>
      </c>
      <c r="D6">
        <v>852516</v>
      </c>
      <c r="E6">
        <v>4139750</v>
      </c>
      <c r="F6" s="1">
        <v>0.83965633207699097</v>
      </c>
      <c r="G6" s="1">
        <v>1.0803308717265301</v>
      </c>
      <c r="H6" s="1">
        <v>0.911651806301503</v>
      </c>
    </row>
    <row r="7" spans="1:8" x14ac:dyDescent="0.25">
      <c r="A7">
        <v>2001</v>
      </c>
      <c r="B7">
        <v>1322</v>
      </c>
      <c r="C7">
        <v>48</v>
      </c>
      <c r="D7">
        <v>886937</v>
      </c>
      <c r="E7">
        <v>4380217</v>
      </c>
      <c r="F7" s="1">
        <v>0.82419392574210903</v>
      </c>
      <c r="G7" s="1">
        <v>0.87549154833559695</v>
      </c>
      <c r="H7" s="1">
        <v>0.72519032764646096</v>
      </c>
    </row>
    <row r="8" spans="1:8" x14ac:dyDescent="0.25">
      <c r="A8">
        <v>2002</v>
      </c>
      <c r="B8">
        <v>1330</v>
      </c>
      <c r="C8">
        <v>53</v>
      </c>
      <c r="D8">
        <v>897330</v>
      </c>
      <c r="E8">
        <v>4598213</v>
      </c>
      <c r="F8" s="1">
        <v>0.90457347572267099</v>
      </c>
      <c r="G8" s="1">
        <v>0.87058808260759502</v>
      </c>
      <c r="H8" s="1">
        <v>0.79145682797320904</v>
      </c>
    </row>
    <row r="9" spans="1:8" x14ac:dyDescent="0.25">
      <c r="A9">
        <v>2003</v>
      </c>
      <c r="B9">
        <v>1326</v>
      </c>
      <c r="C9">
        <v>74</v>
      </c>
      <c r="D9">
        <v>961864</v>
      </c>
      <c r="E9">
        <v>4809727</v>
      </c>
      <c r="F9" s="1">
        <v>1.2667993136843201</v>
      </c>
      <c r="G9" s="1">
        <v>0.80973539596993505</v>
      </c>
      <c r="H9" s="1">
        <v>1.0309119781306</v>
      </c>
    </row>
    <row r="10" spans="1:8" x14ac:dyDescent="0.25">
      <c r="A10">
        <v>2004</v>
      </c>
      <c r="B10">
        <v>1343</v>
      </c>
      <c r="C10">
        <v>56</v>
      </c>
      <c r="D10">
        <v>999566</v>
      </c>
      <c r="E10">
        <v>5028369</v>
      </c>
      <c r="F10" s="1">
        <v>0.94652401890511295</v>
      </c>
      <c r="G10" s="1">
        <v>0.78918316657925802</v>
      </c>
      <c r="H10" s="1">
        <v>0.75072361949588695</v>
      </c>
    </row>
    <row r="11" spans="1:8" x14ac:dyDescent="0.25">
      <c r="A11">
        <v>2005</v>
      </c>
      <c r="B11">
        <v>1602</v>
      </c>
      <c r="C11">
        <v>74</v>
      </c>
      <c r="D11">
        <v>1064030</v>
      </c>
      <c r="E11">
        <v>5269033</v>
      </c>
      <c r="F11" s="1">
        <v>1.0485492126718501</v>
      </c>
      <c r="G11" s="1">
        <v>0.88434541180503201</v>
      </c>
      <c r="H11" s="1">
        <v>0.93192593411499802</v>
      </c>
    </row>
    <row r="12" spans="1:8" x14ac:dyDescent="0.25">
      <c r="A12">
        <v>2006</v>
      </c>
      <c r="B12">
        <v>1863</v>
      </c>
      <c r="C12">
        <v>72</v>
      </c>
      <c r="D12">
        <v>1105579</v>
      </c>
      <c r="E12">
        <v>5518652</v>
      </c>
      <c r="F12" s="1">
        <v>0.87728207612141995</v>
      </c>
      <c r="G12" s="1">
        <v>0.989774711494532</v>
      </c>
      <c r="H12" s="1">
        <v>0.87266234148690103</v>
      </c>
    </row>
    <row r="13" spans="1:8" x14ac:dyDescent="0.25">
      <c r="A13">
        <v>2007</v>
      </c>
      <c r="B13">
        <v>2070</v>
      </c>
      <c r="C13">
        <v>90</v>
      </c>
      <c r="D13">
        <v>1137994</v>
      </c>
      <c r="E13">
        <v>5791347</v>
      </c>
      <c r="F13" s="1">
        <v>0.98694236734767604</v>
      </c>
      <c r="G13" s="1">
        <v>1.0684240179095299</v>
      </c>
      <c r="H13" s="1">
        <v>1.0597564329882101</v>
      </c>
    </row>
    <row r="14" spans="1:8" x14ac:dyDescent="0.25">
      <c r="A14">
        <v>2008</v>
      </c>
      <c r="B14">
        <v>2108</v>
      </c>
      <c r="C14">
        <v>65</v>
      </c>
      <c r="D14">
        <v>1211483</v>
      </c>
      <c r="E14">
        <v>6118445</v>
      </c>
      <c r="F14" s="1">
        <v>0.69994252176794303</v>
      </c>
      <c r="G14" s="1">
        <v>1.0220368628754499</v>
      </c>
      <c r="H14" s="1">
        <v>0.71895145949004602</v>
      </c>
    </row>
    <row r="15" spans="1:8" x14ac:dyDescent="0.25">
      <c r="A15">
        <v>2009</v>
      </c>
      <c r="B15">
        <v>2228</v>
      </c>
      <c r="C15">
        <v>98</v>
      </c>
      <c r="D15">
        <v>1272261</v>
      </c>
      <c r="E15">
        <v>6643756</v>
      </c>
      <c r="F15" s="1">
        <v>0.99845966185521695</v>
      </c>
      <c r="G15" s="1">
        <v>1.0286135653398101</v>
      </c>
      <c r="H15" s="1">
        <v>1.03217515637461</v>
      </c>
    </row>
    <row r="16" spans="1:8" x14ac:dyDescent="0.25">
      <c r="A16">
        <v>2010</v>
      </c>
      <c r="B16">
        <v>2519</v>
      </c>
      <c r="C16">
        <v>147</v>
      </c>
      <c r="D16">
        <v>1391128</v>
      </c>
      <c r="E16">
        <v>7408937</v>
      </c>
      <c r="F16" s="1">
        <v>1.32467329999848</v>
      </c>
      <c r="G16" s="1">
        <v>1.06359029887017</v>
      </c>
      <c r="H16" s="1">
        <v>1.41596909039106</v>
      </c>
    </row>
    <row r="17" spans="1:8" x14ac:dyDescent="0.25">
      <c r="A17">
        <v>2011</v>
      </c>
      <c r="B17">
        <v>2721</v>
      </c>
      <c r="C17">
        <v>150</v>
      </c>
      <c r="D17">
        <v>1630890</v>
      </c>
      <c r="E17">
        <v>8240432</v>
      </c>
      <c r="F17" s="1">
        <v>1.25136016214018</v>
      </c>
      <c r="G17" s="1">
        <v>0.97997988314038098</v>
      </c>
      <c r="H17" s="1">
        <v>1.2324522814577601</v>
      </c>
    </row>
    <row r="18" spans="1:8" x14ac:dyDescent="0.25">
      <c r="A18">
        <v>2012</v>
      </c>
      <c r="B18">
        <v>3062</v>
      </c>
      <c r="C18">
        <v>146</v>
      </c>
      <c r="D18">
        <v>1903175</v>
      </c>
      <c r="E18">
        <v>8773921</v>
      </c>
      <c r="F18" s="1">
        <v>1.08234890941754</v>
      </c>
      <c r="G18" s="1">
        <v>0.94501723570596696</v>
      </c>
      <c r="H18" s="1">
        <v>1.0279634572556799</v>
      </c>
    </row>
    <row r="19" spans="1:8" x14ac:dyDescent="0.25">
      <c r="A19">
        <v>2013</v>
      </c>
      <c r="B19">
        <v>3977</v>
      </c>
      <c r="C19">
        <v>200</v>
      </c>
      <c r="D19">
        <v>2042978</v>
      </c>
      <c r="E19">
        <v>8594168</v>
      </c>
      <c r="F19" s="1">
        <v>1.14154757317528</v>
      </c>
      <c r="G19" s="1">
        <v>1.14341839270233</v>
      </c>
      <c r="H19" s="1">
        <v>1.31180670650735</v>
      </c>
    </row>
    <row r="20" spans="1:8" x14ac:dyDescent="0.25">
      <c r="A20">
        <v>2014</v>
      </c>
      <c r="B20">
        <v>3933</v>
      </c>
      <c r="C20">
        <v>196</v>
      </c>
      <c r="D20">
        <v>1805750</v>
      </c>
      <c r="E20">
        <v>6963301</v>
      </c>
      <c r="F20" s="1">
        <v>1.1312321708162001</v>
      </c>
      <c r="G20" s="1">
        <v>1.27932125148371</v>
      </c>
      <c r="H20" s="1">
        <v>1.4544606352232501</v>
      </c>
    </row>
    <row r="21" spans="1:8" hidden="1" x14ac:dyDescent="0.25">
      <c r="A21">
        <v>2015</v>
      </c>
      <c r="B21">
        <v>2870</v>
      </c>
      <c r="C21">
        <v>82</v>
      </c>
      <c r="D21">
        <v>1211375</v>
      </c>
      <c r="E21">
        <v>5060126</v>
      </c>
      <c r="F21" s="1">
        <v>0.64856211865789903</v>
      </c>
      <c r="G21" s="1">
        <v>1.3916068558040999</v>
      </c>
      <c r="H21" s="1">
        <v>0.9070658140922</v>
      </c>
    </row>
    <row r="22" spans="1:8" x14ac:dyDescent="0.25">
      <c r="C22">
        <f>SUBTOTAL(109,Table13[on_topic_in_area_filings])</f>
        <v>1735</v>
      </c>
      <c r="F22" s="1"/>
      <c r="G22" s="1"/>
      <c r="H22" s="1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D41" sqref="D41"/>
    </sheetView>
  </sheetViews>
  <sheetFormatPr defaultRowHeight="15" x14ac:dyDescent="0.25"/>
  <cols>
    <col min="2" max="2" width="16.140625" customWidth="1"/>
    <col min="3" max="3" width="24.85546875" customWidth="1"/>
    <col min="4" max="4" width="26.28515625" customWidth="1"/>
    <col min="5" max="5" width="31.7109375" customWidth="1"/>
    <col min="6" max="6" width="32.28515625" customWidth="1"/>
    <col min="7" max="7" width="27.140625" customWidth="1"/>
    <col min="8" max="8" width="28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1996</v>
      </c>
      <c r="B2">
        <v>414</v>
      </c>
      <c r="C2">
        <v>28</v>
      </c>
      <c r="D2">
        <v>706613</v>
      </c>
      <c r="E2">
        <v>3371676</v>
      </c>
      <c r="F2" s="1">
        <v>1.1204068742839099</v>
      </c>
      <c r="G2" s="1">
        <v>0.75936293730304405</v>
      </c>
      <c r="H2" s="1">
        <v>0.86690354450346396</v>
      </c>
    </row>
    <row r="3" spans="1:8" x14ac:dyDescent="0.25">
      <c r="A3">
        <v>1997</v>
      </c>
      <c r="B3">
        <v>428</v>
      </c>
      <c r="C3">
        <v>26</v>
      </c>
      <c r="D3">
        <v>700089</v>
      </c>
      <c r="E3">
        <v>3545439</v>
      </c>
      <c r="F3" s="1">
        <v>1.00634683149709</v>
      </c>
      <c r="G3" s="1">
        <v>0.79235754106073297</v>
      </c>
      <c r="H3" s="1">
        <v>0.81248334494991803</v>
      </c>
    </row>
    <row r="4" spans="1:8" x14ac:dyDescent="0.25">
      <c r="A4">
        <v>1998</v>
      </c>
      <c r="B4">
        <v>450</v>
      </c>
      <c r="C4">
        <v>30</v>
      </c>
      <c r="D4">
        <v>721397</v>
      </c>
      <c r="E4">
        <v>3762185</v>
      </c>
      <c r="F4" s="1">
        <v>1.1044011799308799</v>
      </c>
      <c r="G4" s="1">
        <v>0.80847918156441501</v>
      </c>
      <c r="H4" s="1">
        <v>0.90979030343839795</v>
      </c>
    </row>
    <row r="5" spans="1:8" x14ac:dyDescent="0.25">
      <c r="A5">
        <v>1999</v>
      </c>
      <c r="B5">
        <v>507</v>
      </c>
      <c r="C5">
        <v>43</v>
      </c>
      <c r="D5">
        <v>781570</v>
      </c>
      <c r="E5">
        <v>3942509</v>
      </c>
      <c r="F5" s="1">
        <v>1.40500739415424</v>
      </c>
      <c r="G5" s="1">
        <v>0.84075746746746605</v>
      </c>
      <c r="H5" s="1">
        <v>1.20363540873875</v>
      </c>
    </row>
    <row r="6" spans="1:8" x14ac:dyDescent="0.25">
      <c r="A6">
        <v>2000</v>
      </c>
      <c r="B6">
        <v>612</v>
      </c>
      <c r="C6">
        <v>27</v>
      </c>
      <c r="D6">
        <v>852516</v>
      </c>
      <c r="E6">
        <v>4139750</v>
      </c>
      <c r="F6" s="1">
        <v>0.73085370204704103</v>
      </c>
      <c r="G6" s="1">
        <v>0.93042107438059396</v>
      </c>
      <c r="H6" s="1">
        <v>0.69287610909441599</v>
      </c>
    </row>
    <row r="7" spans="1:8" x14ac:dyDescent="0.25">
      <c r="A7">
        <v>2001</v>
      </c>
      <c r="B7">
        <v>583</v>
      </c>
      <c r="C7">
        <v>29</v>
      </c>
      <c r="D7">
        <v>886937</v>
      </c>
      <c r="E7">
        <v>4380217</v>
      </c>
      <c r="F7" s="1">
        <v>0.82403856871474601</v>
      </c>
      <c r="G7" s="1">
        <v>0.85193496822164705</v>
      </c>
      <c r="H7" s="1">
        <v>0.71531869208020005</v>
      </c>
    </row>
    <row r="8" spans="1:8" x14ac:dyDescent="0.25">
      <c r="A8">
        <v>2002</v>
      </c>
      <c r="B8">
        <v>666</v>
      </c>
      <c r="C8">
        <v>31</v>
      </c>
      <c r="D8">
        <v>897330</v>
      </c>
      <c r="E8">
        <v>4598213</v>
      </c>
      <c r="F8" s="1">
        <v>0.77109084608675904</v>
      </c>
      <c r="G8" s="1">
        <v>0.96195045166405702</v>
      </c>
      <c r="H8" s="1">
        <v>0.75579477154830599</v>
      </c>
    </row>
    <row r="9" spans="1:8" x14ac:dyDescent="0.25">
      <c r="A9">
        <v>2003</v>
      </c>
      <c r="B9">
        <v>743</v>
      </c>
      <c r="C9">
        <v>48</v>
      </c>
      <c r="D9">
        <v>961864</v>
      </c>
      <c r="E9">
        <v>4809727</v>
      </c>
      <c r="F9" s="1">
        <v>1.07021378302417</v>
      </c>
      <c r="G9" s="1">
        <v>1.0011653650321299</v>
      </c>
      <c r="H9" s="1">
        <v>1.0917468200942</v>
      </c>
    </row>
    <row r="10" spans="1:8" x14ac:dyDescent="0.25">
      <c r="A10">
        <v>2004</v>
      </c>
      <c r="B10">
        <v>766</v>
      </c>
      <c r="C10">
        <v>40</v>
      </c>
      <c r="D10">
        <v>999566</v>
      </c>
      <c r="E10">
        <v>5028369</v>
      </c>
      <c r="F10" s="1">
        <v>0.86506613569927204</v>
      </c>
      <c r="G10" s="1">
        <v>0.99322574168744504</v>
      </c>
      <c r="H10" s="1">
        <v>0.87547323980246095</v>
      </c>
    </row>
    <row r="11" spans="1:8" x14ac:dyDescent="0.25">
      <c r="A11">
        <v>2005</v>
      </c>
      <c r="B11">
        <v>949</v>
      </c>
      <c r="C11">
        <v>58</v>
      </c>
      <c r="D11">
        <v>1064030</v>
      </c>
      <c r="E11">
        <v>5269033</v>
      </c>
      <c r="F11" s="1">
        <v>1.0124646483137401</v>
      </c>
      <c r="G11" s="1">
        <v>1.15596048407471</v>
      </c>
      <c r="H11" s="1">
        <v>1.19252777072661</v>
      </c>
    </row>
    <row r="12" spans="1:8" x14ac:dyDescent="0.25">
      <c r="A12">
        <v>2006</v>
      </c>
      <c r="B12">
        <v>1163</v>
      </c>
      <c r="C12">
        <v>63</v>
      </c>
      <c r="D12">
        <v>1105579</v>
      </c>
      <c r="E12">
        <v>5518652</v>
      </c>
      <c r="F12" s="1">
        <v>0.89738528824244801</v>
      </c>
      <c r="G12" s="1">
        <v>1.3633914991101199</v>
      </c>
      <c r="H12" s="1">
        <v>1.24665173900888</v>
      </c>
    </row>
    <row r="13" spans="1:8" x14ac:dyDescent="0.25">
      <c r="A13">
        <v>2007</v>
      </c>
      <c r="B13">
        <v>1212</v>
      </c>
      <c r="C13">
        <v>60</v>
      </c>
      <c r="D13">
        <v>1137994</v>
      </c>
      <c r="E13">
        <v>5791347</v>
      </c>
      <c r="F13" s="1">
        <v>0.82009984575983597</v>
      </c>
      <c r="G13" s="1">
        <v>1.3803629890748299</v>
      </c>
      <c r="H13" s="1">
        <v>1.1534682211258001</v>
      </c>
    </row>
    <row r="14" spans="1:8" x14ac:dyDescent="0.25">
      <c r="A14">
        <v>2008</v>
      </c>
      <c r="B14">
        <v>1211</v>
      </c>
      <c r="C14">
        <v>55</v>
      </c>
      <c r="D14">
        <v>1211483</v>
      </c>
      <c r="E14">
        <v>6118445</v>
      </c>
      <c r="F14" s="1">
        <v>0.75237896524459802</v>
      </c>
      <c r="G14" s="1">
        <v>1.2955598571928499</v>
      </c>
      <c r="H14" s="1">
        <v>0.99320694418947097</v>
      </c>
    </row>
    <row r="15" spans="1:8" x14ac:dyDescent="0.25">
      <c r="A15">
        <v>2009</v>
      </c>
      <c r="B15">
        <v>1258</v>
      </c>
      <c r="C15">
        <v>70</v>
      </c>
      <c r="D15">
        <v>1272261</v>
      </c>
      <c r="E15">
        <v>6643756</v>
      </c>
      <c r="F15" s="1">
        <v>0.921797434242564</v>
      </c>
      <c r="G15" s="1">
        <v>1.2815485441612899</v>
      </c>
      <c r="H15" s="1">
        <v>1.2036943048002</v>
      </c>
    </row>
    <row r="16" spans="1:8" x14ac:dyDescent="0.25">
      <c r="A16">
        <v>2010</v>
      </c>
      <c r="B16">
        <v>1139</v>
      </c>
      <c r="C16">
        <v>86</v>
      </c>
      <c r="D16">
        <v>1391128</v>
      </c>
      <c r="E16">
        <v>7408937</v>
      </c>
      <c r="F16" s="1">
        <v>1.2508143175328701</v>
      </c>
      <c r="G16" s="1">
        <v>1.06117567601083</v>
      </c>
      <c r="H16" s="1">
        <v>1.35246400507512</v>
      </c>
    </row>
    <row r="17" spans="1:8" x14ac:dyDescent="0.25">
      <c r="A17">
        <v>2011</v>
      </c>
      <c r="B17">
        <v>1125</v>
      </c>
      <c r="C17">
        <v>105</v>
      </c>
      <c r="D17">
        <v>1630890</v>
      </c>
      <c r="E17">
        <v>8240432</v>
      </c>
      <c r="F17" s="1">
        <v>1.5461615778473701</v>
      </c>
      <c r="G17" s="1">
        <v>0.894043217278085</v>
      </c>
      <c r="H17" s="1">
        <v>1.40850695030034</v>
      </c>
    </row>
    <row r="18" spans="1:8" x14ac:dyDescent="0.25">
      <c r="A18">
        <v>2012</v>
      </c>
      <c r="B18">
        <v>1163</v>
      </c>
      <c r="C18">
        <v>71</v>
      </c>
      <c r="D18">
        <v>1903175</v>
      </c>
      <c r="E18">
        <v>8773921</v>
      </c>
      <c r="F18" s="1">
        <v>1.01133893743489</v>
      </c>
      <c r="G18" s="1">
        <v>0.79201179227423502</v>
      </c>
      <c r="H18" s="1">
        <v>0.81615750411353205</v>
      </c>
    </row>
    <row r="19" spans="1:8" x14ac:dyDescent="0.25">
      <c r="A19">
        <v>2013</v>
      </c>
      <c r="B19">
        <v>1217</v>
      </c>
      <c r="C19">
        <v>91</v>
      </c>
      <c r="D19">
        <v>2042978</v>
      </c>
      <c r="E19">
        <v>8594168</v>
      </c>
      <c r="F19" s="1">
        <v>1.23870791138602</v>
      </c>
      <c r="G19" s="1">
        <v>0.77207152503562004</v>
      </c>
      <c r="H19" s="1">
        <v>0.97447807623560301</v>
      </c>
    </row>
    <row r="20" spans="1:8" x14ac:dyDescent="0.25">
      <c r="A20">
        <v>2014</v>
      </c>
      <c r="B20">
        <v>1433</v>
      </c>
      <c r="C20">
        <v>94</v>
      </c>
      <c r="D20">
        <v>1805750</v>
      </c>
      <c r="E20">
        <v>6963301</v>
      </c>
      <c r="F20" s="1">
        <v>1.0866751678069699</v>
      </c>
      <c r="G20" s="1">
        <v>1.0285353459388</v>
      </c>
      <c r="H20" s="1">
        <v>1.1388449657803501</v>
      </c>
    </row>
    <row r="21" spans="1:8" ht="15" hidden="1" customHeight="1" x14ac:dyDescent="0.25">
      <c r="A21">
        <v>2015</v>
      </c>
      <c r="B21">
        <v>968</v>
      </c>
      <c r="C21">
        <v>33</v>
      </c>
      <c r="D21">
        <v>1211375</v>
      </c>
      <c r="E21">
        <v>5060126</v>
      </c>
      <c r="F21" s="1">
        <v>0.56475059075058698</v>
      </c>
      <c r="G21" s="1">
        <v>1.0356843414671</v>
      </c>
      <c r="H21" s="1">
        <v>0.59597728439397502</v>
      </c>
    </row>
    <row r="22" spans="1:8" x14ac:dyDescent="0.25">
      <c r="C22">
        <f>SUBTOTAL(109,Table135[on_topic_in_area_filings])</f>
        <v>1055</v>
      </c>
      <c r="F22" s="1"/>
      <c r="G22" s="1"/>
      <c r="H22" s="1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C27" sqref="C27"/>
    </sheetView>
  </sheetViews>
  <sheetFormatPr defaultRowHeight="15" x14ac:dyDescent="0.25"/>
  <cols>
    <col min="2" max="2" width="16.140625" customWidth="1"/>
    <col min="3" max="3" width="24.85546875" customWidth="1"/>
    <col min="4" max="4" width="26.28515625" customWidth="1"/>
    <col min="5" max="5" width="31.7109375" customWidth="1"/>
    <col min="6" max="6" width="32.28515625" customWidth="1"/>
    <col min="7" max="7" width="27.140625" customWidth="1"/>
    <col min="8" max="8" width="28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1996</v>
      </c>
      <c r="B2">
        <v>135</v>
      </c>
      <c r="C2">
        <v>9</v>
      </c>
      <c r="D2">
        <v>706613</v>
      </c>
      <c r="E2">
        <v>3371676</v>
      </c>
      <c r="F2" s="1">
        <v>0.93953445639065902</v>
      </c>
      <c r="G2" s="1">
        <v>0.858565529306897</v>
      </c>
      <c r="H2" s="1">
        <v>0.80874126151667103</v>
      </c>
    </row>
    <row r="3" spans="1:8" x14ac:dyDescent="0.25">
      <c r="A3">
        <v>1997</v>
      </c>
      <c r="B3">
        <v>143</v>
      </c>
      <c r="C3">
        <v>9</v>
      </c>
      <c r="D3">
        <v>700089</v>
      </c>
      <c r="E3">
        <v>3545439</v>
      </c>
      <c r="F3" s="1">
        <v>0.886973084529603</v>
      </c>
      <c r="G3" s="1">
        <v>0.91791846115406694</v>
      </c>
      <c r="H3" s="1">
        <v>0.81627775578304596</v>
      </c>
    </row>
    <row r="4" spans="1:8" x14ac:dyDescent="0.25">
      <c r="A4">
        <v>1998</v>
      </c>
      <c r="B4">
        <v>109</v>
      </c>
      <c r="C4">
        <v>4</v>
      </c>
      <c r="D4">
        <v>721397</v>
      </c>
      <c r="E4">
        <v>3762185</v>
      </c>
      <c r="F4" s="1">
        <v>0.51717488099431896</v>
      </c>
      <c r="G4" s="1">
        <v>0.67900579835375496</v>
      </c>
      <c r="H4" s="1">
        <v>0.35207433785472098</v>
      </c>
    </row>
    <row r="5" spans="1:8" x14ac:dyDescent="0.25">
      <c r="A5">
        <v>1999</v>
      </c>
      <c r="B5">
        <v>138</v>
      </c>
      <c r="C5">
        <v>14</v>
      </c>
      <c r="D5">
        <v>781570</v>
      </c>
      <c r="E5">
        <v>3942509</v>
      </c>
      <c r="F5" s="1">
        <v>1.42972624624555</v>
      </c>
      <c r="G5" s="1">
        <v>0.79347363829323603</v>
      </c>
      <c r="H5" s="1">
        <v>1.13738861342801</v>
      </c>
    </row>
    <row r="6" spans="1:8" x14ac:dyDescent="0.25">
      <c r="A6">
        <v>2000</v>
      </c>
      <c r="B6">
        <v>135</v>
      </c>
      <c r="C6">
        <v>13</v>
      </c>
      <c r="D6">
        <v>852516</v>
      </c>
      <c r="E6">
        <v>4139750</v>
      </c>
      <c r="F6" s="1">
        <v>1.35710524423006</v>
      </c>
      <c r="G6" s="1">
        <v>0.71162720915620303</v>
      </c>
      <c r="H6" s="1">
        <v>0.96825451242923699</v>
      </c>
    </row>
    <row r="7" spans="1:8" x14ac:dyDescent="0.25">
      <c r="A7">
        <v>2001</v>
      </c>
      <c r="B7">
        <v>177</v>
      </c>
      <c r="C7">
        <v>8</v>
      </c>
      <c r="D7">
        <v>886937</v>
      </c>
      <c r="E7">
        <v>4380217</v>
      </c>
      <c r="F7" s="1">
        <v>0.63697248077297697</v>
      </c>
      <c r="G7" s="1">
        <v>0.89681283212148299</v>
      </c>
      <c r="H7" s="1">
        <v>0.57272470809439302</v>
      </c>
    </row>
    <row r="8" spans="1:8" x14ac:dyDescent="0.25">
      <c r="A8">
        <v>2002</v>
      </c>
      <c r="B8">
        <v>156</v>
      </c>
      <c r="C8">
        <v>13</v>
      </c>
      <c r="D8">
        <v>897330</v>
      </c>
      <c r="E8">
        <v>4598213</v>
      </c>
      <c r="F8" s="1">
        <v>1.1744180442380401</v>
      </c>
      <c r="G8" s="1">
        <v>0.78125663090386599</v>
      </c>
      <c r="H8" s="1">
        <v>0.91989841605214195</v>
      </c>
    </row>
    <row r="9" spans="1:8" x14ac:dyDescent="0.25">
      <c r="A9">
        <v>2003</v>
      </c>
      <c r="B9">
        <v>174</v>
      </c>
      <c r="C9">
        <v>14</v>
      </c>
      <c r="D9">
        <v>961864</v>
      </c>
      <c r="E9">
        <v>4809727</v>
      </c>
      <c r="F9" s="1">
        <v>1.1339208847817099</v>
      </c>
      <c r="G9" s="1">
        <v>0.81293701431988297</v>
      </c>
      <c r="H9" s="1">
        <v>0.92419383028425095</v>
      </c>
    </row>
    <row r="10" spans="1:8" x14ac:dyDescent="0.25">
      <c r="A10">
        <v>2004</v>
      </c>
      <c r="B10">
        <v>198</v>
      </c>
      <c r="C10">
        <v>13</v>
      </c>
      <c r="D10">
        <v>999566</v>
      </c>
      <c r="E10">
        <v>5028369</v>
      </c>
      <c r="F10" s="1">
        <v>0.92529903015685599</v>
      </c>
      <c r="G10" s="1">
        <v>0.89017424031043801</v>
      </c>
      <c r="H10" s="1">
        <v>0.82581082649801796</v>
      </c>
    </row>
    <row r="11" spans="1:8" x14ac:dyDescent="0.25">
      <c r="A11">
        <v>2005</v>
      </c>
      <c r="B11">
        <v>304</v>
      </c>
      <c r="C11">
        <v>14</v>
      </c>
      <c r="D11">
        <v>1064030</v>
      </c>
      <c r="E11">
        <v>5269033</v>
      </c>
      <c r="F11" s="1">
        <v>0.64902047049966405</v>
      </c>
      <c r="G11" s="1">
        <v>1.28392900317849</v>
      </c>
      <c r="H11" s="1">
        <v>0.83545460317000697</v>
      </c>
    </row>
    <row r="12" spans="1:8" x14ac:dyDescent="0.25">
      <c r="A12">
        <v>2006</v>
      </c>
      <c r="B12">
        <v>331</v>
      </c>
      <c r="C12">
        <v>22</v>
      </c>
      <c r="D12">
        <v>1105579</v>
      </c>
      <c r="E12">
        <v>5518652</v>
      </c>
      <c r="F12" s="1">
        <v>0.93669596023816404</v>
      </c>
      <c r="G12" s="1">
        <v>1.3454251101844801</v>
      </c>
      <c r="H12" s="1">
        <v>1.2635184454647601</v>
      </c>
    </row>
    <row r="13" spans="1:8" x14ac:dyDescent="0.25">
      <c r="A13">
        <v>2007</v>
      </c>
      <c r="B13">
        <v>346</v>
      </c>
      <c r="C13">
        <v>22</v>
      </c>
      <c r="D13">
        <v>1137994</v>
      </c>
      <c r="E13">
        <v>5791347</v>
      </c>
      <c r="F13" s="1">
        <v>0.89608770956261197</v>
      </c>
      <c r="G13" s="1">
        <v>1.36633579810248</v>
      </c>
      <c r="H13" s="1">
        <v>1.22752797926312</v>
      </c>
    </row>
    <row r="14" spans="1:8" x14ac:dyDescent="0.25">
      <c r="A14">
        <v>2008</v>
      </c>
      <c r="B14">
        <v>370</v>
      </c>
      <c r="C14">
        <v>27</v>
      </c>
      <c r="D14">
        <v>1211483</v>
      </c>
      <c r="E14">
        <v>6118445</v>
      </c>
      <c r="F14" s="1">
        <v>1.02840932179231</v>
      </c>
      <c r="G14" s="1">
        <v>1.37247896090173</v>
      </c>
      <c r="H14" s="1">
        <v>1.41512612450464</v>
      </c>
    </row>
    <row r="15" spans="1:8" x14ac:dyDescent="0.25">
      <c r="A15">
        <v>2009</v>
      </c>
      <c r="B15">
        <v>364</v>
      </c>
      <c r="C15">
        <v>27</v>
      </c>
      <c r="D15">
        <v>1272261</v>
      </c>
      <c r="E15">
        <v>6643756</v>
      </c>
      <c r="F15" s="1">
        <v>1.0453611278383801</v>
      </c>
      <c r="G15" s="1">
        <v>1.2857202903340901</v>
      </c>
      <c r="H15" s="1">
        <v>1.3475231882419301</v>
      </c>
    </row>
    <row r="16" spans="1:8" x14ac:dyDescent="0.25">
      <c r="A16">
        <v>2010</v>
      </c>
      <c r="B16">
        <v>323</v>
      </c>
      <c r="C16">
        <v>22</v>
      </c>
      <c r="D16">
        <v>1391128</v>
      </c>
      <c r="E16">
        <v>7408937</v>
      </c>
      <c r="F16" s="1">
        <v>0.95989585985706205</v>
      </c>
      <c r="G16" s="1">
        <v>1.04341417422337</v>
      </c>
      <c r="H16" s="1">
        <v>1.0041632052166201</v>
      </c>
    </row>
    <row r="17" spans="1:8" x14ac:dyDescent="0.25">
      <c r="A17">
        <v>2011</v>
      </c>
      <c r="B17">
        <v>362</v>
      </c>
      <c r="C17">
        <v>32</v>
      </c>
      <c r="D17">
        <v>1630890</v>
      </c>
      <c r="E17">
        <v>8240432</v>
      </c>
      <c r="F17" s="1">
        <v>1.2457915275620199</v>
      </c>
      <c r="G17" s="1">
        <v>0.99748235937407603</v>
      </c>
      <c r="H17" s="1">
        <v>1.2458736368538601</v>
      </c>
    </row>
    <row r="18" spans="1:8" x14ac:dyDescent="0.25">
      <c r="A18">
        <v>2012</v>
      </c>
      <c r="B18">
        <v>487</v>
      </c>
      <c r="C18">
        <v>32</v>
      </c>
      <c r="D18">
        <v>1903175</v>
      </c>
      <c r="E18">
        <v>8773921</v>
      </c>
      <c r="F18" s="1">
        <v>0.92602983817747397</v>
      </c>
      <c r="G18" s="1">
        <v>1.1499303654447799</v>
      </c>
      <c r="H18" s="1">
        <v>1.0676280371204101</v>
      </c>
    </row>
    <row r="19" spans="1:8" x14ac:dyDescent="0.25">
      <c r="A19">
        <v>2013</v>
      </c>
      <c r="B19">
        <v>457</v>
      </c>
      <c r="C19">
        <v>30</v>
      </c>
      <c r="D19">
        <v>2042978</v>
      </c>
      <c r="E19">
        <v>8594168</v>
      </c>
      <c r="F19" s="1">
        <v>0.92514331344786505</v>
      </c>
      <c r="G19" s="1">
        <v>1.0052493993143901</v>
      </c>
      <c r="H19" s="1">
        <v>0.93240859344221005</v>
      </c>
    </row>
    <row r="20" spans="1:8" x14ac:dyDescent="0.25">
      <c r="A20">
        <v>2014</v>
      </c>
      <c r="B20">
        <v>424</v>
      </c>
      <c r="C20">
        <v>53</v>
      </c>
      <c r="D20">
        <v>1805750</v>
      </c>
      <c r="E20">
        <v>6963301</v>
      </c>
      <c r="F20" s="1">
        <v>1.76162701385648</v>
      </c>
      <c r="G20" s="1">
        <v>1.0551872834960601</v>
      </c>
      <c r="H20" s="1">
        <v>1.86366115566503</v>
      </c>
    </row>
    <row r="21" spans="1:8" hidden="1" x14ac:dyDescent="0.25">
      <c r="A21">
        <v>2015</v>
      </c>
      <c r="B21">
        <v>203</v>
      </c>
      <c r="C21">
        <v>9</v>
      </c>
      <c r="D21">
        <v>1211375</v>
      </c>
      <c r="E21">
        <v>5060126</v>
      </c>
      <c r="F21" s="1">
        <v>0.62481350482821596</v>
      </c>
      <c r="G21" s="1">
        <v>0.75307590152622494</v>
      </c>
      <c r="H21" s="1">
        <v>0.47175076911693098</v>
      </c>
    </row>
    <row r="22" spans="1:8" x14ac:dyDescent="0.25">
      <c r="C22">
        <f>SUBTOTAL(109,Table136[on_topic_in_area_filings])</f>
        <v>378</v>
      </c>
      <c r="F22" s="1"/>
      <c r="G22" s="1"/>
      <c r="H22" s="1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C23" sqref="C23"/>
    </sheetView>
  </sheetViews>
  <sheetFormatPr defaultRowHeight="15" x14ac:dyDescent="0.25"/>
  <cols>
    <col min="2" max="2" width="16.140625" customWidth="1"/>
    <col min="3" max="3" width="24.85546875" customWidth="1"/>
    <col min="4" max="4" width="26.28515625" customWidth="1"/>
    <col min="5" max="5" width="31.7109375" customWidth="1"/>
    <col min="6" max="6" width="32.28515625" customWidth="1"/>
    <col min="7" max="7" width="27.140625" customWidth="1"/>
    <col min="8" max="8" width="28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1996</v>
      </c>
      <c r="B2">
        <v>271</v>
      </c>
      <c r="C2">
        <v>9</v>
      </c>
      <c r="D2">
        <v>706613</v>
      </c>
      <c r="E2">
        <v>3371676</v>
      </c>
      <c r="F2" s="1">
        <v>0.73893021763834599</v>
      </c>
      <c r="G2" s="1">
        <v>1.38627648571781</v>
      </c>
      <c r="H2" s="1">
        <v>1.0066883318380699</v>
      </c>
    </row>
    <row r="3" spans="1:8" x14ac:dyDescent="0.25">
      <c r="A3">
        <v>1997</v>
      </c>
      <c r="B3">
        <v>305</v>
      </c>
      <c r="C3">
        <v>18</v>
      </c>
      <c r="D3">
        <v>700089</v>
      </c>
      <c r="E3">
        <v>3545439</v>
      </c>
      <c r="F3" s="1">
        <v>1.3131152446307399</v>
      </c>
      <c r="G3" s="1">
        <v>1.5747397625452</v>
      </c>
      <c r="H3" s="1">
        <v>2.0321389086658299</v>
      </c>
    </row>
    <row r="4" spans="1:8" x14ac:dyDescent="0.25">
      <c r="A4">
        <v>1998</v>
      </c>
      <c r="B4">
        <v>295</v>
      </c>
      <c r="C4">
        <v>12</v>
      </c>
      <c r="D4">
        <v>721397</v>
      </c>
      <c r="E4">
        <v>3762185</v>
      </c>
      <c r="F4" s="1">
        <v>0.90508508012343603</v>
      </c>
      <c r="G4" s="1">
        <v>1.4781206287686499</v>
      </c>
      <c r="H4" s="1">
        <v>1.31474351072928</v>
      </c>
    </row>
    <row r="5" spans="1:8" x14ac:dyDescent="0.25">
      <c r="A5">
        <v>1999</v>
      </c>
      <c r="B5">
        <v>274</v>
      </c>
      <c r="C5">
        <v>18</v>
      </c>
      <c r="D5">
        <v>781570</v>
      </c>
      <c r="E5">
        <v>3942509</v>
      </c>
      <c r="F5" s="1">
        <v>1.4616794217088001</v>
      </c>
      <c r="G5" s="1">
        <v>1.2671992208528</v>
      </c>
      <c r="H5" s="1">
        <v>1.82028237754323</v>
      </c>
    </row>
    <row r="6" spans="1:8" x14ac:dyDescent="0.25">
      <c r="A6">
        <v>2000</v>
      </c>
      <c r="B6">
        <v>323</v>
      </c>
      <c r="C6">
        <v>17</v>
      </c>
      <c r="D6">
        <v>852516</v>
      </c>
      <c r="E6">
        <v>4139750</v>
      </c>
      <c r="F6" s="1">
        <v>1.17105311363661</v>
      </c>
      <c r="G6" s="1">
        <v>1.36950047787384</v>
      </c>
      <c r="H6" s="1">
        <v>1.5760882431391701</v>
      </c>
    </row>
    <row r="7" spans="1:8" x14ac:dyDescent="0.25">
      <c r="A7">
        <v>2001</v>
      </c>
      <c r="B7">
        <v>338</v>
      </c>
      <c r="C7">
        <v>9</v>
      </c>
      <c r="D7">
        <v>886937</v>
      </c>
      <c r="E7">
        <v>4380217</v>
      </c>
      <c r="F7" s="1">
        <v>0.59245584777168703</v>
      </c>
      <c r="G7" s="1">
        <v>1.37748257076443</v>
      </c>
      <c r="H7" s="1">
        <v>0.80201757535630203</v>
      </c>
    </row>
    <row r="8" spans="1:8" x14ac:dyDescent="0.25">
      <c r="A8">
        <v>2002</v>
      </c>
      <c r="B8">
        <v>196</v>
      </c>
      <c r="C8">
        <v>6</v>
      </c>
      <c r="D8">
        <v>897330</v>
      </c>
      <c r="E8">
        <v>4598213</v>
      </c>
      <c r="F8" s="1">
        <v>0.68112273105165499</v>
      </c>
      <c r="G8" s="1">
        <v>0.78952535984661198</v>
      </c>
      <c r="H8" s="1">
        <v>0.52848564321419</v>
      </c>
    </row>
    <row r="9" spans="1:8" x14ac:dyDescent="0.25">
      <c r="A9">
        <v>2003</v>
      </c>
      <c r="B9">
        <v>239</v>
      </c>
      <c r="C9">
        <v>12</v>
      </c>
      <c r="D9">
        <v>961864</v>
      </c>
      <c r="E9">
        <v>4809727</v>
      </c>
      <c r="F9" s="1">
        <v>1.1171552760949299</v>
      </c>
      <c r="G9" s="1">
        <v>0.89814493214593805</v>
      </c>
      <c r="H9" s="1">
        <v>0.98605630318659998</v>
      </c>
    </row>
    <row r="10" spans="1:8" x14ac:dyDescent="0.25">
      <c r="A10">
        <v>2004</v>
      </c>
      <c r="B10">
        <v>185</v>
      </c>
      <c r="C10">
        <v>9</v>
      </c>
      <c r="D10">
        <v>999566</v>
      </c>
      <c r="E10">
        <v>5028369</v>
      </c>
      <c r="F10" s="1">
        <v>1.08243285471188</v>
      </c>
      <c r="G10" s="1">
        <v>0.66899434752977405</v>
      </c>
      <c r="H10" s="1">
        <v>0.711647885242784</v>
      </c>
    </row>
    <row r="11" spans="1:8" x14ac:dyDescent="0.25">
      <c r="A11">
        <v>2005</v>
      </c>
      <c r="B11">
        <v>214</v>
      </c>
      <c r="C11">
        <v>7</v>
      </c>
      <c r="D11">
        <v>1064030</v>
      </c>
      <c r="E11">
        <v>5269033</v>
      </c>
      <c r="F11" s="1">
        <v>0.72780403016782302</v>
      </c>
      <c r="G11" s="1">
        <v>0.726979398489768</v>
      </c>
      <c r="H11" s="1">
        <v>0.51997000821647499</v>
      </c>
    </row>
    <row r="12" spans="1:8" x14ac:dyDescent="0.25">
      <c r="A12">
        <v>2006</v>
      </c>
      <c r="B12">
        <v>369</v>
      </c>
      <c r="C12">
        <v>18</v>
      </c>
      <c r="D12">
        <v>1105579</v>
      </c>
      <c r="E12">
        <v>5518652</v>
      </c>
      <c r="F12" s="1">
        <v>1.0853662519240299</v>
      </c>
      <c r="G12" s="1">
        <v>1.20642071089897</v>
      </c>
      <c r="H12" s="1">
        <v>1.2868171620781199</v>
      </c>
    </row>
    <row r="13" spans="1:8" x14ac:dyDescent="0.25">
      <c r="A13">
        <v>2007</v>
      </c>
      <c r="B13">
        <v>513</v>
      </c>
      <c r="C13">
        <v>24</v>
      </c>
      <c r="D13">
        <v>1137994</v>
      </c>
      <c r="E13">
        <v>5791347</v>
      </c>
      <c r="F13" s="1">
        <v>1.04093610101032</v>
      </c>
      <c r="G13" s="1">
        <v>1.6294445979110499</v>
      </c>
      <c r="H13" s="1">
        <v>1.66688406364164</v>
      </c>
    </row>
    <row r="14" spans="1:8" x14ac:dyDescent="0.25">
      <c r="A14">
        <v>2008</v>
      </c>
      <c r="B14">
        <v>531</v>
      </c>
      <c r="C14">
        <v>16</v>
      </c>
      <c r="D14">
        <v>1211483</v>
      </c>
      <c r="E14">
        <v>6118445</v>
      </c>
      <c r="F14" s="1">
        <v>0.67043340342873403</v>
      </c>
      <c r="G14" s="1">
        <v>1.5843072070602999</v>
      </c>
      <c r="H14" s="1">
        <v>1.0438468586241001</v>
      </c>
    </row>
    <row r="15" spans="1:8" x14ac:dyDescent="0.25">
      <c r="A15">
        <v>2009</v>
      </c>
      <c r="B15">
        <v>569</v>
      </c>
      <c r="C15">
        <v>26</v>
      </c>
      <c r="D15">
        <v>1272261</v>
      </c>
      <c r="E15">
        <v>6643756</v>
      </c>
      <c r="F15" s="1">
        <v>1.01669640955165</v>
      </c>
      <c r="G15" s="1">
        <v>1.61658389310364</v>
      </c>
      <c r="H15" s="1">
        <v>1.6152184855862299</v>
      </c>
    </row>
    <row r="16" spans="1:8" x14ac:dyDescent="0.25">
      <c r="A16">
        <v>2010</v>
      </c>
      <c r="B16">
        <v>407</v>
      </c>
      <c r="C16">
        <v>30</v>
      </c>
      <c r="D16">
        <v>1391128</v>
      </c>
      <c r="E16">
        <v>7408937</v>
      </c>
      <c r="F16" s="1">
        <v>1.6400498652659701</v>
      </c>
      <c r="G16" s="1">
        <v>1.0575222140229701</v>
      </c>
      <c r="H16" s="1">
        <v>1.70446577355854</v>
      </c>
    </row>
    <row r="17" spans="1:8" x14ac:dyDescent="0.25">
      <c r="A17">
        <v>2011</v>
      </c>
      <c r="B17">
        <v>192</v>
      </c>
      <c r="C17">
        <v>13</v>
      </c>
      <c r="D17">
        <v>1630890</v>
      </c>
      <c r="E17">
        <v>8240432</v>
      </c>
      <c r="F17" s="1">
        <v>1.5065110808478801</v>
      </c>
      <c r="G17" s="1">
        <v>0.42553841038333801</v>
      </c>
      <c r="H17" s="1">
        <v>0.63001782174168697</v>
      </c>
    </row>
    <row r="18" spans="1:8" x14ac:dyDescent="0.25">
      <c r="A18">
        <v>2012</v>
      </c>
      <c r="B18">
        <v>165</v>
      </c>
      <c r="C18">
        <v>4</v>
      </c>
      <c r="D18">
        <v>1903175</v>
      </c>
      <c r="E18">
        <v>8773921</v>
      </c>
      <c r="F18" s="1">
        <v>0.53939414033392197</v>
      </c>
      <c r="G18" s="1">
        <v>0.31337722883034502</v>
      </c>
      <c r="H18" s="1">
        <v>0.166117511689822</v>
      </c>
    </row>
    <row r="19" spans="1:8" x14ac:dyDescent="0.25">
      <c r="A19">
        <v>2013</v>
      </c>
      <c r="B19">
        <v>186</v>
      </c>
      <c r="C19">
        <v>9</v>
      </c>
      <c r="D19">
        <v>2042978</v>
      </c>
      <c r="E19">
        <v>8594168</v>
      </c>
      <c r="F19" s="1">
        <v>1.07661330630088</v>
      </c>
      <c r="G19" s="1">
        <v>0.329087542693279</v>
      </c>
      <c r="H19" s="1">
        <v>0.34818730937740699</v>
      </c>
    </row>
    <row r="20" spans="1:8" x14ac:dyDescent="0.25">
      <c r="A20">
        <v>2014</v>
      </c>
      <c r="B20">
        <v>110</v>
      </c>
      <c r="C20">
        <v>4</v>
      </c>
      <c r="D20">
        <v>1805750</v>
      </c>
      <c r="E20">
        <v>6963301</v>
      </c>
      <c r="F20" s="1">
        <v>0.80909121050088195</v>
      </c>
      <c r="G20" s="1">
        <v>0.22018983691510499</v>
      </c>
      <c r="H20" s="1">
        <v>0.17507997976745099</v>
      </c>
    </row>
    <row r="21" spans="1:8" hidden="1" x14ac:dyDescent="0.25">
      <c r="A21">
        <v>2015</v>
      </c>
      <c r="B21">
        <v>27</v>
      </c>
      <c r="C21">
        <v>1</v>
      </c>
      <c r="D21">
        <v>1211375</v>
      </c>
      <c r="E21">
        <v>5060126</v>
      </c>
      <c r="F21" s="1">
        <v>0.82407441329983599</v>
      </c>
      <c r="G21" s="1">
        <v>8.0565173646169705E-2</v>
      </c>
      <c r="H21" s="1">
        <v>6.5246246803067898E-2</v>
      </c>
    </row>
    <row r="22" spans="1:8" x14ac:dyDescent="0.25">
      <c r="C22">
        <f>SUBTOTAL(109,Table1357[on_topic_in_area_filings])</f>
        <v>261</v>
      </c>
      <c r="F22" s="1"/>
      <c r="G22" s="1"/>
      <c r="H22" s="1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E8" sqref="E8"/>
    </sheetView>
  </sheetViews>
  <sheetFormatPr defaultRowHeight="15" x14ac:dyDescent="0.25"/>
  <cols>
    <col min="2" max="2" width="16.140625" customWidth="1"/>
    <col min="3" max="3" width="24.85546875" customWidth="1"/>
    <col min="4" max="4" width="26.28515625" customWidth="1"/>
    <col min="5" max="5" width="31.7109375" customWidth="1"/>
    <col min="6" max="6" width="32.28515625" customWidth="1"/>
    <col min="7" max="7" width="27.140625" customWidth="1"/>
    <col min="8" max="8" width="28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1996</v>
      </c>
      <c r="B2">
        <v>466</v>
      </c>
      <c r="C2">
        <v>72</v>
      </c>
      <c r="D2">
        <v>706613</v>
      </c>
      <c r="E2">
        <v>3371676</v>
      </c>
      <c r="F2" s="1">
        <v>1.5860899111767599</v>
      </c>
      <c r="G2" s="1">
        <v>1.6952157762758999</v>
      </c>
      <c r="H2" s="1">
        <v>2.4563443863541399</v>
      </c>
    </row>
    <row r="3" spans="1:8" x14ac:dyDescent="0.25">
      <c r="A3">
        <v>1997</v>
      </c>
      <c r="B3">
        <v>471</v>
      </c>
      <c r="C3">
        <v>78</v>
      </c>
      <c r="D3">
        <v>700089</v>
      </c>
      <c r="E3">
        <v>3545439</v>
      </c>
      <c r="F3" s="1">
        <v>1.70002342173453</v>
      </c>
      <c r="G3" s="1">
        <v>1.7293716094931699</v>
      </c>
      <c r="H3" s="1">
        <v>2.6858373635322699</v>
      </c>
    </row>
    <row r="4" spans="1:8" x14ac:dyDescent="0.25">
      <c r="A4">
        <v>1998</v>
      </c>
      <c r="B4">
        <v>412</v>
      </c>
      <c r="C4">
        <v>52</v>
      </c>
      <c r="D4">
        <v>721397</v>
      </c>
      <c r="E4">
        <v>3762185</v>
      </c>
      <c r="F4" s="1">
        <v>1.2956489303874399</v>
      </c>
      <c r="G4" s="1">
        <v>1.46805924127414</v>
      </c>
      <c r="H4" s="1">
        <v>1.7376702428670101</v>
      </c>
    </row>
    <row r="5" spans="1:8" x14ac:dyDescent="0.25">
      <c r="A5">
        <v>1999</v>
      </c>
      <c r="B5">
        <v>440</v>
      </c>
      <c r="C5">
        <v>52</v>
      </c>
      <c r="D5">
        <v>781570</v>
      </c>
      <c r="E5">
        <v>3942509</v>
      </c>
      <c r="F5" s="1">
        <v>1.21319850497087</v>
      </c>
      <c r="G5" s="1">
        <v>1.44712312407088</v>
      </c>
      <c r="H5" s="1">
        <v>1.60388720008272</v>
      </c>
    </row>
    <row r="6" spans="1:8" x14ac:dyDescent="0.25">
      <c r="A6">
        <v>2000</v>
      </c>
      <c r="B6">
        <v>476</v>
      </c>
      <c r="C6">
        <v>62</v>
      </c>
      <c r="D6">
        <v>852516</v>
      </c>
      <c r="E6">
        <v>4139750</v>
      </c>
      <c r="F6" s="1">
        <v>1.33710638715053</v>
      </c>
      <c r="G6" s="1">
        <v>1.43524179339461</v>
      </c>
      <c r="H6" s="1">
        <v>1.75318415973074</v>
      </c>
    </row>
    <row r="7" spans="1:8" x14ac:dyDescent="0.25">
      <c r="A7">
        <v>2001</v>
      </c>
      <c r="B7">
        <v>432</v>
      </c>
      <c r="C7">
        <v>41</v>
      </c>
      <c r="D7">
        <v>886937</v>
      </c>
      <c r="E7">
        <v>4380217</v>
      </c>
      <c r="F7" s="1">
        <v>0.97427447940103096</v>
      </c>
      <c r="G7" s="1">
        <v>1.2520211049377901</v>
      </c>
      <c r="H7" s="1">
        <v>1.11437014359074</v>
      </c>
    </row>
    <row r="8" spans="1:8" x14ac:dyDescent="0.25">
      <c r="A8">
        <v>2002</v>
      </c>
      <c r="B8">
        <v>287</v>
      </c>
      <c r="C8">
        <v>25</v>
      </c>
      <c r="D8">
        <v>897330</v>
      </c>
      <c r="E8">
        <v>4598213</v>
      </c>
      <c r="F8" s="1">
        <v>0.894209593938039</v>
      </c>
      <c r="G8" s="1">
        <v>0.82214871676283396</v>
      </c>
      <c r="H8" s="1">
        <v>0.67162399723255395</v>
      </c>
    </row>
    <row r="9" spans="1:8" x14ac:dyDescent="0.25">
      <c r="A9">
        <v>2003</v>
      </c>
      <c r="B9">
        <v>289</v>
      </c>
      <c r="C9">
        <v>28</v>
      </c>
      <c r="D9">
        <v>961864</v>
      </c>
      <c r="E9">
        <v>4809727</v>
      </c>
      <c r="F9" s="1">
        <v>0.99458384530852595</v>
      </c>
      <c r="G9" s="1">
        <v>0.77233347584630996</v>
      </c>
      <c r="H9" s="1">
        <v>0.70175049640244302</v>
      </c>
    </row>
    <row r="10" spans="1:8" x14ac:dyDescent="0.25">
      <c r="A10">
        <v>2004</v>
      </c>
      <c r="B10">
        <v>309</v>
      </c>
      <c r="C10">
        <v>44</v>
      </c>
      <c r="D10">
        <v>999566</v>
      </c>
      <c r="E10">
        <v>5028369</v>
      </c>
      <c r="F10" s="1">
        <v>1.4617577715388701</v>
      </c>
      <c r="G10" s="1">
        <v>0.794634985492228</v>
      </c>
      <c r="H10" s="1">
        <v>1.0611568071275901</v>
      </c>
    </row>
    <row r="11" spans="1:8" x14ac:dyDescent="0.25">
      <c r="A11">
        <v>2005</v>
      </c>
      <c r="B11">
        <v>380</v>
      </c>
      <c r="C11">
        <v>28</v>
      </c>
      <c r="D11">
        <v>1064030</v>
      </c>
      <c r="E11">
        <v>5269033</v>
      </c>
      <c r="F11" s="1">
        <v>0.75640714615377302</v>
      </c>
      <c r="G11" s="1">
        <v>0.91801630839366699</v>
      </c>
      <c r="H11" s="1">
        <v>0.63436982945010401</v>
      </c>
    </row>
    <row r="12" spans="1:8" x14ac:dyDescent="0.25">
      <c r="A12">
        <v>2006</v>
      </c>
      <c r="B12">
        <v>433</v>
      </c>
      <c r="C12">
        <v>42</v>
      </c>
      <c r="D12">
        <v>1105579</v>
      </c>
      <c r="E12">
        <v>5518652</v>
      </c>
      <c r="F12" s="1">
        <v>0.99573233097518199</v>
      </c>
      <c r="G12" s="1">
        <v>1.00674340103367</v>
      </c>
      <c r="H12" s="1">
        <v>0.915794147609723</v>
      </c>
    </row>
    <row r="13" spans="1:8" x14ac:dyDescent="0.25">
      <c r="A13">
        <v>2007</v>
      </c>
      <c r="B13">
        <v>468</v>
      </c>
      <c r="C13">
        <v>33</v>
      </c>
      <c r="D13">
        <v>1137994</v>
      </c>
      <c r="E13">
        <v>5791347</v>
      </c>
      <c r="F13" s="1">
        <v>0.72385121814855802</v>
      </c>
      <c r="G13" s="1">
        <v>1.05712549190571</v>
      </c>
      <c r="H13" s="1">
        <v>0.69905657820516698</v>
      </c>
    </row>
    <row r="14" spans="1:8" x14ac:dyDescent="0.25">
      <c r="A14">
        <v>2008</v>
      </c>
      <c r="B14">
        <v>497</v>
      </c>
      <c r="C14">
        <v>37</v>
      </c>
      <c r="D14">
        <v>1211483</v>
      </c>
      <c r="E14">
        <v>6118445</v>
      </c>
      <c r="F14" s="1">
        <v>0.76423430236505496</v>
      </c>
      <c r="G14" s="1">
        <v>1.0545319869027201</v>
      </c>
      <c r="H14" s="1">
        <v>0.73624567274590202</v>
      </c>
    </row>
    <row r="15" spans="1:8" x14ac:dyDescent="0.25">
      <c r="A15">
        <v>2009</v>
      </c>
      <c r="B15">
        <v>425</v>
      </c>
      <c r="C15">
        <v>34</v>
      </c>
      <c r="D15">
        <v>1272261</v>
      </c>
      <c r="E15">
        <v>6643756</v>
      </c>
      <c r="F15" s="1">
        <v>0.82124205313656795</v>
      </c>
      <c r="G15" s="1">
        <v>0.85868401806574801</v>
      </c>
      <c r="H15" s="1">
        <v>0.64423017956565298</v>
      </c>
    </row>
    <row r="16" spans="1:8" x14ac:dyDescent="0.25">
      <c r="A16">
        <v>2010</v>
      </c>
      <c r="B16">
        <v>471</v>
      </c>
      <c r="C16">
        <v>40</v>
      </c>
      <c r="D16">
        <v>1391128</v>
      </c>
      <c r="E16">
        <v>7408937</v>
      </c>
      <c r="F16" s="1">
        <v>0.871806857446075</v>
      </c>
      <c r="G16" s="1">
        <v>0.87031106300903804</v>
      </c>
      <c r="H16" s="1">
        <v>0.693156443506736</v>
      </c>
    </row>
    <row r="17" spans="1:8" x14ac:dyDescent="0.25">
      <c r="A17">
        <v>2011</v>
      </c>
      <c r="B17">
        <v>460</v>
      </c>
      <c r="C17">
        <v>36</v>
      </c>
      <c r="D17">
        <v>1630890</v>
      </c>
      <c r="E17">
        <v>8240432</v>
      </c>
      <c r="F17" s="1">
        <v>0.80338897500109396</v>
      </c>
      <c r="G17" s="1">
        <v>0.72502645433830404</v>
      </c>
      <c r="H17" s="1">
        <v>0.53212810264428601</v>
      </c>
    </row>
    <row r="18" spans="1:8" x14ac:dyDescent="0.25">
      <c r="A18">
        <v>2012</v>
      </c>
      <c r="B18">
        <v>441</v>
      </c>
      <c r="C18">
        <v>36</v>
      </c>
      <c r="D18">
        <v>1903175</v>
      </c>
      <c r="E18">
        <v>8773921</v>
      </c>
      <c r="F18" s="1">
        <v>0.83800209659821501</v>
      </c>
      <c r="G18" s="1">
        <v>0.595635452097945</v>
      </c>
      <c r="H18" s="1">
        <v>0.45599718947616602</v>
      </c>
    </row>
    <row r="19" spans="1:8" x14ac:dyDescent="0.25">
      <c r="A19">
        <v>2013</v>
      </c>
      <c r="B19">
        <v>398</v>
      </c>
      <c r="C19">
        <v>28</v>
      </c>
      <c r="D19">
        <v>2042978</v>
      </c>
      <c r="E19">
        <v>8594168</v>
      </c>
      <c r="F19" s="1">
        <v>0.72219778426857795</v>
      </c>
      <c r="G19" s="1">
        <v>0.50077202353004102</v>
      </c>
      <c r="H19" s="1">
        <v>0.330394431994041</v>
      </c>
    </row>
    <row r="20" spans="1:8" x14ac:dyDescent="0.25">
      <c r="A20">
        <v>2014</v>
      </c>
      <c r="B20">
        <v>362</v>
      </c>
      <c r="C20">
        <v>28</v>
      </c>
      <c r="D20">
        <v>1805750</v>
      </c>
      <c r="E20">
        <v>6963301</v>
      </c>
      <c r="F20" s="1">
        <v>0.79401859853833801</v>
      </c>
      <c r="G20" s="1">
        <v>0.51531362885233201</v>
      </c>
      <c r="H20" s="1">
        <v>0.373799555864821</v>
      </c>
    </row>
    <row r="21" spans="1:8" hidden="1" x14ac:dyDescent="0.25">
      <c r="A21">
        <v>2015</v>
      </c>
      <c r="B21">
        <v>227</v>
      </c>
      <c r="C21">
        <v>10</v>
      </c>
      <c r="D21">
        <v>1211375</v>
      </c>
      <c r="E21">
        <v>5060126</v>
      </c>
      <c r="F21" s="1">
        <v>0.45222579176197297</v>
      </c>
      <c r="G21" s="1">
        <v>0.48169034432296898</v>
      </c>
      <c r="H21" s="1">
        <v>0.199003072017191</v>
      </c>
    </row>
    <row r="22" spans="1:8" x14ac:dyDescent="0.25">
      <c r="C22">
        <f>SUBTOTAL(109,Table1358[on_topic_in_area_filings])</f>
        <v>796</v>
      </c>
      <c r="F22" s="1"/>
      <c r="G22" s="1"/>
      <c r="H22" s="1"/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G19" sqref="G19"/>
    </sheetView>
  </sheetViews>
  <sheetFormatPr defaultRowHeight="15" x14ac:dyDescent="0.25"/>
  <cols>
    <col min="2" max="2" width="16.140625" customWidth="1"/>
    <col min="3" max="3" width="24.85546875" customWidth="1"/>
    <col min="4" max="4" width="26.28515625" customWidth="1"/>
    <col min="5" max="5" width="31.7109375" customWidth="1"/>
    <col min="6" max="6" width="32.28515625" customWidth="1"/>
    <col min="7" max="7" width="27.140625" customWidth="1"/>
    <col min="8" max="8" width="28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1996</v>
      </c>
      <c r="B2">
        <v>5678</v>
      </c>
      <c r="C2">
        <v>233</v>
      </c>
      <c r="D2">
        <v>706613</v>
      </c>
      <c r="E2">
        <v>3371676</v>
      </c>
      <c r="F2" s="1">
        <v>0.934873332491992</v>
      </c>
      <c r="G2" s="1">
        <v>1.00533392460718</v>
      </c>
      <c r="H2" s="1">
        <v>0.93796413770982001</v>
      </c>
    </row>
    <row r="3" spans="1:8" x14ac:dyDescent="0.25">
      <c r="A3">
        <v>1999</v>
      </c>
      <c r="B3">
        <v>6431</v>
      </c>
      <c r="C3">
        <v>263</v>
      </c>
      <c r="D3">
        <v>781570</v>
      </c>
      <c r="E3">
        <v>3942509</v>
      </c>
      <c r="F3" s="1">
        <v>0.93168579868735502</v>
      </c>
      <c r="G3" s="1">
        <v>0.97379284495762697</v>
      </c>
      <c r="H3" s="1">
        <v>0.90543903204267995</v>
      </c>
    </row>
    <row r="4" spans="1:8" x14ac:dyDescent="0.25">
      <c r="A4">
        <v>2002</v>
      </c>
      <c r="B4">
        <v>6772</v>
      </c>
      <c r="C4">
        <v>284</v>
      </c>
      <c r="D4">
        <v>897330</v>
      </c>
      <c r="E4">
        <v>4598213</v>
      </c>
      <c r="F4" s="1">
        <v>0.95541840433711001</v>
      </c>
      <c r="G4" s="1">
        <v>0.87920192247530904</v>
      </c>
      <c r="H4" s="1">
        <v>0.83831147470235001</v>
      </c>
    </row>
    <row r="5" spans="1:8" x14ac:dyDescent="0.25">
      <c r="A5">
        <v>2005</v>
      </c>
      <c r="B5">
        <v>7926</v>
      </c>
      <c r="C5">
        <v>355</v>
      </c>
      <c r="D5">
        <v>1064030</v>
      </c>
      <c r="E5">
        <v>5269033</v>
      </c>
      <c r="F5" s="1">
        <v>1.02039069397647</v>
      </c>
      <c r="G5" s="1">
        <v>0.89801566571235603</v>
      </c>
      <c r="H5" s="1">
        <v>0.91447872144908404</v>
      </c>
    </row>
    <row r="6" spans="1:8" x14ac:dyDescent="0.25">
      <c r="A6">
        <v>2008</v>
      </c>
      <c r="B6">
        <v>10551</v>
      </c>
      <c r="C6">
        <v>455</v>
      </c>
      <c r="D6">
        <v>1211483</v>
      </c>
      <c r="E6">
        <v>6118445</v>
      </c>
      <c r="F6" s="1">
        <v>0.98244895918848296</v>
      </c>
      <c r="G6" s="1">
        <v>1.0294691126363</v>
      </c>
      <c r="H6" s="1">
        <v>1.00936094476926</v>
      </c>
    </row>
    <row r="7" spans="1:8" x14ac:dyDescent="0.25">
      <c r="A7">
        <v>2011</v>
      </c>
      <c r="B7">
        <v>14281</v>
      </c>
      <c r="C7">
        <v>720</v>
      </c>
      <c r="D7">
        <v>1630890</v>
      </c>
      <c r="E7">
        <v>8240432</v>
      </c>
      <c r="F7" s="1">
        <v>1.1485928147498701</v>
      </c>
      <c r="G7" s="1">
        <v>1.0345926972569801</v>
      </c>
      <c r="H7" s="1">
        <v>1.1859289361015899</v>
      </c>
    </row>
    <row r="8" spans="1:8" x14ac:dyDescent="0.25">
      <c r="A8">
        <v>2014</v>
      </c>
      <c r="B8">
        <v>13759</v>
      </c>
      <c r="C8">
        <v>620</v>
      </c>
      <c r="D8">
        <v>1805750</v>
      </c>
      <c r="E8">
        <v>6963301</v>
      </c>
      <c r="F8" s="1">
        <v>1.02658999656872</v>
      </c>
      <c r="G8" s="1">
        <v>1.1795938323542501</v>
      </c>
      <c r="H8" s="1">
        <v>1.2085167532252199</v>
      </c>
    </row>
    <row r="9" spans="1:8" x14ac:dyDescent="0.25">
      <c r="C9">
        <f>SUBTOTAL(109,Table134[on_topic_in_area_filings])</f>
        <v>2930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2" sqref="B2:B8"/>
    </sheetView>
  </sheetViews>
  <sheetFormatPr defaultRowHeight="15" x14ac:dyDescent="0.25"/>
  <cols>
    <col min="2" max="2" width="16.140625" customWidth="1"/>
    <col min="3" max="3" width="24.85546875" customWidth="1"/>
    <col min="4" max="4" width="26.28515625" customWidth="1"/>
    <col min="5" max="5" width="31.7109375" customWidth="1"/>
    <col min="6" max="6" width="32.28515625" customWidth="1"/>
    <col min="7" max="7" width="27.140625" customWidth="1"/>
    <col min="8" max="8" width="28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1996</v>
      </c>
      <c r="B2">
        <v>13373</v>
      </c>
      <c r="C2">
        <v>1139</v>
      </c>
      <c r="D2">
        <v>706613</v>
      </c>
      <c r="E2">
        <v>3371676</v>
      </c>
      <c r="F2" s="1">
        <v>1.2157280266005099</v>
      </c>
      <c r="G2" s="1">
        <v>1.13450999333785</v>
      </c>
      <c r="H2" s="1">
        <v>1.3718493195711401</v>
      </c>
    </row>
    <row r="3" spans="1:8" x14ac:dyDescent="0.25">
      <c r="A3">
        <v>1999</v>
      </c>
      <c r="B3">
        <v>14353</v>
      </c>
      <c r="C3">
        <v>1064</v>
      </c>
      <c r="D3">
        <v>781570</v>
      </c>
      <c r="E3">
        <v>3942509</v>
      </c>
      <c r="F3" s="1">
        <v>1.0581334853814</v>
      </c>
      <c r="G3" s="1">
        <v>1.04134666328929</v>
      </c>
      <c r="H3" s="1">
        <v>1.0959669144527999</v>
      </c>
    </row>
    <row r="4" spans="1:8" x14ac:dyDescent="0.25">
      <c r="A4">
        <v>2002</v>
      </c>
      <c r="B4">
        <v>14771</v>
      </c>
      <c r="C4">
        <v>1004</v>
      </c>
      <c r="D4">
        <v>897330</v>
      </c>
      <c r="E4">
        <v>4598213</v>
      </c>
      <c r="F4" s="1">
        <v>0.97020906153616904</v>
      </c>
      <c r="G4" s="1">
        <v>0.91885321792914998</v>
      </c>
      <c r="H4" s="1">
        <v>0.88669276959288201</v>
      </c>
    </row>
    <row r="5" spans="1:8" x14ac:dyDescent="0.25">
      <c r="A5">
        <v>2005</v>
      </c>
      <c r="B5">
        <v>17077</v>
      </c>
      <c r="C5">
        <v>1113</v>
      </c>
      <c r="D5">
        <v>1064030</v>
      </c>
      <c r="E5">
        <v>5269033</v>
      </c>
      <c r="F5" s="1">
        <v>0.93030452608874703</v>
      </c>
      <c r="G5" s="1">
        <v>0.92705604136210495</v>
      </c>
      <c r="H5" s="1">
        <v>0.857813297607254</v>
      </c>
    </row>
    <row r="6" spans="1:8" x14ac:dyDescent="0.25">
      <c r="A6">
        <v>2008</v>
      </c>
      <c r="B6">
        <v>22109</v>
      </c>
      <c r="C6">
        <v>1431</v>
      </c>
      <c r="D6">
        <v>1211483</v>
      </c>
      <c r="E6">
        <v>6118445</v>
      </c>
      <c r="F6" s="1">
        <v>0.92387256463676104</v>
      </c>
      <c r="G6" s="1">
        <v>1.0336021052178099</v>
      </c>
      <c r="H6" s="1">
        <v>0.94978891239010899</v>
      </c>
    </row>
    <row r="7" spans="1:8" x14ac:dyDescent="0.25">
      <c r="A7">
        <v>2011</v>
      </c>
      <c r="B7">
        <v>27623</v>
      </c>
      <c r="C7">
        <v>1933</v>
      </c>
      <c r="D7">
        <v>1630890</v>
      </c>
      <c r="E7">
        <v>8240432</v>
      </c>
      <c r="F7" s="1">
        <v>0.99885521842552805</v>
      </c>
      <c r="G7" s="1">
        <v>0.95884011740239705</v>
      </c>
      <c r="H7" s="1">
        <v>0.95259963460720898</v>
      </c>
    </row>
    <row r="8" spans="1:8" x14ac:dyDescent="0.25">
      <c r="A8">
        <v>2014</v>
      </c>
      <c r="B8">
        <v>23998</v>
      </c>
      <c r="C8">
        <v>1518</v>
      </c>
      <c r="D8">
        <v>1805750</v>
      </c>
      <c r="E8">
        <v>6963301</v>
      </c>
      <c r="F8" s="1">
        <v>0.90289711733088196</v>
      </c>
      <c r="G8" s="1">
        <v>0.98579186146139697</v>
      </c>
      <c r="H8" s="1">
        <v>0.88528915177860301</v>
      </c>
    </row>
    <row r="9" spans="1:8" x14ac:dyDescent="0.25">
      <c r="C9">
        <f>SUBTOTAL(109,Table19[on_topic_in_area_filings])</f>
        <v>9202</v>
      </c>
      <c r="F9" s="1"/>
      <c r="G9" s="1"/>
      <c r="H9" s="1"/>
    </row>
    <row r="12" spans="1:8" x14ac:dyDescent="0.25">
      <c r="C12">
        <v>1817</v>
      </c>
    </row>
    <row r="13" spans="1:8" x14ac:dyDescent="0.25">
      <c r="C13">
        <v>1088</v>
      </c>
    </row>
    <row r="14" spans="1:8" x14ac:dyDescent="0.25">
      <c r="C14">
        <v>387</v>
      </c>
    </row>
    <row r="15" spans="1:8" x14ac:dyDescent="0.25">
      <c r="C15">
        <v>262</v>
      </c>
    </row>
    <row r="16" spans="1:8" x14ac:dyDescent="0.25">
      <c r="C16">
        <v>806</v>
      </c>
    </row>
    <row r="17" spans="3:3" x14ac:dyDescent="0.25">
      <c r="C17">
        <f>SUM(C12:C16)</f>
        <v>4360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H18" sqref="H18"/>
    </sheetView>
  </sheetViews>
  <sheetFormatPr defaultRowHeight="15" x14ac:dyDescent="0.25"/>
  <cols>
    <col min="2" max="2" width="16.140625" customWidth="1"/>
    <col min="3" max="3" width="24.85546875" customWidth="1"/>
    <col min="4" max="4" width="26.28515625" customWidth="1"/>
    <col min="5" max="5" width="31.7109375" customWidth="1"/>
    <col min="6" max="6" width="32.28515625" customWidth="1"/>
    <col min="7" max="7" width="27.140625" customWidth="1"/>
    <col min="8" max="8" width="28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1996</v>
      </c>
      <c r="B2">
        <v>2047</v>
      </c>
      <c r="C2">
        <v>147</v>
      </c>
      <c r="D2">
        <v>706613</v>
      </c>
      <c r="E2">
        <v>3371676</v>
      </c>
      <c r="F2" s="1">
        <v>1.1793213248597001</v>
      </c>
      <c r="G2" s="1">
        <v>0.81031139256960105</v>
      </c>
      <c r="H2" s="1">
        <v>0.96720052955049896</v>
      </c>
    </row>
    <row r="3" spans="1:8" x14ac:dyDescent="0.25">
      <c r="A3">
        <v>1999</v>
      </c>
      <c r="B3">
        <v>2560</v>
      </c>
      <c r="C3">
        <v>154</v>
      </c>
      <c r="D3">
        <v>781570</v>
      </c>
      <c r="E3">
        <v>3942509</v>
      </c>
      <c r="F3" s="1">
        <v>0.98790098344821198</v>
      </c>
      <c r="G3" s="1">
        <v>0.86665696736729203</v>
      </c>
      <c r="H3" s="1">
        <v>0.866548833002729</v>
      </c>
    </row>
    <row r="4" spans="1:8" x14ac:dyDescent="0.25">
      <c r="A4">
        <v>2002</v>
      </c>
      <c r="B4">
        <v>3337</v>
      </c>
      <c r="C4">
        <v>174</v>
      </c>
      <c r="D4">
        <v>897330</v>
      </c>
      <c r="E4">
        <v>4598213</v>
      </c>
      <c r="F4" s="1">
        <v>0.85629953696384198</v>
      </c>
      <c r="G4" s="1">
        <v>0.96860581180183603</v>
      </c>
      <c r="H4" s="1">
        <v>0.83946999155228497</v>
      </c>
    </row>
    <row r="5" spans="1:8" x14ac:dyDescent="0.25">
      <c r="A5">
        <v>2005</v>
      </c>
      <c r="B5">
        <v>4767</v>
      </c>
      <c r="C5">
        <v>263</v>
      </c>
      <c r="D5">
        <v>1064030</v>
      </c>
      <c r="E5">
        <v>5269033</v>
      </c>
      <c r="F5" s="1">
        <v>0.90603146086898301</v>
      </c>
      <c r="G5" s="1">
        <v>1.2075196102830501</v>
      </c>
      <c r="H5" s="1">
        <v>1.10731159214456</v>
      </c>
    </row>
    <row r="6" spans="1:8" x14ac:dyDescent="0.25">
      <c r="A6">
        <v>2008</v>
      </c>
      <c r="B6">
        <v>5916</v>
      </c>
      <c r="C6">
        <v>326</v>
      </c>
      <c r="D6">
        <v>1211483</v>
      </c>
      <c r="E6">
        <v>6118445</v>
      </c>
      <c r="F6" s="1">
        <v>0.90494482343999005</v>
      </c>
      <c r="G6" s="1">
        <v>1.29052691945132</v>
      </c>
      <c r="H6" s="1">
        <v>1.18201110137094</v>
      </c>
    </row>
    <row r="7" spans="1:8" x14ac:dyDescent="0.25">
      <c r="A7">
        <v>2011</v>
      </c>
      <c r="B7">
        <v>5839</v>
      </c>
      <c r="C7">
        <v>416</v>
      </c>
      <c r="D7">
        <v>1630890</v>
      </c>
      <c r="E7">
        <v>8240432</v>
      </c>
      <c r="F7" s="1">
        <v>1.17000445810279</v>
      </c>
      <c r="G7" s="1">
        <v>0.94573281954348798</v>
      </c>
      <c r="H7" s="1">
        <v>1.1199235812133399</v>
      </c>
    </row>
    <row r="8" spans="1:8" x14ac:dyDescent="0.25">
      <c r="A8">
        <v>2014</v>
      </c>
      <c r="B8">
        <v>4751</v>
      </c>
      <c r="C8">
        <v>288</v>
      </c>
      <c r="D8">
        <v>1805750</v>
      </c>
      <c r="E8">
        <v>6963301</v>
      </c>
      <c r="F8" s="1">
        <v>0.99549741231647704</v>
      </c>
      <c r="G8" s="1">
        <v>0.910646478983411</v>
      </c>
      <c r="H8" s="1">
        <v>0.91753437116564196</v>
      </c>
    </row>
    <row r="9" spans="1:8" x14ac:dyDescent="0.25">
      <c r="C9">
        <f>SUBTOTAL(109,Table13510[on_topic_in_area_filings])</f>
        <v>1768</v>
      </c>
      <c r="F9" s="1"/>
      <c r="G9" s="1"/>
      <c r="H9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All C04B</vt:lpstr>
      <vt:lpstr>Concrete compositions</vt:lpstr>
      <vt:lpstr>Cement fillers</vt:lpstr>
      <vt:lpstr>Lime &amp; Cements</vt:lpstr>
      <vt:lpstr>Attributes</vt:lpstr>
      <vt:lpstr>After treatment</vt:lpstr>
      <vt:lpstr>Concrete compositions (2)</vt:lpstr>
      <vt:lpstr>All C04B (2)</vt:lpstr>
      <vt:lpstr>Cement fillers (2)</vt:lpstr>
      <vt:lpstr>Cement fillers (3)</vt:lpstr>
      <vt:lpstr>Construction</vt:lpstr>
      <vt:lpstr>Fly ash in Construction</vt:lpstr>
      <vt:lpstr>Fly ash in Concrete</vt:lpstr>
      <vt:lpstr>Carbon mineralization</vt:lpstr>
      <vt:lpstr>Carbon in Cement</vt:lpstr>
      <vt:lpstr>Carbon in Concrete Fillers</vt:lpstr>
      <vt:lpstr>Carbon in Construction</vt:lpstr>
      <vt:lpstr>FInal</vt:lpstr>
      <vt:lpstr>Sheet1</vt:lpstr>
    </vt:vector>
  </TitlesOfParts>
  <Company>Deloitte.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Baljon, Pieter Laurens (NL - Utrecht)</dc:creator>
  <cp:lastModifiedBy>Baljon, Pieter Laurens (NL - Utrecht)</cp:lastModifiedBy>
  <dcterms:created xsi:type="dcterms:W3CDTF">2016-08-15T07:40:19Z</dcterms:created>
  <dcterms:modified xsi:type="dcterms:W3CDTF">2016-11-02T10:47:47Z</dcterms:modified>
</cp:coreProperties>
</file>