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Google Drive (o.bernadet@rug.nl)\PhD\Groningen\Research\Writings\Research\Drafts\Paper 2 - Comparison of DNA extraction methods\Raw data\"/>
    </mc:Choice>
  </mc:AlternateContent>
  <xr:revisionPtr revIDLastSave="0" documentId="8_{C7095EF5-67FD-4C95-BFFB-4D0C9FAE633F}" xr6:coauthVersionLast="47" xr6:coauthVersionMax="47" xr10:uidLastSave="{00000000-0000-0000-0000-000000000000}"/>
  <bookViews>
    <workbookView xWindow="-108" yWindow="-108" windowWidth="23256" windowHeight="12576" xr2:uid="{34C6F49A-089C-49B8-8535-3CE1620A32EB}"/>
  </bookViews>
  <sheets>
    <sheet name="W26 G26" sheetId="1" r:id="rId1"/>
    <sheet name="W27 G27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5" i="2" l="1"/>
  <c r="U25" i="2" s="1"/>
  <c r="S25" i="2"/>
  <c r="Q25" i="2"/>
  <c r="G25" i="2"/>
  <c r="P25" i="2" s="1"/>
  <c r="R25" i="2" s="1"/>
  <c r="T22" i="2"/>
  <c r="S22" i="2"/>
  <c r="U22" i="2" s="1"/>
  <c r="Q22" i="2"/>
  <c r="G22" i="2"/>
  <c r="P22" i="2" s="1"/>
  <c r="R22" i="2" s="1"/>
  <c r="T21" i="2"/>
  <c r="S21" i="2"/>
  <c r="U21" i="2" s="1"/>
  <c r="Q21" i="2"/>
  <c r="G21" i="2"/>
  <c r="P21" i="2" s="1"/>
  <c r="R21" i="2" s="1"/>
  <c r="T19" i="2"/>
  <c r="S19" i="2"/>
  <c r="U19" i="2" s="1"/>
  <c r="Q19" i="2"/>
  <c r="G19" i="2"/>
  <c r="P19" i="2" s="1"/>
  <c r="R19" i="2" s="1"/>
  <c r="T18" i="2"/>
  <c r="S18" i="2"/>
  <c r="U18" i="2" s="1"/>
  <c r="Q18" i="2"/>
  <c r="P18" i="2"/>
  <c r="R18" i="2" s="1"/>
  <c r="G18" i="2"/>
  <c r="T16" i="2"/>
  <c r="S16" i="2"/>
  <c r="U16" i="2" s="1"/>
  <c r="Q16" i="2"/>
  <c r="G16" i="2"/>
  <c r="P16" i="2" s="1"/>
  <c r="R16" i="2" s="1"/>
  <c r="T15" i="2"/>
  <c r="S15" i="2"/>
  <c r="U15" i="2" s="1"/>
  <c r="Q15" i="2"/>
  <c r="G15" i="2"/>
  <c r="P15" i="2" s="1"/>
  <c r="R15" i="2" s="1"/>
  <c r="U10" i="2"/>
  <c r="T10" i="2"/>
  <c r="S10" i="2"/>
  <c r="Q10" i="2"/>
  <c r="G10" i="2"/>
  <c r="P10" i="2" s="1"/>
  <c r="R10" i="2" s="1"/>
  <c r="C10" i="2"/>
  <c r="U9" i="2"/>
  <c r="T9" i="2"/>
  <c r="S9" i="2"/>
  <c r="Q9" i="2"/>
  <c r="G9" i="2"/>
  <c r="P9" i="2" s="1"/>
  <c r="R9" i="2" s="1"/>
  <c r="C9" i="2"/>
  <c r="U8" i="2"/>
  <c r="T8" i="2"/>
  <c r="S8" i="2"/>
  <c r="Q8" i="2"/>
  <c r="G8" i="2"/>
  <c r="P8" i="2" s="1"/>
  <c r="R8" i="2" s="1"/>
  <c r="C8" i="2"/>
  <c r="U6" i="2"/>
  <c r="T6" i="2"/>
  <c r="S6" i="2"/>
  <c r="Q6" i="2"/>
  <c r="G6" i="2"/>
  <c r="P6" i="2" s="1"/>
  <c r="R6" i="2" s="1"/>
  <c r="C6" i="2"/>
  <c r="U5" i="2"/>
  <c r="T5" i="2"/>
  <c r="S5" i="2"/>
  <c r="Q5" i="2"/>
  <c r="G5" i="2"/>
  <c r="P5" i="2" s="1"/>
  <c r="R5" i="2" s="1"/>
  <c r="C5" i="2"/>
  <c r="U4" i="2"/>
  <c r="T4" i="2"/>
  <c r="S4" i="2"/>
  <c r="Q4" i="2"/>
  <c r="G4" i="2"/>
  <c r="P4" i="2" s="1"/>
  <c r="R4" i="2" s="1"/>
  <c r="C4" i="2"/>
  <c r="T22" i="1"/>
  <c r="S22" i="1"/>
  <c r="R22" i="1"/>
  <c r="P22" i="1"/>
  <c r="G22" i="1"/>
  <c r="O22" i="1" s="1"/>
  <c r="Q22" i="1" s="1"/>
  <c r="S21" i="1"/>
  <c r="T21" i="1" s="1"/>
  <c r="R21" i="1"/>
  <c r="P21" i="1"/>
  <c r="G21" i="1"/>
  <c r="O21" i="1" s="1"/>
  <c r="Q21" i="1" s="1"/>
  <c r="S19" i="1"/>
  <c r="R19" i="1"/>
  <c r="T19" i="1" s="1"/>
  <c r="P19" i="1"/>
  <c r="G19" i="1"/>
  <c r="O19" i="1" s="1"/>
  <c r="Q19" i="1" s="1"/>
  <c r="S18" i="1"/>
  <c r="R18" i="1"/>
  <c r="T18" i="1" s="1"/>
  <c r="P18" i="1"/>
  <c r="G18" i="1"/>
  <c r="O18" i="1" s="1"/>
  <c r="Q18" i="1" s="1"/>
  <c r="S16" i="1"/>
  <c r="R16" i="1"/>
  <c r="T16" i="1" s="1"/>
  <c r="P16" i="1"/>
  <c r="G16" i="1"/>
  <c r="O16" i="1" s="1"/>
  <c r="Q16" i="1" s="1"/>
  <c r="S15" i="1"/>
  <c r="R15" i="1"/>
  <c r="T15" i="1" s="1"/>
  <c r="P15" i="1"/>
  <c r="O15" i="1"/>
  <c r="Q15" i="1" s="1"/>
  <c r="G15" i="1"/>
  <c r="S10" i="1"/>
  <c r="R10" i="1"/>
  <c r="T10" i="1" s="1"/>
  <c r="P10" i="1"/>
  <c r="Q10" i="1" s="1"/>
  <c r="C10" i="1"/>
  <c r="T9" i="1"/>
  <c r="S9" i="1"/>
  <c r="R9" i="1"/>
  <c r="P9" i="1"/>
  <c r="G9" i="1"/>
  <c r="O9" i="1" s="1"/>
  <c r="Q9" i="1" s="1"/>
  <c r="C9" i="1"/>
  <c r="T8" i="1"/>
  <c r="S8" i="1"/>
  <c r="R8" i="1"/>
  <c r="P8" i="1"/>
  <c r="G8" i="1"/>
  <c r="O8" i="1" s="1"/>
  <c r="Q8" i="1" s="1"/>
  <c r="C8" i="1"/>
  <c r="T6" i="1"/>
  <c r="S6" i="1"/>
  <c r="R6" i="1"/>
  <c r="P6" i="1"/>
  <c r="G6" i="1"/>
  <c r="O6" i="1" s="1"/>
  <c r="Q6" i="1" s="1"/>
  <c r="C6" i="1"/>
  <c r="T5" i="1"/>
  <c r="S5" i="1"/>
  <c r="R5" i="1"/>
  <c r="P5" i="1"/>
  <c r="G5" i="1"/>
  <c r="O5" i="1" s="1"/>
  <c r="Q5" i="1" s="1"/>
  <c r="C5" i="1"/>
  <c r="T4" i="1"/>
  <c r="S4" i="1"/>
  <c r="R4" i="1"/>
  <c r="P4" i="1"/>
  <c r="G4" i="1"/>
  <c r="O4" i="1" s="1"/>
  <c r="Q4" i="1" s="1"/>
  <c r="C4" i="1"/>
</calcChain>
</file>

<file path=xl/sharedStrings.xml><?xml version="1.0" encoding="utf-8"?>
<sst xmlns="http://schemas.openxmlformats.org/spreadsheetml/2006/main" count="165" uniqueCount="88">
  <si>
    <t>Samples 15-09-2020</t>
  </si>
  <si>
    <t>Nanodrop unpurified</t>
  </si>
  <si>
    <t>Quantus unpurified</t>
  </si>
  <si>
    <t>Nanodrop purified</t>
  </si>
  <si>
    <t>Quantus purified</t>
  </si>
  <si>
    <t>Sequencing samples</t>
  </si>
  <si>
    <t>Amount of dsDNA loss</t>
  </si>
  <si>
    <t>Amount of DNA loss</t>
  </si>
  <si>
    <t>Sample Name</t>
  </si>
  <si>
    <t>Treatment</t>
  </si>
  <si>
    <t>Sample wet weight</t>
  </si>
  <si>
    <t>Concentration DNA</t>
  </si>
  <si>
    <t>Ratios</t>
  </si>
  <si>
    <t>Concentration dsDNA</t>
  </si>
  <si>
    <t>Concentration dsDNA (ng/uL)</t>
  </si>
  <si>
    <t>Quantus*volume</t>
  </si>
  <si>
    <t>[Nanodrop]*volume</t>
  </si>
  <si>
    <t>260/280</t>
  </si>
  <si>
    <t>260/230</t>
  </si>
  <si>
    <t>Unpurified</t>
  </si>
  <si>
    <t>Purified</t>
  </si>
  <si>
    <t>Loss</t>
  </si>
  <si>
    <t>W26 A</t>
  </si>
  <si>
    <t>100mL VFAB1A5, 0.2M SPB, 10mM edta, 0.75M NaCl (total volume 3.0mL)</t>
  </si>
  <si>
    <t>W26 B</t>
  </si>
  <si>
    <t>W26 C</t>
  </si>
  <si>
    <t>W26 D</t>
  </si>
  <si>
    <t>100mL NFABA5, 0.2M SPB, 10mM edta, 0.75M NaCl (total volume 3.0mL)</t>
  </si>
  <si>
    <t>W26 E</t>
  </si>
  <si>
    <t>W26 F</t>
  </si>
  <si>
    <t>W26 control</t>
  </si>
  <si>
    <t>No sample, 0.2M SPB, 10mM edta, 0.75M NaCl (total volume 3.0mL)</t>
  </si>
  <si>
    <t>n.a</t>
  </si>
  <si>
    <t>lower than blank</t>
  </si>
  <si>
    <t>G26 A</t>
  </si>
  <si>
    <t>1.0 gram VFBBG, 0.2M SPB, 10mM edta, 0.75M NaCl (total volume 3.0mL)</t>
  </si>
  <si>
    <t>G26 B</t>
  </si>
  <si>
    <t>G26 AB</t>
  </si>
  <si>
    <t>G26 C</t>
  </si>
  <si>
    <t>1.0 gram VFAB2W5, 0.2M SPB, 10mM edta, 0.75M NaCl (total volume 3.0mL)</t>
  </si>
  <si>
    <t>G26 D</t>
  </si>
  <si>
    <t>G26 CD</t>
  </si>
  <si>
    <t>G26 E</t>
  </si>
  <si>
    <t>1.0 gram NFBBG, 0.2M SPB, 10mM edta, 0.75M NaCl (total volume 3.0mL)</t>
  </si>
  <si>
    <t>G26 F</t>
  </si>
  <si>
    <t>G26 EF</t>
  </si>
  <si>
    <t>G26 G</t>
  </si>
  <si>
    <t>1.0 gram NFABW13, 0.2M SPB, 10mM edta, 0.75M NaCl (total volume 3.0mL)</t>
  </si>
  <si>
    <t>not sent for sequencing</t>
  </si>
  <si>
    <t>G26 H</t>
  </si>
  <si>
    <t>No more unpurified samples available for G26 G and H</t>
  </si>
  <si>
    <t>We did not send the G26G and H for sequencing</t>
  </si>
  <si>
    <t>For unpurified samples, volume = 30 uL</t>
  </si>
  <si>
    <t>Volume of unpurified samples: ~60 uL (= volume of TE buffer 1x used to redilute the DNA)</t>
  </si>
  <si>
    <t>For purified samples, volume = 20 uL</t>
  </si>
  <si>
    <t>Volume of samples used for purification: 30 uL</t>
  </si>
  <si>
    <t>Volume of purified samples: ~20 uL (= volume of TE buffers 1x used to redilute the DNA)</t>
  </si>
  <si>
    <t>Volume of sequencing samples: 30 - 2.5 uL (2.5 uL is used for Quantus again)</t>
  </si>
  <si>
    <t>Volume samples used to prepare sequencing samples depend on their concentration</t>
  </si>
  <si>
    <t>Target concentration for each sequencing sample: ~20 ng/uL</t>
  </si>
  <si>
    <t>Quantus purified repeat</t>
  </si>
  <si>
    <t>[Quantus]*volume</t>
  </si>
  <si>
    <t>W27 A</t>
  </si>
  <si>
    <t>100mL VFAB1A5, DNA fastprep kit for soil</t>
  </si>
  <si>
    <t>W27 B</t>
  </si>
  <si>
    <t>W27 C</t>
  </si>
  <si>
    <t>W27 D</t>
  </si>
  <si>
    <t>100mL NFABA5, DNA fastprep kit for soil</t>
  </si>
  <si>
    <t>W27 E</t>
  </si>
  <si>
    <t>W27 F</t>
  </si>
  <si>
    <t>W27 control</t>
  </si>
  <si>
    <t>no sample, DNA fastprep kit for soil</t>
  </si>
  <si>
    <t>G27 A</t>
  </si>
  <si>
    <t>1.0 gram VFBBG, DNA fastprep kit for soil</t>
  </si>
  <si>
    <t>G27 B</t>
  </si>
  <si>
    <t>higher than standard</t>
  </si>
  <si>
    <t>G27 C</t>
  </si>
  <si>
    <t>1.0 gram VFAB2W5, DNA fastprep kit for soil</t>
  </si>
  <si>
    <t>G27 D</t>
  </si>
  <si>
    <t>G27 E</t>
  </si>
  <si>
    <t>1.0 gram NFBBG, DNA fastprep kit for soil</t>
  </si>
  <si>
    <t>G27 F</t>
  </si>
  <si>
    <t>G27 G</t>
  </si>
  <si>
    <t>1.0 gram NFABW13, DNA fastprep kit for soil</t>
  </si>
  <si>
    <t>G27 H</t>
  </si>
  <si>
    <t>G27 control</t>
  </si>
  <si>
    <t>No sample, DNA fastprep kit for soil</t>
  </si>
  <si>
    <t>Note: he only repeat the ones higher than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</si>
</sst>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0" borderId="2" xfId="0" applyFont="1" applyBorder="1"/>
    <xf numFmtId="0" fontId="0" fillId="0" borderId="2" xfId="0" applyBorder="1"/>
    <xf numFmtId="0" fontId="0" fillId="3" borderId="2" xfId="0" applyFill="1" applyBorder="1"/>
    <xf numFmtId="0" fontId="3" fillId="5" borderId="1" xfId="0" applyFont="1" applyFill="1" applyBorder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6F85-D3C5-4685-AFDA-09A0854C06B3}">
  <dimension ref="A1:T32"/>
  <sheetViews>
    <sheetView tabSelected="1" topLeftCell="E1" workbookViewId="0">
      <selection activeCell="P5" sqref="P5"/>
    </sheetView>
  </sheetViews>
  <sheetFormatPr defaultRowHeight="14.4" x14ac:dyDescent="0.3"/>
  <cols>
    <col min="1" max="1" width="11.88671875" customWidth="1"/>
    <col min="2" max="2" width="67.77734375" customWidth="1"/>
    <col min="3" max="3" width="21.44140625" customWidth="1"/>
    <col min="4" max="4" width="18.33203125" customWidth="1"/>
    <col min="5" max="5" width="7.88671875" customWidth="1"/>
    <col min="6" max="6" width="9.6640625" customWidth="1"/>
    <col min="7" max="7" width="18.77734375" customWidth="1"/>
    <col min="8" max="8" width="18.33203125" customWidth="1"/>
    <col min="9" max="10" width="8.88671875" customWidth="1"/>
    <col min="11" max="11" width="20.33203125" customWidth="1"/>
    <col min="12" max="12" width="25" bestFit="1" customWidth="1"/>
    <col min="18" max="18" width="10.33203125" customWidth="1"/>
  </cols>
  <sheetData>
    <row r="1" spans="1:20" x14ac:dyDescent="0.3">
      <c r="A1" s="1" t="s">
        <v>0</v>
      </c>
      <c r="B1" s="2"/>
      <c r="C1" s="2"/>
      <c r="D1" s="3" t="s">
        <v>1</v>
      </c>
      <c r="E1" s="3"/>
      <c r="F1" s="3"/>
      <c r="G1" s="4" t="s">
        <v>2</v>
      </c>
      <c r="H1" s="3" t="s">
        <v>3</v>
      </c>
      <c r="I1" s="3"/>
      <c r="J1" s="3"/>
      <c r="K1" s="4" t="s">
        <v>4</v>
      </c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</row>
    <row r="2" spans="1:20" x14ac:dyDescent="0.3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7"/>
      <c r="G2" s="6" t="s">
        <v>13</v>
      </c>
      <c r="H2" s="8" t="s">
        <v>11</v>
      </c>
      <c r="I2" s="7" t="s">
        <v>12</v>
      </c>
      <c r="J2" s="7"/>
      <c r="K2" s="6" t="s">
        <v>13</v>
      </c>
      <c r="L2" s="6" t="s">
        <v>14</v>
      </c>
      <c r="M2" s="7" t="s">
        <v>12</v>
      </c>
      <c r="N2" s="7"/>
      <c r="O2" s="7" t="s">
        <v>15</v>
      </c>
      <c r="P2" s="7"/>
      <c r="Q2" s="2"/>
      <c r="R2" s="7" t="s">
        <v>16</v>
      </c>
      <c r="S2" s="7"/>
      <c r="T2" s="2"/>
    </row>
    <row r="3" spans="1:20" x14ac:dyDescent="0.3">
      <c r="A3" s="5"/>
      <c r="B3" s="6"/>
      <c r="C3" s="6"/>
      <c r="D3" s="6"/>
      <c r="E3" s="2" t="s">
        <v>17</v>
      </c>
      <c r="F3" s="2" t="s">
        <v>18</v>
      </c>
      <c r="G3" s="6"/>
      <c r="H3" s="8"/>
      <c r="I3" s="2" t="s">
        <v>17</v>
      </c>
      <c r="J3" s="2" t="s">
        <v>18</v>
      </c>
      <c r="K3" s="6"/>
      <c r="L3" s="6"/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9" t="s">
        <v>19</v>
      </c>
      <c r="S3" s="9" t="s">
        <v>20</v>
      </c>
      <c r="T3" s="9" t="s">
        <v>21</v>
      </c>
    </row>
    <row r="4" spans="1:20" x14ac:dyDescent="0.3">
      <c r="A4" s="1" t="s">
        <v>22</v>
      </c>
      <c r="B4" s="2" t="s">
        <v>23</v>
      </c>
      <c r="C4" s="2">
        <f>7.16-6.8317</f>
        <v>0.32830000000000048</v>
      </c>
      <c r="D4" s="2">
        <v>983.17</v>
      </c>
      <c r="E4" s="2">
        <v>1.55</v>
      </c>
      <c r="F4" s="2">
        <v>1.03</v>
      </c>
      <c r="G4" s="2">
        <f>5*35</f>
        <v>175</v>
      </c>
      <c r="H4" s="2">
        <v>202.75</v>
      </c>
      <c r="I4" s="2">
        <v>1.98</v>
      </c>
      <c r="J4" s="2">
        <v>2.4700000000000002</v>
      </c>
      <c r="K4" s="2">
        <v>61</v>
      </c>
      <c r="L4" s="2">
        <v>30</v>
      </c>
      <c r="M4" s="2">
        <v>2.02</v>
      </c>
      <c r="N4" s="2">
        <v>2.54</v>
      </c>
      <c r="O4" s="2">
        <f>G4*30</f>
        <v>5250</v>
      </c>
      <c r="P4" s="2">
        <f>K4*20</f>
        <v>1220</v>
      </c>
      <c r="Q4" s="2">
        <f>O4-P4</f>
        <v>4030</v>
      </c>
      <c r="R4" s="2">
        <f>D4*30</f>
        <v>29495.1</v>
      </c>
      <c r="S4" s="2">
        <f>H4*20</f>
        <v>4055</v>
      </c>
      <c r="T4" s="2">
        <f>R4-S4</f>
        <v>25440.1</v>
      </c>
    </row>
    <row r="5" spans="1:20" x14ac:dyDescent="0.3">
      <c r="A5" s="1" t="s">
        <v>24</v>
      </c>
      <c r="B5" s="2" t="s">
        <v>23</v>
      </c>
      <c r="C5" s="2">
        <f>7.0355-6.7327</f>
        <v>0.30279999999999951</v>
      </c>
      <c r="D5" s="2">
        <v>950.22</v>
      </c>
      <c r="E5" s="2">
        <v>1.55</v>
      </c>
      <c r="F5" s="2">
        <v>1.04</v>
      </c>
      <c r="G5" s="2">
        <f>2*96</f>
        <v>192</v>
      </c>
      <c r="H5" s="2">
        <v>206.71</v>
      </c>
      <c r="I5" s="2">
        <v>1.96</v>
      </c>
      <c r="J5" s="2">
        <v>2.3199999999999998</v>
      </c>
      <c r="K5" s="10">
        <v>73</v>
      </c>
      <c r="L5" s="2">
        <v>18</v>
      </c>
      <c r="M5" s="2">
        <v>2.08</v>
      </c>
      <c r="N5" s="2">
        <v>2.44</v>
      </c>
      <c r="O5" s="2">
        <f t="shared" ref="O5:O22" si="0">G5*30</f>
        <v>5760</v>
      </c>
      <c r="P5" s="2">
        <f t="shared" ref="P5:P22" si="1">K5*20</f>
        <v>1460</v>
      </c>
      <c r="Q5" s="2">
        <f t="shared" ref="Q5:Q22" si="2">O5-P5</f>
        <v>4300</v>
      </c>
      <c r="R5" s="2">
        <f t="shared" ref="R5:R6" si="3">D5*30</f>
        <v>28506.600000000002</v>
      </c>
      <c r="S5" s="2">
        <f t="shared" ref="S5:S6" si="4">H5*20</f>
        <v>4134.2</v>
      </c>
      <c r="T5" s="2">
        <f t="shared" ref="T5:T6" si="5">R5-S5</f>
        <v>24372.400000000001</v>
      </c>
    </row>
    <row r="6" spans="1:20" x14ac:dyDescent="0.3">
      <c r="A6" s="1" t="s">
        <v>25</v>
      </c>
      <c r="B6" s="2" t="s">
        <v>23</v>
      </c>
      <c r="C6" s="2">
        <f>7.0507-6.771</f>
        <v>0.27970000000000006</v>
      </c>
      <c r="D6" s="2">
        <v>1035.4000000000001</v>
      </c>
      <c r="E6" s="2">
        <v>1.56</v>
      </c>
      <c r="F6" s="2">
        <v>1.04</v>
      </c>
      <c r="G6" s="2">
        <f>5*48</f>
        <v>240</v>
      </c>
      <c r="H6" s="2">
        <v>232.51</v>
      </c>
      <c r="I6" s="2">
        <v>1.97</v>
      </c>
      <c r="J6" s="2">
        <v>2.38</v>
      </c>
      <c r="K6" s="2">
        <v>72</v>
      </c>
      <c r="L6" s="2">
        <v>23</v>
      </c>
      <c r="M6" s="2">
        <v>1.99</v>
      </c>
      <c r="N6" s="2">
        <v>2.4</v>
      </c>
      <c r="O6" s="2">
        <f t="shared" si="0"/>
        <v>7200</v>
      </c>
      <c r="P6" s="2">
        <f t="shared" si="1"/>
        <v>1440</v>
      </c>
      <c r="Q6" s="2">
        <f t="shared" si="2"/>
        <v>5760</v>
      </c>
      <c r="R6" s="2">
        <f t="shared" si="3"/>
        <v>31062.000000000004</v>
      </c>
      <c r="S6" s="2">
        <f t="shared" si="4"/>
        <v>4650.2</v>
      </c>
      <c r="T6" s="2">
        <f t="shared" si="5"/>
        <v>26411.800000000003</v>
      </c>
    </row>
    <row r="7" spans="1:20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/>
      <c r="Q7" s="12"/>
      <c r="R7" s="12"/>
      <c r="S7" s="12"/>
      <c r="T7" s="12"/>
    </row>
    <row r="8" spans="1:20" x14ac:dyDescent="0.3">
      <c r="A8" s="1" t="s">
        <v>26</v>
      </c>
      <c r="B8" s="2" t="s">
        <v>27</v>
      </c>
      <c r="C8" s="2">
        <f>6.942-6.6754</f>
        <v>0.26660000000000039</v>
      </c>
      <c r="D8" s="2">
        <v>761.41</v>
      </c>
      <c r="E8" s="2">
        <v>1.55</v>
      </c>
      <c r="F8" s="2">
        <v>1.02</v>
      </c>
      <c r="G8" s="2">
        <f>5*21</f>
        <v>105</v>
      </c>
      <c r="H8" s="2">
        <v>185.63</v>
      </c>
      <c r="I8" s="2">
        <v>1.93</v>
      </c>
      <c r="J8" s="2">
        <v>2.34</v>
      </c>
      <c r="K8" s="2">
        <v>64</v>
      </c>
      <c r="L8" s="2">
        <v>23</v>
      </c>
      <c r="M8" s="2">
        <v>2.0099999999999998</v>
      </c>
      <c r="N8" s="2">
        <v>2.4900000000000002</v>
      </c>
      <c r="O8" s="2">
        <f t="shared" si="0"/>
        <v>3150</v>
      </c>
      <c r="P8" s="2">
        <f t="shared" si="1"/>
        <v>1280</v>
      </c>
      <c r="Q8" s="2">
        <f t="shared" si="2"/>
        <v>1870</v>
      </c>
      <c r="R8" s="2">
        <f>D8*30</f>
        <v>22842.3</v>
      </c>
      <c r="S8" s="2">
        <f>H8*20</f>
        <v>3712.6</v>
      </c>
      <c r="T8" s="2">
        <f t="shared" ref="T8:T10" si="6">R8-S8</f>
        <v>19129.7</v>
      </c>
    </row>
    <row r="9" spans="1:20" x14ac:dyDescent="0.3">
      <c r="A9" s="1" t="s">
        <v>28</v>
      </c>
      <c r="B9" s="2" t="s">
        <v>27</v>
      </c>
      <c r="C9" s="2">
        <f>7.1122-6.776</f>
        <v>0.33619999999999983</v>
      </c>
      <c r="D9" s="2">
        <v>460.99</v>
      </c>
      <c r="E9" s="2">
        <v>1.58</v>
      </c>
      <c r="F9" s="2">
        <v>1.17</v>
      </c>
      <c r="G9" s="2">
        <f>5*43</f>
        <v>215</v>
      </c>
      <c r="H9" s="2">
        <v>286.11</v>
      </c>
      <c r="I9" s="2">
        <v>1.95</v>
      </c>
      <c r="J9" s="2">
        <v>2.06</v>
      </c>
      <c r="K9" s="2">
        <v>100</v>
      </c>
      <c r="L9" s="2">
        <v>28</v>
      </c>
      <c r="M9" s="2">
        <v>1.94</v>
      </c>
      <c r="N9" s="2">
        <v>2.08</v>
      </c>
      <c r="O9" s="2">
        <f t="shared" si="0"/>
        <v>6450</v>
      </c>
      <c r="P9" s="2">
        <f t="shared" si="1"/>
        <v>2000</v>
      </c>
      <c r="Q9" s="2">
        <f t="shared" si="2"/>
        <v>4450</v>
      </c>
      <c r="R9" s="2">
        <f t="shared" ref="R9:R10" si="7">D9*30</f>
        <v>13829.7</v>
      </c>
      <c r="S9" s="2">
        <f t="shared" ref="S9:S10" si="8">H9*20</f>
        <v>5722.2000000000007</v>
      </c>
      <c r="T9" s="2">
        <f t="shared" si="6"/>
        <v>8107.5</v>
      </c>
    </row>
    <row r="10" spans="1:20" x14ac:dyDescent="0.3">
      <c r="A10" s="1" t="s">
        <v>29</v>
      </c>
      <c r="B10" s="2" t="s">
        <v>27</v>
      </c>
      <c r="C10" s="2">
        <f>6.9301-6.6504</f>
        <v>0.27970000000000006</v>
      </c>
      <c r="D10" s="2">
        <v>549.24</v>
      </c>
      <c r="E10" s="2">
        <v>1.53</v>
      </c>
      <c r="F10" s="2">
        <v>1.22</v>
      </c>
      <c r="G10" s="13"/>
      <c r="H10" s="2">
        <v>147.29</v>
      </c>
      <c r="I10" s="2">
        <v>1.93</v>
      </c>
      <c r="J10" s="2">
        <v>2.31</v>
      </c>
      <c r="K10" s="10">
        <v>41</v>
      </c>
      <c r="L10" s="2">
        <v>44</v>
      </c>
      <c r="M10" s="2">
        <v>1.93</v>
      </c>
      <c r="N10" s="2">
        <v>2.17</v>
      </c>
      <c r="O10" s="2"/>
      <c r="P10" s="2">
        <f t="shared" si="1"/>
        <v>820</v>
      </c>
      <c r="Q10" s="2">
        <f t="shared" si="2"/>
        <v>-820</v>
      </c>
      <c r="R10" s="2">
        <f t="shared" si="7"/>
        <v>16477.2</v>
      </c>
      <c r="S10" s="2">
        <f t="shared" si="8"/>
        <v>2945.7999999999997</v>
      </c>
      <c r="T10" s="14">
        <f t="shared" si="6"/>
        <v>13531.400000000001</v>
      </c>
    </row>
    <row r="11" spans="1:20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2"/>
      <c r="P11" s="12"/>
      <c r="Q11" s="12"/>
      <c r="R11" s="12"/>
      <c r="S11" s="12"/>
      <c r="T11" s="12"/>
    </row>
    <row r="12" spans="1:20" x14ac:dyDescent="0.3">
      <c r="A12" s="1" t="s">
        <v>30</v>
      </c>
      <c r="B12" s="2" t="s">
        <v>31</v>
      </c>
      <c r="C12" s="2" t="s">
        <v>32</v>
      </c>
      <c r="D12" s="2">
        <v>2.42</v>
      </c>
      <c r="E12" s="2">
        <v>1.92</v>
      </c>
      <c r="F12" s="2">
        <v>0.13</v>
      </c>
      <c r="G12" s="16"/>
      <c r="H12" s="2">
        <v>3.29</v>
      </c>
      <c r="I12" s="2">
        <v>1.43</v>
      </c>
      <c r="J12" s="2">
        <v>-0.21</v>
      </c>
      <c r="K12" s="10" t="s">
        <v>33</v>
      </c>
      <c r="L12" s="2">
        <v>1.04E-2</v>
      </c>
      <c r="M12" s="2">
        <v>-2.82</v>
      </c>
      <c r="N12" s="2">
        <v>0.17</v>
      </c>
      <c r="O12" s="2"/>
      <c r="P12" s="2"/>
      <c r="Q12" s="2"/>
      <c r="R12" s="2"/>
      <c r="S12" s="2"/>
      <c r="T12" s="2"/>
    </row>
    <row r="13" spans="1:20" x14ac:dyDescent="0.3">
      <c r="A13" s="17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6"/>
      <c r="P13" s="16"/>
      <c r="Q13" s="16"/>
      <c r="R13" s="16"/>
      <c r="S13" s="16"/>
      <c r="T13" s="16"/>
    </row>
    <row r="14" spans="1:20" x14ac:dyDescent="0.3">
      <c r="A14" s="1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6"/>
      <c r="P14" s="16"/>
      <c r="Q14" s="16"/>
      <c r="R14" s="16"/>
      <c r="S14" s="16"/>
      <c r="T14" s="16"/>
    </row>
    <row r="15" spans="1:20" x14ac:dyDescent="0.3">
      <c r="A15" s="1" t="s">
        <v>34</v>
      </c>
      <c r="B15" s="2" t="s">
        <v>35</v>
      </c>
      <c r="C15" s="2">
        <v>1.02</v>
      </c>
      <c r="D15" s="2">
        <v>1120.2</v>
      </c>
      <c r="E15" s="2">
        <v>1.5</v>
      </c>
      <c r="F15" s="2">
        <v>0.72</v>
      </c>
      <c r="G15" s="2">
        <f>5*50</f>
        <v>250</v>
      </c>
      <c r="H15" s="2">
        <v>83.2</v>
      </c>
      <c r="I15" s="2">
        <v>1.82</v>
      </c>
      <c r="J15" s="2">
        <v>3.94</v>
      </c>
      <c r="K15" s="2">
        <v>73</v>
      </c>
      <c r="L15" s="2">
        <v>20</v>
      </c>
      <c r="M15" s="2">
        <v>1.95</v>
      </c>
      <c r="N15" s="2">
        <v>6.97</v>
      </c>
      <c r="O15" s="2">
        <f t="shared" si="0"/>
        <v>7500</v>
      </c>
      <c r="P15" s="2">
        <f t="shared" si="1"/>
        <v>1460</v>
      </c>
      <c r="Q15" s="2">
        <f t="shared" si="2"/>
        <v>6040</v>
      </c>
      <c r="R15" s="2">
        <f>D15*30</f>
        <v>33606</v>
      </c>
      <c r="S15" s="2">
        <f>H15*20</f>
        <v>1664</v>
      </c>
      <c r="T15" s="2">
        <f t="shared" ref="T15:T16" si="9">R15-S15</f>
        <v>31942</v>
      </c>
    </row>
    <row r="16" spans="1:20" x14ac:dyDescent="0.3">
      <c r="A16" s="1" t="s">
        <v>36</v>
      </c>
      <c r="B16" s="2" t="s">
        <v>35</v>
      </c>
      <c r="C16" s="2">
        <v>1.016</v>
      </c>
      <c r="D16" s="2">
        <v>1138.1300000000001</v>
      </c>
      <c r="E16" s="2">
        <v>1.49</v>
      </c>
      <c r="F16" s="2">
        <v>0.72</v>
      </c>
      <c r="G16" s="2">
        <f>5*33</f>
        <v>165</v>
      </c>
      <c r="H16" s="2">
        <v>86.1</v>
      </c>
      <c r="I16" s="2">
        <v>1.82</v>
      </c>
      <c r="J16" s="2">
        <v>3.73</v>
      </c>
      <c r="K16" s="2">
        <v>78</v>
      </c>
      <c r="L16" s="2">
        <v>22</v>
      </c>
      <c r="M16" s="2">
        <v>1.79</v>
      </c>
      <c r="N16" s="2">
        <v>5.96</v>
      </c>
      <c r="O16" s="2">
        <f t="shared" si="0"/>
        <v>4950</v>
      </c>
      <c r="P16" s="2">
        <f t="shared" si="1"/>
        <v>1560</v>
      </c>
      <c r="Q16" s="2">
        <f t="shared" si="2"/>
        <v>3390</v>
      </c>
      <c r="R16" s="2">
        <f>D16*30</f>
        <v>34143.9</v>
      </c>
      <c r="S16" s="2">
        <f>H16*20</f>
        <v>1722</v>
      </c>
      <c r="T16" s="2">
        <f t="shared" si="9"/>
        <v>32421.9</v>
      </c>
    </row>
    <row r="17" spans="1:20" x14ac:dyDescent="0.3">
      <c r="A17" s="11" t="s">
        <v>37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>
        <v>19</v>
      </c>
      <c r="M17" s="12">
        <v>1.88</v>
      </c>
      <c r="N17" s="12">
        <v>11.06</v>
      </c>
      <c r="O17" s="12"/>
      <c r="P17" s="12"/>
      <c r="Q17" s="12"/>
      <c r="R17" s="12"/>
      <c r="S17" s="12"/>
      <c r="T17" s="12"/>
    </row>
    <row r="18" spans="1:20" x14ac:dyDescent="0.3">
      <c r="A18" s="1" t="s">
        <v>38</v>
      </c>
      <c r="B18" s="2" t="s">
        <v>39</v>
      </c>
      <c r="C18" s="2">
        <v>1.034</v>
      </c>
      <c r="D18" s="2">
        <v>1099.5999999999999</v>
      </c>
      <c r="E18" s="2">
        <v>1.47</v>
      </c>
      <c r="F18" s="2">
        <v>0.73</v>
      </c>
      <c r="G18" s="2">
        <f>5*33</f>
        <v>165</v>
      </c>
      <c r="H18" s="2">
        <v>72.92</v>
      </c>
      <c r="I18" s="2">
        <v>1.81</v>
      </c>
      <c r="J18" s="2">
        <v>5.03</v>
      </c>
      <c r="K18" s="2">
        <v>76</v>
      </c>
      <c r="L18" s="2">
        <v>19</v>
      </c>
      <c r="M18" s="2">
        <v>1.94</v>
      </c>
      <c r="N18" s="2">
        <v>310.67</v>
      </c>
      <c r="O18" s="2">
        <f t="shared" si="0"/>
        <v>4950</v>
      </c>
      <c r="P18" s="2">
        <f t="shared" si="1"/>
        <v>1520</v>
      </c>
      <c r="Q18" s="2">
        <f t="shared" si="2"/>
        <v>3430</v>
      </c>
      <c r="R18" s="2">
        <f>D18*30</f>
        <v>32988</v>
      </c>
      <c r="S18" s="2">
        <f>H18*20</f>
        <v>1458.4</v>
      </c>
      <c r="T18" s="14">
        <f t="shared" ref="T18:T19" si="10">R18-S18</f>
        <v>31529.599999999999</v>
      </c>
    </row>
    <row r="19" spans="1:20" x14ac:dyDescent="0.3">
      <c r="A19" s="1" t="s">
        <v>40</v>
      </c>
      <c r="B19" s="2" t="s">
        <v>39</v>
      </c>
      <c r="C19" s="2">
        <v>1.012</v>
      </c>
      <c r="D19" s="2">
        <v>1007.32</v>
      </c>
      <c r="E19" s="2">
        <v>1.44</v>
      </c>
      <c r="F19" s="2">
        <v>0.76</v>
      </c>
      <c r="G19" s="2">
        <f>5*34</f>
        <v>170</v>
      </c>
      <c r="H19" s="2">
        <v>60.27</v>
      </c>
      <c r="I19" s="2">
        <v>1.71</v>
      </c>
      <c r="J19" s="2">
        <v>6.87</v>
      </c>
      <c r="K19" s="2">
        <v>65</v>
      </c>
      <c r="L19" s="2">
        <v>19</v>
      </c>
      <c r="M19" s="2">
        <v>1.83</v>
      </c>
      <c r="N19" s="2">
        <v>-40.35</v>
      </c>
      <c r="O19" s="2">
        <f t="shared" si="0"/>
        <v>5100</v>
      </c>
      <c r="P19" s="2">
        <f t="shared" si="1"/>
        <v>1300</v>
      </c>
      <c r="Q19" s="2">
        <f t="shared" si="2"/>
        <v>3800</v>
      </c>
      <c r="R19" s="2">
        <f>D19*30</f>
        <v>30219.600000000002</v>
      </c>
      <c r="S19" s="2">
        <f>H19*20</f>
        <v>1205.4000000000001</v>
      </c>
      <c r="T19" s="2">
        <f t="shared" si="10"/>
        <v>29014.2</v>
      </c>
    </row>
    <row r="20" spans="1:20" x14ac:dyDescent="0.3">
      <c r="A20" s="11" t="s">
        <v>41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>
        <v>18</v>
      </c>
      <c r="M20" s="12">
        <v>1.91</v>
      </c>
      <c r="N20" s="12">
        <v>-58.47</v>
      </c>
      <c r="O20" s="12"/>
      <c r="P20" s="12"/>
      <c r="Q20" s="12"/>
      <c r="R20" s="12"/>
      <c r="S20" s="12"/>
      <c r="T20" s="12"/>
    </row>
    <row r="21" spans="1:20" x14ac:dyDescent="0.3">
      <c r="A21" s="1" t="s">
        <v>42</v>
      </c>
      <c r="B21" s="2" t="s">
        <v>43</v>
      </c>
      <c r="C21" s="2">
        <v>1.0209999999999999</v>
      </c>
      <c r="D21" s="2">
        <v>101.21</v>
      </c>
      <c r="E21" s="2">
        <v>0.41</v>
      </c>
      <c r="F21" s="2">
        <v>-0.28000000000000003</v>
      </c>
      <c r="G21" s="2">
        <f>5*44</f>
        <v>220</v>
      </c>
      <c r="H21" s="2">
        <v>105.34</v>
      </c>
      <c r="I21" s="2">
        <v>1.79</v>
      </c>
      <c r="J21" s="2">
        <v>2.92</v>
      </c>
      <c r="K21" s="2">
        <v>88</v>
      </c>
      <c r="L21" s="2">
        <v>22</v>
      </c>
      <c r="M21" s="2">
        <v>1.8</v>
      </c>
      <c r="N21" s="2">
        <v>3.64</v>
      </c>
      <c r="O21" s="2">
        <f t="shared" si="0"/>
        <v>6600</v>
      </c>
      <c r="P21" s="2">
        <f t="shared" si="1"/>
        <v>1760</v>
      </c>
      <c r="Q21" s="2">
        <f t="shared" si="2"/>
        <v>4840</v>
      </c>
      <c r="R21" s="2">
        <f>D21*30</f>
        <v>3036.2999999999997</v>
      </c>
      <c r="S21" s="2">
        <f>H21*20</f>
        <v>2106.8000000000002</v>
      </c>
      <c r="T21" s="2">
        <f t="shared" ref="T21:T22" si="11">R21-S21</f>
        <v>929.49999999999955</v>
      </c>
    </row>
    <row r="22" spans="1:20" x14ac:dyDescent="0.3">
      <c r="A22" s="1" t="s">
        <v>44</v>
      </c>
      <c r="B22" s="2" t="s">
        <v>43</v>
      </c>
      <c r="C22" s="2">
        <v>1.0249999999999999</v>
      </c>
      <c r="D22" s="2">
        <v>-15.81</v>
      </c>
      <c r="E22" s="2">
        <v>-0.08</v>
      </c>
      <c r="F22" s="2">
        <v>0.04</v>
      </c>
      <c r="G22" s="2">
        <f>5*45</f>
        <v>225</v>
      </c>
      <c r="H22" s="2">
        <v>102.13</v>
      </c>
      <c r="I22" s="2">
        <v>1.75</v>
      </c>
      <c r="J22" s="2">
        <v>2.73</v>
      </c>
      <c r="K22" s="2">
        <v>77</v>
      </c>
      <c r="L22" s="2">
        <v>20</v>
      </c>
      <c r="M22" s="2">
        <v>1.78</v>
      </c>
      <c r="N22" s="2">
        <v>4.07</v>
      </c>
      <c r="O22" s="2">
        <f t="shared" si="0"/>
        <v>6750</v>
      </c>
      <c r="P22" s="2">
        <f t="shared" si="1"/>
        <v>1540</v>
      </c>
      <c r="Q22" s="2">
        <f t="shared" si="2"/>
        <v>5210</v>
      </c>
      <c r="R22" s="2">
        <f>D22*30</f>
        <v>-474.3</v>
      </c>
      <c r="S22" s="2">
        <f>H22*20</f>
        <v>2042.6</v>
      </c>
      <c r="T22" s="2">
        <f t="shared" si="11"/>
        <v>-2516.9</v>
      </c>
    </row>
    <row r="23" spans="1:20" x14ac:dyDescent="0.3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>
        <v>22</v>
      </c>
      <c r="M23" s="12">
        <v>1.99</v>
      </c>
      <c r="N23" s="12">
        <v>4.5199999999999996</v>
      </c>
      <c r="O23" s="12"/>
      <c r="P23" s="12"/>
      <c r="Q23" s="12"/>
      <c r="R23" s="12"/>
      <c r="S23" s="12"/>
      <c r="T23" s="12"/>
    </row>
    <row r="24" spans="1:20" x14ac:dyDescent="0.3">
      <c r="A24" s="18" t="s">
        <v>46</v>
      </c>
      <c r="B24" s="19" t="s">
        <v>47</v>
      </c>
      <c r="C24" s="19">
        <v>1.028</v>
      </c>
      <c r="D24" s="19">
        <v>1315.45</v>
      </c>
      <c r="E24" s="19">
        <v>1.34</v>
      </c>
      <c r="F24" s="19">
        <v>0.75</v>
      </c>
      <c r="G24" s="20"/>
      <c r="H24" s="19">
        <v>20.8</v>
      </c>
      <c r="I24" s="19">
        <v>1.6</v>
      </c>
      <c r="J24" s="19">
        <v>-2.0499999999999998</v>
      </c>
      <c r="K24" s="19">
        <v>15</v>
      </c>
      <c r="L24" s="2" t="s">
        <v>48</v>
      </c>
      <c r="M24" s="21"/>
      <c r="N24" s="21"/>
      <c r="O24" s="21"/>
      <c r="P24" s="21"/>
      <c r="Q24" s="21"/>
      <c r="R24" s="21"/>
      <c r="S24" s="21"/>
      <c r="T24" s="21"/>
    </row>
    <row r="25" spans="1:20" x14ac:dyDescent="0.3">
      <c r="A25" s="1" t="s">
        <v>49</v>
      </c>
      <c r="B25" s="2" t="s">
        <v>47</v>
      </c>
      <c r="C25" s="2">
        <v>1.0249999999999999</v>
      </c>
      <c r="D25" s="2">
        <v>316.86</v>
      </c>
      <c r="E25" s="2">
        <v>0.81</v>
      </c>
      <c r="F25" s="2">
        <v>-2.95</v>
      </c>
      <c r="G25" s="13"/>
      <c r="H25" s="2">
        <v>19.72</v>
      </c>
      <c r="I25" s="2">
        <v>1.29</v>
      </c>
      <c r="J25" s="2">
        <v>-5.32</v>
      </c>
      <c r="K25" s="2">
        <v>1.68</v>
      </c>
      <c r="L25" s="2" t="s">
        <v>48</v>
      </c>
      <c r="M25" s="21"/>
      <c r="N25" s="21"/>
      <c r="O25" s="21"/>
      <c r="P25" s="21"/>
      <c r="Q25" s="21"/>
      <c r="R25" s="21"/>
      <c r="S25" s="21"/>
      <c r="T25" s="21"/>
    </row>
    <row r="26" spans="1:20" x14ac:dyDescent="0.3">
      <c r="A26" s="22"/>
      <c r="G26" t="s">
        <v>50</v>
      </c>
      <c r="K26" t="s">
        <v>51</v>
      </c>
      <c r="O26" t="s">
        <v>52</v>
      </c>
      <c r="R26" t="s">
        <v>52</v>
      </c>
    </row>
    <row r="27" spans="1:20" x14ac:dyDescent="0.3">
      <c r="A27" t="s">
        <v>53</v>
      </c>
      <c r="O27" t="s">
        <v>54</v>
      </c>
      <c r="R27" t="s">
        <v>54</v>
      </c>
    </row>
    <row r="28" spans="1:20" x14ac:dyDescent="0.3">
      <c r="A28" t="s">
        <v>55</v>
      </c>
    </row>
    <row r="29" spans="1:20" x14ac:dyDescent="0.3">
      <c r="A29" t="s">
        <v>56</v>
      </c>
    </row>
    <row r="30" spans="1:20" x14ac:dyDescent="0.3">
      <c r="A30" t="s">
        <v>57</v>
      </c>
    </row>
    <row r="31" spans="1:20" x14ac:dyDescent="0.3">
      <c r="A31" t="s">
        <v>58</v>
      </c>
    </row>
    <row r="32" spans="1:20" x14ac:dyDescent="0.3">
      <c r="A32" t="s">
        <v>59</v>
      </c>
    </row>
  </sheetData>
  <mergeCells count="17">
    <mergeCell ref="R2:S2"/>
    <mergeCell ref="G2:G3"/>
    <mergeCell ref="I2:J2"/>
    <mergeCell ref="K2:K3"/>
    <mergeCell ref="L2:L3"/>
    <mergeCell ref="M2:N2"/>
    <mergeCell ref="O2:P2"/>
    <mergeCell ref="D1:F1"/>
    <mergeCell ref="H1:J1"/>
    <mergeCell ref="L1:N1"/>
    <mergeCell ref="O1:Q1"/>
    <mergeCell ref="R1:T1"/>
    <mergeCell ref="A2:A3"/>
    <mergeCell ref="B2:B3"/>
    <mergeCell ref="C2:C3"/>
    <mergeCell ref="D2:D3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5F2E-9DD1-4C61-9197-F9AC93ADBB15}">
  <dimension ref="A1:U34"/>
  <sheetViews>
    <sheetView workbookViewId="0">
      <selection activeCell="P5" sqref="P5"/>
    </sheetView>
  </sheetViews>
  <sheetFormatPr defaultRowHeight="14.4" x14ac:dyDescent="0.3"/>
  <cols>
    <col min="1" max="1" width="18.5546875" bestFit="1" customWidth="1"/>
    <col min="2" max="2" width="40.44140625" bestFit="1" customWidth="1"/>
    <col min="3" max="3" width="27.6640625" customWidth="1"/>
    <col min="4" max="4" width="18.33203125" bestFit="1" customWidth="1"/>
    <col min="6" max="6" width="7.88671875" bestFit="1" customWidth="1"/>
    <col min="7" max="7" width="18.77734375" bestFit="1" customWidth="1"/>
    <col min="8" max="8" width="23.21875" bestFit="1" customWidth="1"/>
    <col min="9" max="10" width="7.88671875" bestFit="1" customWidth="1"/>
    <col min="11" max="13" width="25" bestFit="1" customWidth="1"/>
    <col min="16" max="16" width="10.33203125" customWidth="1"/>
    <col min="19" max="19" width="10.33203125" customWidth="1"/>
  </cols>
  <sheetData>
    <row r="1" spans="1:21" x14ac:dyDescent="0.3">
      <c r="A1" s="1" t="s">
        <v>0</v>
      </c>
      <c r="B1" s="2"/>
      <c r="C1" s="2"/>
      <c r="D1" s="3" t="s">
        <v>1</v>
      </c>
      <c r="E1" s="3"/>
      <c r="F1" s="3"/>
      <c r="G1" s="4" t="s">
        <v>2</v>
      </c>
      <c r="H1" s="3" t="s">
        <v>3</v>
      </c>
      <c r="I1" s="3"/>
      <c r="J1" s="3"/>
      <c r="K1" s="4" t="s">
        <v>4</v>
      </c>
      <c r="L1" s="1" t="s">
        <v>60</v>
      </c>
      <c r="M1" s="3" t="s">
        <v>5</v>
      </c>
      <c r="N1" s="3"/>
      <c r="O1" s="3"/>
      <c r="P1" s="3" t="s">
        <v>6</v>
      </c>
      <c r="Q1" s="3"/>
      <c r="R1" s="3"/>
      <c r="S1" s="3" t="s">
        <v>7</v>
      </c>
      <c r="T1" s="3"/>
      <c r="U1" s="3"/>
    </row>
    <row r="2" spans="1:21" x14ac:dyDescent="0.3">
      <c r="A2" s="6" t="s">
        <v>8</v>
      </c>
      <c r="B2" s="6" t="s">
        <v>9</v>
      </c>
      <c r="C2" s="23" t="s">
        <v>10</v>
      </c>
      <c r="D2" s="6" t="s">
        <v>11</v>
      </c>
      <c r="E2" s="7" t="s">
        <v>12</v>
      </c>
      <c r="F2" s="7"/>
      <c r="G2" s="6" t="s">
        <v>13</v>
      </c>
      <c r="H2" s="8" t="s">
        <v>11</v>
      </c>
      <c r="I2" s="7" t="s">
        <v>12</v>
      </c>
      <c r="J2" s="7"/>
      <c r="K2" s="6" t="s">
        <v>13</v>
      </c>
      <c r="L2" s="8" t="s">
        <v>14</v>
      </c>
      <c r="M2" s="6" t="s">
        <v>14</v>
      </c>
      <c r="N2" s="7" t="s">
        <v>12</v>
      </c>
      <c r="O2" s="7"/>
      <c r="P2" s="7" t="s">
        <v>61</v>
      </c>
      <c r="Q2" s="7"/>
      <c r="R2" s="2"/>
      <c r="S2" s="7" t="s">
        <v>16</v>
      </c>
      <c r="T2" s="7"/>
      <c r="U2" s="2"/>
    </row>
    <row r="3" spans="1:21" x14ac:dyDescent="0.3">
      <c r="A3" s="6"/>
      <c r="B3" s="6"/>
      <c r="C3" s="24"/>
      <c r="D3" s="6"/>
      <c r="E3" s="2" t="s">
        <v>17</v>
      </c>
      <c r="F3" s="2" t="s">
        <v>18</v>
      </c>
      <c r="G3" s="6"/>
      <c r="H3" s="8"/>
      <c r="I3" s="2" t="s">
        <v>17</v>
      </c>
      <c r="J3" s="2" t="s">
        <v>18</v>
      </c>
      <c r="K3" s="6"/>
      <c r="L3" s="2"/>
      <c r="M3" s="6"/>
      <c r="N3" s="2" t="s">
        <v>17</v>
      </c>
      <c r="O3" s="2" t="s">
        <v>18</v>
      </c>
      <c r="P3" s="9" t="s">
        <v>19</v>
      </c>
      <c r="Q3" s="9" t="s">
        <v>20</v>
      </c>
      <c r="R3" s="9" t="s">
        <v>21</v>
      </c>
      <c r="S3" s="9" t="s">
        <v>19</v>
      </c>
      <c r="T3" s="9" t="s">
        <v>20</v>
      </c>
      <c r="U3" s="9" t="s">
        <v>21</v>
      </c>
    </row>
    <row r="4" spans="1:21" x14ac:dyDescent="0.3">
      <c r="A4" s="1" t="s">
        <v>62</v>
      </c>
      <c r="B4" s="2" t="s">
        <v>63</v>
      </c>
      <c r="C4" s="2">
        <f>6.978-6.6714</f>
        <v>0.30659999999999954</v>
      </c>
      <c r="D4" s="2">
        <v>313.20999999999998</v>
      </c>
      <c r="E4" s="2">
        <v>1.87</v>
      </c>
      <c r="F4" s="2">
        <v>0.59</v>
      </c>
      <c r="G4" s="2">
        <f>5*96</f>
        <v>480</v>
      </c>
      <c r="H4" s="2">
        <v>282.64999999999998</v>
      </c>
      <c r="I4" s="2">
        <v>1.86</v>
      </c>
      <c r="J4" s="2">
        <v>2.2000000000000002</v>
      </c>
      <c r="K4" s="2">
        <v>217</v>
      </c>
      <c r="L4" s="2">
        <v>217</v>
      </c>
      <c r="M4" s="2">
        <v>28</v>
      </c>
      <c r="N4" s="2">
        <v>1.93</v>
      </c>
      <c r="O4" s="2">
        <v>2.2200000000000002</v>
      </c>
      <c r="P4" s="2">
        <f>G4*30</f>
        <v>14400</v>
      </c>
      <c r="Q4" s="2">
        <f>L4*20</f>
        <v>4340</v>
      </c>
      <c r="R4" s="2">
        <f>P4-Q4</f>
        <v>10060</v>
      </c>
      <c r="S4" s="2">
        <f>D4*30</f>
        <v>9396.2999999999993</v>
      </c>
      <c r="T4" s="2">
        <f>H4*20</f>
        <v>5653</v>
      </c>
      <c r="U4" s="2">
        <f>S4-T4</f>
        <v>3743.2999999999993</v>
      </c>
    </row>
    <row r="5" spans="1:21" x14ac:dyDescent="0.3">
      <c r="A5" s="1" t="s">
        <v>64</v>
      </c>
      <c r="B5" s="2" t="s">
        <v>63</v>
      </c>
      <c r="C5" s="2">
        <f>7.0085-6.6827</f>
        <v>0.32580000000000009</v>
      </c>
      <c r="D5" s="2">
        <v>279.79000000000002</v>
      </c>
      <c r="E5" s="2">
        <v>1.87</v>
      </c>
      <c r="F5" s="2">
        <v>0.48</v>
      </c>
      <c r="G5" s="2">
        <f>5*133</f>
        <v>665</v>
      </c>
      <c r="H5" s="2">
        <v>343.74</v>
      </c>
      <c r="I5" s="2">
        <v>1.86</v>
      </c>
      <c r="J5" s="2">
        <v>1.8</v>
      </c>
      <c r="K5" s="10">
        <v>115</v>
      </c>
      <c r="L5" s="10">
        <v>115</v>
      </c>
      <c r="M5" s="2">
        <v>73</v>
      </c>
      <c r="N5" s="2">
        <v>1.9</v>
      </c>
      <c r="O5" s="2">
        <v>1.57</v>
      </c>
      <c r="P5" s="2">
        <f t="shared" ref="P5:P6" si="0">G5*30</f>
        <v>19950</v>
      </c>
      <c r="Q5" s="2">
        <f t="shared" ref="Q5:Q22" si="1">L5*20</f>
        <v>2300</v>
      </c>
      <c r="R5" s="2">
        <f t="shared" ref="R5:R22" si="2">P5-Q5</f>
        <v>17650</v>
      </c>
      <c r="S5" s="2">
        <f t="shared" ref="S5:S6" si="3">D5*30</f>
        <v>8393.7000000000007</v>
      </c>
      <c r="T5" s="2">
        <f t="shared" ref="T5:T6" si="4">H5*20</f>
        <v>6874.8</v>
      </c>
      <c r="U5" s="2">
        <f t="shared" ref="U5:U6" si="5">S5-T5</f>
        <v>1518.9000000000005</v>
      </c>
    </row>
    <row r="6" spans="1:21" x14ac:dyDescent="0.3">
      <c r="A6" s="1" t="s">
        <v>65</v>
      </c>
      <c r="B6" s="2" t="s">
        <v>63</v>
      </c>
      <c r="C6" s="2">
        <f>7.2059-6.8819</f>
        <v>0.32399999999999984</v>
      </c>
      <c r="D6" s="2">
        <v>357.7</v>
      </c>
      <c r="E6" s="2">
        <v>1.89</v>
      </c>
      <c r="F6" s="2">
        <v>0.79</v>
      </c>
      <c r="G6" s="2">
        <f>10*124</f>
        <v>1240</v>
      </c>
      <c r="H6" s="2">
        <v>259.31</v>
      </c>
      <c r="I6" s="2">
        <v>1.86</v>
      </c>
      <c r="J6" s="2">
        <v>2.1800000000000002</v>
      </c>
      <c r="K6" s="2">
        <v>99</v>
      </c>
      <c r="L6" s="2">
        <v>99</v>
      </c>
      <c r="M6" s="2">
        <v>66</v>
      </c>
      <c r="N6" s="2">
        <v>1.9</v>
      </c>
      <c r="O6" s="2">
        <v>2.15</v>
      </c>
      <c r="P6" s="2">
        <f t="shared" si="0"/>
        <v>37200</v>
      </c>
      <c r="Q6" s="2">
        <f t="shared" si="1"/>
        <v>1980</v>
      </c>
      <c r="R6" s="2">
        <f t="shared" si="2"/>
        <v>35220</v>
      </c>
      <c r="S6" s="2">
        <f t="shared" si="3"/>
        <v>10731</v>
      </c>
      <c r="T6" s="2">
        <f t="shared" si="4"/>
        <v>5186.2</v>
      </c>
      <c r="U6" s="2">
        <f t="shared" si="5"/>
        <v>5544.8</v>
      </c>
    </row>
    <row r="7" spans="1:2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25"/>
      <c r="L7" s="25"/>
      <c r="M7" s="11"/>
      <c r="N7" s="11"/>
      <c r="O7" s="11"/>
      <c r="P7" s="12"/>
      <c r="Q7" s="12"/>
      <c r="R7" s="12"/>
      <c r="S7" s="12"/>
      <c r="T7" s="12"/>
      <c r="U7" s="12"/>
    </row>
    <row r="8" spans="1:21" x14ac:dyDescent="0.3">
      <c r="A8" s="1" t="s">
        <v>66</v>
      </c>
      <c r="B8" s="2" t="s">
        <v>67</v>
      </c>
      <c r="C8" s="2">
        <f>6.9905-6.6681</f>
        <v>0.32240000000000002</v>
      </c>
      <c r="D8" s="2">
        <v>202.76</v>
      </c>
      <c r="E8" s="2">
        <v>1.88</v>
      </c>
      <c r="F8" s="2">
        <v>0.44</v>
      </c>
      <c r="G8" s="2">
        <f>5*92</f>
        <v>460</v>
      </c>
      <c r="H8" s="2">
        <v>213.11</v>
      </c>
      <c r="I8" s="2">
        <v>1.89</v>
      </c>
      <c r="J8" s="2">
        <v>2.1800000000000002</v>
      </c>
      <c r="K8" s="2">
        <v>156</v>
      </c>
      <c r="L8" s="2">
        <v>156</v>
      </c>
      <c r="M8" s="2">
        <v>37</v>
      </c>
      <c r="N8" s="2">
        <v>2.0499999999999998</v>
      </c>
      <c r="O8" s="2">
        <v>2.27</v>
      </c>
      <c r="P8" s="2">
        <f>G8*30</f>
        <v>13800</v>
      </c>
      <c r="Q8" s="2">
        <f t="shared" si="1"/>
        <v>3120</v>
      </c>
      <c r="R8" s="2">
        <f t="shared" si="2"/>
        <v>10680</v>
      </c>
      <c r="S8" s="2">
        <f>D8*30</f>
        <v>6082.7999999999993</v>
      </c>
      <c r="T8" s="2">
        <f>H8*20</f>
        <v>4262.2000000000007</v>
      </c>
      <c r="U8" s="2">
        <f t="shared" ref="U8:U10" si="6">S8-T8</f>
        <v>1820.5999999999985</v>
      </c>
    </row>
    <row r="9" spans="1:21" x14ac:dyDescent="0.3">
      <c r="A9" s="1" t="s">
        <v>68</v>
      </c>
      <c r="B9" s="2" t="s">
        <v>67</v>
      </c>
      <c r="C9" s="2">
        <f>7.138-6.859</f>
        <v>0.27899999999999991</v>
      </c>
      <c r="D9" s="2">
        <v>188.92</v>
      </c>
      <c r="E9" s="2">
        <v>1.92</v>
      </c>
      <c r="F9" s="2">
        <v>0.38</v>
      </c>
      <c r="G9" s="2">
        <f>5*58</f>
        <v>290</v>
      </c>
      <c r="H9" s="2">
        <v>250.14</v>
      </c>
      <c r="I9" s="2">
        <v>1.86</v>
      </c>
      <c r="J9" s="2">
        <v>2.13</v>
      </c>
      <c r="K9" s="2">
        <v>146</v>
      </c>
      <c r="L9" s="2">
        <v>146</v>
      </c>
      <c r="M9" s="2">
        <v>42</v>
      </c>
      <c r="N9" s="2">
        <v>1.9</v>
      </c>
      <c r="O9" s="2">
        <v>2.0699999999999998</v>
      </c>
      <c r="P9" s="2">
        <f t="shared" ref="P9:P10" si="7">G9*30</f>
        <v>8700</v>
      </c>
      <c r="Q9" s="2">
        <f t="shared" si="1"/>
        <v>2920</v>
      </c>
      <c r="R9" s="2">
        <f t="shared" si="2"/>
        <v>5780</v>
      </c>
      <c r="S9" s="2">
        <f t="shared" ref="S9:S10" si="8">D9*30</f>
        <v>5667.5999999999995</v>
      </c>
      <c r="T9" s="2">
        <f t="shared" ref="T9:T10" si="9">H9*20</f>
        <v>5002.7999999999993</v>
      </c>
      <c r="U9" s="2">
        <f t="shared" si="6"/>
        <v>664.80000000000018</v>
      </c>
    </row>
    <row r="10" spans="1:21" x14ac:dyDescent="0.3">
      <c r="A10" s="1" t="s">
        <v>69</v>
      </c>
      <c r="B10" s="2" t="s">
        <v>67</v>
      </c>
      <c r="C10" s="2">
        <f>7.0025-6.7401</f>
        <v>0.26240000000000041</v>
      </c>
      <c r="D10" s="2">
        <v>80.56</v>
      </c>
      <c r="E10" s="2">
        <v>1.93</v>
      </c>
      <c r="F10" s="2">
        <v>0.19</v>
      </c>
      <c r="G10" s="2">
        <f>5*38</f>
        <v>190</v>
      </c>
      <c r="H10" s="2">
        <v>134.97999999999999</v>
      </c>
      <c r="I10" s="2">
        <v>1.89</v>
      </c>
      <c r="J10" s="2">
        <v>2.13</v>
      </c>
      <c r="K10" s="10">
        <v>100</v>
      </c>
      <c r="L10" s="10">
        <v>100</v>
      </c>
      <c r="M10" s="2">
        <v>40</v>
      </c>
      <c r="N10" s="2">
        <v>2.08</v>
      </c>
      <c r="O10" s="2">
        <v>2.0299999999999998</v>
      </c>
      <c r="P10" s="2">
        <f t="shared" si="7"/>
        <v>5700</v>
      </c>
      <c r="Q10" s="2">
        <f t="shared" si="1"/>
        <v>2000</v>
      </c>
      <c r="R10" s="2">
        <f t="shared" si="2"/>
        <v>3700</v>
      </c>
      <c r="S10" s="2">
        <f t="shared" si="8"/>
        <v>2416.8000000000002</v>
      </c>
      <c r="T10" s="2">
        <f t="shared" si="9"/>
        <v>2699.6</v>
      </c>
      <c r="U10" s="14">
        <f t="shared" si="6"/>
        <v>-282.79999999999973</v>
      </c>
    </row>
    <row r="11" spans="1:21" x14ac:dyDescent="0.3">
      <c r="A11" s="1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5"/>
      <c r="N11" s="15"/>
      <c r="O11" s="15"/>
      <c r="P11" s="12"/>
      <c r="Q11" s="12"/>
      <c r="R11" s="12"/>
      <c r="S11" s="12"/>
      <c r="T11" s="12"/>
      <c r="U11" s="12"/>
    </row>
    <row r="12" spans="1:21" x14ac:dyDescent="0.3">
      <c r="A12" s="1" t="s">
        <v>70</v>
      </c>
      <c r="B12" s="2" t="s">
        <v>71</v>
      </c>
      <c r="C12" s="2"/>
      <c r="D12" s="2">
        <v>6.4</v>
      </c>
      <c r="E12" s="2">
        <v>2.87</v>
      </c>
      <c r="F12" s="2">
        <v>0.01</v>
      </c>
      <c r="G12" s="2" t="s">
        <v>33</v>
      </c>
      <c r="H12" s="2">
        <v>2.02</v>
      </c>
      <c r="I12" s="2">
        <v>1.04</v>
      </c>
      <c r="J12" s="2">
        <v>1.06</v>
      </c>
      <c r="K12" s="10">
        <v>3.0300000000000001E-2</v>
      </c>
      <c r="L12" s="10">
        <v>3.0300000000000001E-2</v>
      </c>
      <c r="M12" s="2">
        <v>2.7300000000000001E-2</v>
      </c>
      <c r="N12" s="2">
        <v>1.18</v>
      </c>
      <c r="O12" s="2">
        <v>-0.22</v>
      </c>
      <c r="P12" s="2"/>
      <c r="Q12" s="2"/>
      <c r="R12" s="2"/>
      <c r="S12" s="2"/>
      <c r="T12" s="2"/>
      <c r="U12" s="2"/>
    </row>
    <row r="13" spans="1:21" x14ac:dyDescent="0.3">
      <c r="A13" s="17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6"/>
      <c r="Q13" s="16"/>
      <c r="R13" s="16"/>
      <c r="S13" s="16"/>
      <c r="T13" s="16"/>
      <c r="U13" s="16"/>
    </row>
    <row r="14" spans="1:21" x14ac:dyDescent="0.3">
      <c r="A14" s="1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6"/>
      <c r="Q14" s="16"/>
      <c r="R14" s="16"/>
      <c r="S14" s="16"/>
      <c r="T14" s="16"/>
      <c r="U14" s="16"/>
    </row>
    <row r="15" spans="1:21" x14ac:dyDescent="0.3">
      <c r="A15" s="1" t="s">
        <v>72</v>
      </c>
      <c r="B15" s="2" t="s">
        <v>73</v>
      </c>
      <c r="C15" s="2">
        <v>1.02</v>
      </c>
      <c r="D15" s="2">
        <v>272.31</v>
      </c>
      <c r="E15" s="2">
        <v>1.9</v>
      </c>
      <c r="F15" s="2">
        <v>0.48</v>
      </c>
      <c r="G15" s="2">
        <f>5*41</f>
        <v>205</v>
      </c>
      <c r="H15" s="2">
        <v>385.68</v>
      </c>
      <c r="I15" s="2">
        <v>1.87</v>
      </c>
      <c r="J15" s="2">
        <v>2.1800000000000002</v>
      </c>
      <c r="K15" s="2">
        <v>133</v>
      </c>
      <c r="L15" s="2">
        <v>133</v>
      </c>
      <c r="M15" s="2">
        <v>75</v>
      </c>
      <c r="N15" s="2">
        <v>1.99</v>
      </c>
      <c r="O15" s="2">
        <v>2.62</v>
      </c>
      <c r="P15" s="2">
        <f>G15*30</f>
        <v>6150</v>
      </c>
      <c r="Q15" s="2">
        <f>L15*20</f>
        <v>2660</v>
      </c>
      <c r="R15" s="2">
        <f t="shared" si="2"/>
        <v>3490</v>
      </c>
      <c r="S15" s="2">
        <f>D15*30</f>
        <v>8169.3</v>
      </c>
      <c r="T15" s="2">
        <f>H15*20</f>
        <v>7713.6</v>
      </c>
      <c r="U15" s="2">
        <f t="shared" ref="U15:U16" si="10">S15-T15</f>
        <v>455.69999999999982</v>
      </c>
    </row>
    <row r="16" spans="1:21" x14ac:dyDescent="0.3">
      <c r="A16" s="1" t="s">
        <v>74</v>
      </c>
      <c r="B16" s="2" t="s">
        <v>73</v>
      </c>
      <c r="C16" s="2">
        <v>0.9889</v>
      </c>
      <c r="D16" s="2">
        <v>231.06</v>
      </c>
      <c r="E16" s="2">
        <v>1.89</v>
      </c>
      <c r="F16" s="2">
        <v>0.42</v>
      </c>
      <c r="G16" s="2">
        <f>5*31</f>
        <v>155</v>
      </c>
      <c r="H16" s="2">
        <v>331.69</v>
      </c>
      <c r="I16" s="2">
        <v>1.89</v>
      </c>
      <c r="J16" s="2">
        <v>2.15</v>
      </c>
      <c r="K16" s="2" t="s">
        <v>75</v>
      </c>
      <c r="L16" s="2">
        <v>166</v>
      </c>
      <c r="M16" s="2">
        <v>39</v>
      </c>
      <c r="N16" s="2">
        <v>1.82</v>
      </c>
      <c r="O16" s="2">
        <v>2.13</v>
      </c>
      <c r="P16" s="2">
        <f>G16*30</f>
        <v>4650</v>
      </c>
      <c r="Q16" s="2">
        <f t="shared" si="1"/>
        <v>3320</v>
      </c>
      <c r="R16" s="2">
        <f t="shared" si="2"/>
        <v>1330</v>
      </c>
      <c r="S16" s="2">
        <f>D16*30</f>
        <v>6931.8</v>
      </c>
      <c r="T16" s="2">
        <f>H16*20</f>
        <v>6633.8</v>
      </c>
      <c r="U16" s="2">
        <f t="shared" si="10"/>
        <v>298</v>
      </c>
    </row>
    <row r="17" spans="1:2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>
        <v>51</v>
      </c>
      <c r="N17" s="12">
        <v>1.87</v>
      </c>
      <c r="O17" s="12">
        <v>2.17</v>
      </c>
      <c r="P17" s="12"/>
      <c r="Q17" s="12"/>
      <c r="R17" s="12"/>
      <c r="S17" s="12"/>
      <c r="T17" s="12"/>
      <c r="U17" s="12"/>
    </row>
    <row r="18" spans="1:21" x14ac:dyDescent="0.3">
      <c r="A18" s="1" t="s">
        <v>76</v>
      </c>
      <c r="B18" s="2" t="s">
        <v>77</v>
      </c>
      <c r="C18" s="2">
        <v>1.052</v>
      </c>
      <c r="D18" s="2">
        <v>233.7</v>
      </c>
      <c r="E18" s="2">
        <v>1.94</v>
      </c>
      <c r="F18" s="2">
        <v>0.49</v>
      </c>
      <c r="G18" s="2">
        <f>5*24</f>
        <v>120</v>
      </c>
      <c r="H18" s="2">
        <v>495.59</v>
      </c>
      <c r="I18" s="2">
        <v>1.86</v>
      </c>
      <c r="J18" s="2">
        <v>2.14</v>
      </c>
      <c r="K18" s="2" t="s">
        <v>75</v>
      </c>
      <c r="L18" s="2">
        <v>318</v>
      </c>
      <c r="M18" s="2">
        <v>31</v>
      </c>
      <c r="N18" s="2">
        <v>1.87</v>
      </c>
      <c r="O18" s="2">
        <v>2.14</v>
      </c>
      <c r="P18" s="2">
        <f>G18*30</f>
        <v>3600</v>
      </c>
      <c r="Q18" s="2">
        <f t="shared" si="1"/>
        <v>6360</v>
      </c>
      <c r="R18" s="14">
        <f t="shared" si="2"/>
        <v>-2760</v>
      </c>
      <c r="S18" s="2">
        <f>D18*30</f>
        <v>7011</v>
      </c>
      <c r="T18" s="2">
        <f>H18*20</f>
        <v>9911.7999999999993</v>
      </c>
      <c r="U18" s="14">
        <f t="shared" ref="U18:U19" si="11">S18-T18</f>
        <v>-2900.7999999999993</v>
      </c>
    </row>
    <row r="19" spans="1:21" x14ac:dyDescent="0.3">
      <c r="A19" s="1" t="s">
        <v>78</v>
      </c>
      <c r="B19" s="2" t="s">
        <v>77</v>
      </c>
      <c r="C19" s="2">
        <v>0.998</v>
      </c>
      <c r="D19" s="2">
        <v>341.39</v>
      </c>
      <c r="E19" s="2">
        <v>1.87</v>
      </c>
      <c r="F19" s="2">
        <v>0.64</v>
      </c>
      <c r="G19" s="2">
        <f>5*109</f>
        <v>545</v>
      </c>
      <c r="H19" s="2">
        <v>379.77</v>
      </c>
      <c r="I19" s="2">
        <v>1.84</v>
      </c>
      <c r="J19" s="2">
        <v>2.08</v>
      </c>
      <c r="K19" s="2" t="s">
        <v>75</v>
      </c>
      <c r="L19" s="2">
        <v>242</v>
      </c>
      <c r="M19" s="2">
        <v>51</v>
      </c>
      <c r="N19" s="2">
        <v>1.83</v>
      </c>
      <c r="O19" s="2">
        <v>2.16</v>
      </c>
      <c r="P19" s="2">
        <f>G19*30</f>
        <v>16350</v>
      </c>
      <c r="Q19" s="2">
        <f t="shared" si="1"/>
        <v>4840</v>
      </c>
      <c r="R19" s="2">
        <f t="shared" si="2"/>
        <v>11510</v>
      </c>
      <c r="S19" s="2">
        <f>D19*30</f>
        <v>10241.699999999999</v>
      </c>
      <c r="T19" s="2">
        <f>H19*20</f>
        <v>7595.4</v>
      </c>
      <c r="U19" s="2">
        <f t="shared" si="11"/>
        <v>2646.2999999999993</v>
      </c>
    </row>
    <row r="20" spans="1:2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>
        <v>31</v>
      </c>
      <c r="N20" s="12">
        <v>1.89</v>
      </c>
      <c r="O20" s="12">
        <v>2.14</v>
      </c>
      <c r="P20" s="12"/>
      <c r="Q20" s="12"/>
      <c r="R20" s="12"/>
      <c r="S20" s="12"/>
      <c r="T20" s="12"/>
      <c r="U20" s="12"/>
    </row>
    <row r="21" spans="1:21" x14ac:dyDescent="0.3">
      <c r="A21" s="1" t="s">
        <v>79</v>
      </c>
      <c r="B21" s="2" t="s">
        <v>80</v>
      </c>
      <c r="C21" s="2">
        <v>0.96599999999999997</v>
      </c>
      <c r="D21" s="2">
        <v>185.51</v>
      </c>
      <c r="E21" s="2">
        <v>1.9</v>
      </c>
      <c r="F21" s="2">
        <v>0.35</v>
      </c>
      <c r="G21" s="2">
        <f>5*27</f>
        <v>135</v>
      </c>
      <c r="H21" s="2">
        <v>330.07</v>
      </c>
      <c r="I21" s="2">
        <v>1.85</v>
      </c>
      <c r="J21" s="2">
        <v>2.09</v>
      </c>
      <c r="K21" s="2">
        <v>173</v>
      </c>
      <c r="L21" s="2">
        <v>174</v>
      </c>
      <c r="M21" s="2">
        <v>33</v>
      </c>
      <c r="N21" s="2">
        <v>1.93</v>
      </c>
      <c r="O21" s="2">
        <v>2.08</v>
      </c>
      <c r="P21" s="2">
        <f>G21*30</f>
        <v>4050</v>
      </c>
      <c r="Q21" s="2">
        <f t="shared" si="1"/>
        <v>3480</v>
      </c>
      <c r="R21" s="2">
        <f t="shared" si="2"/>
        <v>570</v>
      </c>
      <c r="S21" s="2">
        <f>D21*30</f>
        <v>5565.2999999999993</v>
      </c>
      <c r="T21" s="2">
        <f>H21*20</f>
        <v>6601.4</v>
      </c>
      <c r="U21" s="2">
        <f t="shared" ref="U21:U22" si="12">S21-T21</f>
        <v>-1036.1000000000004</v>
      </c>
    </row>
    <row r="22" spans="1:21" x14ac:dyDescent="0.3">
      <c r="A22" s="1" t="s">
        <v>81</v>
      </c>
      <c r="B22" s="2" t="s">
        <v>80</v>
      </c>
      <c r="C22" s="2">
        <v>1.008</v>
      </c>
      <c r="D22" s="2">
        <v>536.59</v>
      </c>
      <c r="E22" s="2">
        <v>1.84</v>
      </c>
      <c r="F22" s="2">
        <v>0.84</v>
      </c>
      <c r="G22" s="2">
        <f>5*155</f>
        <v>775</v>
      </c>
      <c r="H22" s="2">
        <v>404.76</v>
      </c>
      <c r="I22" s="2">
        <v>1.86</v>
      </c>
      <c r="J22" s="2">
        <v>2.13</v>
      </c>
      <c r="K22" s="2" t="s">
        <v>75</v>
      </c>
      <c r="L22" s="2">
        <v>306</v>
      </c>
      <c r="M22" s="2">
        <v>24</v>
      </c>
      <c r="N22" s="2">
        <v>2.0299999999999998</v>
      </c>
      <c r="O22" s="2">
        <v>2.09</v>
      </c>
      <c r="P22" s="2">
        <f>G22*30</f>
        <v>23250</v>
      </c>
      <c r="Q22" s="2">
        <f t="shared" si="1"/>
        <v>6120</v>
      </c>
      <c r="R22" s="2">
        <f t="shared" si="2"/>
        <v>17130</v>
      </c>
      <c r="S22" s="2">
        <f>D22*30</f>
        <v>16097.7</v>
      </c>
      <c r="T22" s="2">
        <f>H22*20</f>
        <v>8095.2</v>
      </c>
      <c r="U22" s="2">
        <f t="shared" si="12"/>
        <v>8002.5000000000009</v>
      </c>
    </row>
    <row r="23" spans="1:21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>
        <v>24</v>
      </c>
      <c r="N23" s="12">
        <v>2.21</v>
      </c>
      <c r="O23" s="12">
        <v>2.2799999999999998</v>
      </c>
      <c r="P23" s="12"/>
      <c r="Q23" s="12"/>
      <c r="R23" s="12"/>
      <c r="S23" s="12"/>
      <c r="T23" s="12"/>
      <c r="U23" s="12"/>
    </row>
    <row r="24" spans="1:21" x14ac:dyDescent="0.3">
      <c r="A24" s="1" t="s">
        <v>82</v>
      </c>
      <c r="B24" s="2" t="s">
        <v>83</v>
      </c>
      <c r="C24" s="2">
        <v>1.0589999999999999</v>
      </c>
      <c r="D24" s="2">
        <v>25.22</v>
      </c>
      <c r="E24" s="2">
        <v>2</v>
      </c>
      <c r="F24" s="2">
        <v>0.06</v>
      </c>
      <c r="G24" s="13"/>
      <c r="H24" s="2">
        <v>37.71</v>
      </c>
      <c r="I24" s="2">
        <v>1.66</v>
      </c>
      <c r="J24" s="2">
        <v>1.37</v>
      </c>
      <c r="K24" s="2">
        <v>26</v>
      </c>
      <c r="L24" s="2">
        <v>26</v>
      </c>
      <c r="M24" s="2">
        <v>18</v>
      </c>
      <c r="N24" s="2">
        <v>1.71</v>
      </c>
      <c r="O24" s="2">
        <v>1.26</v>
      </c>
      <c r="P24" s="16"/>
      <c r="Q24" s="16"/>
      <c r="R24" s="16"/>
      <c r="S24" s="16"/>
      <c r="T24" s="16"/>
      <c r="U24" s="16"/>
    </row>
    <row r="25" spans="1:21" x14ac:dyDescent="0.3">
      <c r="A25" s="1" t="s">
        <v>84</v>
      </c>
      <c r="B25" s="2" t="s">
        <v>83</v>
      </c>
      <c r="C25" s="2">
        <v>1.0089999999999999</v>
      </c>
      <c r="D25" s="2">
        <v>98.36</v>
      </c>
      <c r="E25" s="2">
        <v>1.88</v>
      </c>
      <c r="F25" s="2">
        <v>0.21</v>
      </c>
      <c r="G25" s="2">
        <f>5*35</f>
        <v>175</v>
      </c>
      <c r="H25" s="2">
        <v>150.16999999999999</v>
      </c>
      <c r="I25" s="2">
        <v>1.81</v>
      </c>
      <c r="J25" s="2">
        <v>1.93</v>
      </c>
      <c r="K25" s="2">
        <v>157</v>
      </c>
      <c r="L25" s="2">
        <v>157</v>
      </c>
      <c r="M25" s="2">
        <v>19</v>
      </c>
      <c r="N25" s="2">
        <v>1.71</v>
      </c>
      <c r="O25" s="2">
        <v>1.94</v>
      </c>
      <c r="P25" s="2">
        <f>G25*30</f>
        <v>5250</v>
      </c>
      <c r="Q25" s="2">
        <f t="shared" ref="Q25" si="13">L25*20</f>
        <v>3140</v>
      </c>
      <c r="R25" s="2">
        <f t="shared" ref="R25" si="14">P25-Q25</f>
        <v>2110</v>
      </c>
      <c r="S25" s="2">
        <f>D25*30</f>
        <v>2950.8</v>
      </c>
      <c r="T25" s="2">
        <f>H25*20</f>
        <v>3003.3999999999996</v>
      </c>
      <c r="U25" s="14">
        <f t="shared" ref="U25" si="15">S25-T25</f>
        <v>-52.599999999999454</v>
      </c>
    </row>
    <row r="26" spans="1:2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>
        <v>24</v>
      </c>
      <c r="N26" s="12">
        <v>1.81</v>
      </c>
      <c r="O26" s="12">
        <v>1.93</v>
      </c>
      <c r="P26" s="12"/>
      <c r="Q26" s="12"/>
      <c r="R26" s="12"/>
      <c r="S26" s="12"/>
      <c r="T26" s="12"/>
      <c r="U26" s="12"/>
    </row>
    <row r="27" spans="1:21" x14ac:dyDescent="0.3">
      <c r="A27" s="1" t="s">
        <v>85</v>
      </c>
      <c r="B27" s="2" t="s">
        <v>86</v>
      </c>
      <c r="C27" s="2"/>
      <c r="D27" s="2">
        <v>9.57</v>
      </c>
      <c r="E27" s="2">
        <v>2.64</v>
      </c>
      <c r="F27" s="2">
        <v>0.02</v>
      </c>
      <c r="G27" s="2">
        <v>3.46E-3</v>
      </c>
      <c r="H27" s="2">
        <v>4.08</v>
      </c>
      <c r="I27" s="2">
        <v>1.17</v>
      </c>
      <c r="J27" s="2">
        <v>0.86</v>
      </c>
      <c r="K27" s="2">
        <v>5.8999999999999999E-3</v>
      </c>
      <c r="L27" s="2">
        <v>5.8999999999999999E-3</v>
      </c>
      <c r="M27" s="2">
        <v>1.6E-2</v>
      </c>
      <c r="N27" s="2">
        <v>3.24</v>
      </c>
      <c r="O27" s="2">
        <v>4.7699999999999996</v>
      </c>
      <c r="P27" s="2"/>
      <c r="Q27" s="2"/>
      <c r="R27" s="2"/>
      <c r="S27" s="2"/>
      <c r="T27" s="2"/>
      <c r="U27" s="2"/>
    </row>
    <row r="28" spans="1:21" x14ac:dyDescent="0.3">
      <c r="L28" t="s">
        <v>87</v>
      </c>
      <c r="P28" t="s">
        <v>52</v>
      </c>
      <c r="S28" t="s">
        <v>52</v>
      </c>
    </row>
    <row r="29" spans="1:21" x14ac:dyDescent="0.3">
      <c r="A29" t="s">
        <v>53</v>
      </c>
      <c r="P29" t="s">
        <v>54</v>
      </c>
      <c r="S29" t="s">
        <v>54</v>
      </c>
    </row>
    <row r="30" spans="1:21" x14ac:dyDescent="0.3">
      <c r="A30" t="s">
        <v>55</v>
      </c>
    </row>
    <row r="31" spans="1:21" x14ac:dyDescent="0.3">
      <c r="A31" t="s">
        <v>56</v>
      </c>
    </row>
    <row r="32" spans="1:21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</sheetData>
  <mergeCells count="17">
    <mergeCell ref="S2:T2"/>
    <mergeCell ref="G2:G3"/>
    <mergeCell ref="I2:J2"/>
    <mergeCell ref="K2:K3"/>
    <mergeCell ref="M2:M3"/>
    <mergeCell ref="N2:O2"/>
    <mergeCell ref="P2:Q2"/>
    <mergeCell ref="D1:F1"/>
    <mergeCell ref="H1:J1"/>
    <mergeCell ref="M1:O1"/>
    <mergeCell ref="P1:R1"/>
    <mergeCell ref="S1:U1"/>
    <mergeCell ref="A2:A3"/>
    <mergeCell ref="B2:B3"/>
    <mergeCell ref="C2:C3"/>
    <mergeCell ref="D2:D3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W26 G26</vt:lpstr>
      <vt:lpstr>W27 G27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bernadet</dc:creator>
  <cp:lastModifiedBy>olga bernadet</cp:lastModifiedBy>
  <dcterms:created xsi:type="dcterms:W3CDTF">2021-06-29T11:04:05Z</dcterms:created>
  <dcterms:modified xsi:type="dcterms:W3CDTF">2021-06-29T11:05:36Z</dcterms:modified>
</cp:coreProperties>
</file>