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theme/theme1.xml" ContentType="application/vnd.openxmlformats-officedocument.theme+xml"/>
  <Override PartName="/xl/drawings/drawing6.xml" ContentType="application/vnd.openxmlformats-officedocument.drawing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  <Override PartName="/xl/charts/style11.xml" ContentType="application/vnd.ms-office.chartstyle+xml"/>
  <Override PartName="/xl/worksheets/sheet13.xml" ContentType="application/vnd.openxmlformats-officedocument.spreadsheetml.worksheet+xml"/>
  <Override PartName="/xl/charts/style10.xml" ContentType="application/vnd.ms-office.chartstyle+xml"/>
  <Override PartName="/xl/charts/style9.xml" ContentType="application/vnd.ms-office.chartstyle+xml"/>
  <Override PartName="/xl/charts/chart9.xml" ContentType="application/vnd.openxmlformats-officedocument.drawingml.chart+xml"/>
  <Override PartName="/xl/charts/style8.xml" ContentType="application/vnd.ms-office.chart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olors9.xml" ContentType="application/vnd.ms-office.chartcolorstyle+xml"/>
  <Override PartName="/xl/charts/chart6.xml" ContentType="application/vnd.openxmlformats-officedocument.drawingml.chart+xml"/>
  <Override PartName="/xl/styles.xml" ContentType="application/vnd.openxmlformats-officedocument.spreadsheetml.styles+xml"/>
  <Override PartName="/xl/charts/style5.xml" ContentType="application/vnd.ms-office.chartstyle+xml"/>
  <Override PartName="/xl/charts/colors8.xml" ContentType="application/vnd.ms-office.chartcolorstyle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colors11.xml" ContentType="application/vnd.ms-office.chartcolorstyle+xml"/>
  <Override PartName="/xl/charts/chart3.xml" ContentType="application/vnd.openxmlformats-officedocument.drawingml.chart+xml"/>
  <Override PartName="/xl/charts/chart1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0.xml" ContentType="application/vnd.openxmlformats-officedocument.drawingml.chart+xml"/>
  <Override PartName="/xl/worksheets/sheet8.xml" ContentType="application/vnd.openxmlformats-officedocument.spreadsheetml.worksheet+xml"/>
  <Override PartName="/xl/charts/colors4.xml" ContentType="application/vnd.ms-office.chartcolorstyle+xml"/>
  <Override PartName="/xl/charts/style4.xml" ContentType="application/vnd.ms-office.chartstyle+xml"/>
  <Override PartName="/xl/charts/chart2.xml" ContentType="application/vnd.openxmlformats-officedocument.drawingml.chart+xml"/>
  <Override PartName="/xl/charts/colors7.xml" ContentType="application/vnd.ms-office.chartcolorsty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worksheets/sheet10.xml" ContentType="application/vnd.openxmlformats-officedocument.spreadsheetml.worksheet+xml"/>
  <Override PartName="/xl/charts/chart4.xml" ContentType="application/vnd.openxmlformats-officedocument.drawingml.chart+xml"/>
  <Override PartName="/xl/charts/colors1.xml" ContentType="application/vnd.ms-office.chartcolorstyle+xml"/>
  <Override PartName="/xl/charts/chart1.xml" ContentType="application/vnd.openxmlformats-officedocument.drawingml.chart+xml"/>
  <Override PartName="/xl/charts/colors10.xml" ContentType="application/vnd.ms-office.chartcolorstyle+xml"/>
  <Override PartName="/xl/charts/colors5.xml" ContentType="application/vnd.ms-office.chartcolorstyle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5"/>
  </bookViews>
  <sheets>
    <sheet name="Temperatuurid" sheetId="1" state="visible" r:id="rId1"/>
    <sheet name="Helitasemed" sheetId="2" state="visible" r:id="rId2"/>
    <sheet name="Pinged" sheetId="3" state="visible" r:id="rId3"/>
    <sheet name="Risttahukad" sheetId="4" state="visible" r:id="rId4"/>
    <sheet name="Kukkumised" sheetId="5" state="visible" r:id="rId5"/>
    <sheet name="Reaktsiooniaeg" sheetId="6" state="visible" r:id="rId6"/>
    <sheet name="Radioaktiivse aine lagunemine" sheetId="7" state="visible" r:id="rId7"/>
    <sheet name="Vanused" sheetId="8" state="visible" r:id="rId8"/>
    <sheet name="Vaskjuhe" sheetId="9" state="visible" r:id="rId9"/>
    <sheet name="Regressioon" sheetId="10" state="visible" r:id="rId10"/>
    <sheet name="Sademed" sheetId="11" state="visible" r:id="rId11"/>
    <sheet name="Hõbedalahus" sheetId="12" state="visible" r:id="rId12"/>
    <sheet name="Fotodiood" sheetId="13" state="visible" r:id="rId13"/>
  </sheets>
  <calcPr/>
</workbook>
</file>

<file path=xl/sharedStrings.xml><?xml version="1.0" encoding="utf-8"?>
<sst xmlns="http://schemas.openxmlformats.org/spreadsheetml/2006/main" count="177" uniqueCount="177">
  <si>
    <t xml:space="preserve">Temperatuur 1 (°C)</t>
  </si>
  <si>
    <t xml:space="preserve">Erinevus keskmisest</t>
  </si>
  <si>
    <t xml:space="preserve">Erinevuste ruudud</t>
  </si>
  <si>
    <t xml:space="preserve">Temperatuur 2 (°C)</t>
  </si>
  <si>
    <t>summa</t>
  </si>
  <si>
    <t>andmeid</t>
  </si>
  <si>
    <t>keskmine</t>
  </si>
  <si>
    <t xml:space="preserve">keskmine funktsiooniga</t>
  </si>
  <si>
    <t>stdeva</t>
  </si>
  <si>
    <t xml:space="preserve">keskmine standardhälve</t>
  </si>
  <si>
    <t>mõõtemääramatus</t>
  </si>
  <si>
    <t xml:space="preserve">Vee keemistemperatuur on 99.8 +- 1.2 95% usaldatavusega.</t>
  </si>
  <si>
    <t>Start</t>
  </si>
  <si>
    <t xml:space="preserve">Inimesi ruumis</t>
  </si>
  <si>
    <t>Ruum</t>
  </si>
  <si>
    <t>A213</t>
  </si>
  <si>
    <t>M225</t>
  </si>
  <si>
    <t>T223</t>
  </si>
  <si>
    <t>Üldtingimused</t>
  </si>
  <si>
    <t xml:space="preserve">kaks laeventikat mürisevad</t>
  </si>
  <si>
    <t xml:space="preserve">projektor mühiseb</t>
  </si>
  <si>
    <t xml:space="preserve">26 lauaarvutit mühisevad</t>
  </si>
  <si>
    <t>Katse</t>
  </si>
  <si>
    <t xml:space="preserve">Heli intensiivsus (db)</t>
  </si>
  <si>
    <t xml:space="preserve">Keskmine intensiivsus</t>
  </si>
  <si>
    <t xml:space="preserve">Intensiivsuse standardhälve</t>
  </si>
  <si>
    <t xml:space="preserve">üksikmõõtmise standardhälve</t>
  </si>
  <si>
    <t xml:space="preserve">Keskmine standardhälve</t>
  </si>
  <si>
    <t>Mõõtemääramatus</t>
  </si>
  <si>
    <t xml:space="preserve">objekt, keskkond, protsessist tingitud mõõtemääramatus</t>
  </si>
  <si>
    <t xml:space="preserve">Heli intensiivsus tõenäosusega 95 %</t>
  </si>
  <si>
    <t xml:space="preserve">95-% usaldatavusega tegeliku väärtuse alampiir</t>
  </si>
  <si>
    <t xml:space="preserve">95-% usaldatavusega tegeliku väärtuse ülempiir</t>
  </si>
  <si>
    <t xml:space="preserve">Sobilikkus tööks</t>
  </si>
  <si>
    <t>jah</t>
  </si>
  <si>
    <t xml:space="preserve">U (V)</t>
  </si>
  <si>
    <t>Diginäidikuga</t>
  </si>
  <si>
    <t xml:space="preserve">antud kogumist maksimaalne</t>
  </si>
  <si>
    <t>Mõõteklass</t>
  </si>
  <si>
    <t>keskmisest</t>
  </si>
  <si>
    <t xml:space="preserve">võib ka maksimumist</t>
  </si>
  <si>
    <t xml:space="preserve">Mõõtepiirkond (V)</t>
  </si>
  <si>
    <t xml:space="preserve">nullist kaheni</t>
  </si>
  <si>
    <t xml:space="preserve">Vähim näit (V)</t>
  </si>
  <si>
    <t xml:space="preserve">Aritmeetiline keskmine</t>
  </si>
  <si>
    <t xml:space="preserve">Üksikmõõtmise standardhälve</t>
  </si>
  <si>
    <t xml:space="preserve">Aritmeetilise keskmise standardhälve</t>
  </si>
  <si>
    <t xml:space="preserve">A-tüüpi mõõtemääramatus</t>
  </si>
  <si>
    <t xml:space="preserve">Piirhälve (V)</t>
  </si>
  <si>
    <t xml:space="preserve">B1-tüüpi mõõtemääramatus</t>
  </si>
  <si>
    <t xml:space="preserve">pole vaja, kui eeldame, et mõõtetäpsus on väga hea</t>
  </si>
  <si>
    <t xml:space="preserve">B2-tüüpi mõõtemääramatus</t>
  </si>
  <si>
    <t xml:space="preserve">liiga väikesed arvud, et mõjutaksid</t>
  </si>
  <si>
    <t xml:space="preserve">B-tüüpi mõõtemääramatus</t>
  </si>
  <si>
    <t xml:space="preserve">mõõteseadme mõõtemääramatus</t>
  </si>
  <si>
    <t xml:space="preserve">Liitmääramatus (95 % usaldatavus)</t>
  </si>
  <si>
    <t>Vihk</t>
  </si>
  <si>
    <t xml:space="preserve">Pikkus (mm)</t>
  </si>
  <si>
    <t xml:space="preserve">Laius (mm)</t>
  </si>
  <si>
    <t xml:space="preserve">Kõrgus (mm)</t>
  </si>
  <si>
    <t xml:space="preserve">Ruumala (kuupmillimeetrites)</t>
  </si>
  <si>
    <t xml:space="preserve">Mõõtemääramatus ruumala jaoks (kuupmillimetrites)</t>
  </si>
  <si>
    <t xml:space="preserve">aritmeetiline keskmine</t>
  </si>
  <si>
    <t xml:space="preserve">vähim ühik (mm)</t>
  </si>
  <si>
    <t xml:space="preserve">piiriviga (mm)</t>
  </si>
  <si>
    <t>usaldatavus</t>
  </si>
  <si>
    <t xml:space="preserve">B-tüüpi mõõtemääramatus (mm)</t>
  </si>
  <si>
    <t xml:space="preserve">kaudsel meetodil, sest dimensioonide mõõtmiste kaudu</t>
  </si>
  <si>
    <t xml:space="preserve">Mõõtemääramatuste erinevus</t>
  </si>
  <si>
    <t xml:space="preserve">Keskmine ruumala (kuupmillimeetrites)</t>
  </si>
  <si>
    <t xml:space="preserve">Keskmine ruumala (kuupmeetrites)</t>
  </si>
  <si>
    <t xml:space="preserve">Ruumala määramise suhteline viga</t>
  </si>
  <si>
    <t xml:space="preserve">Kukkumise aeg t(s)</t>
  </si>
  <si>
    <t xml:space="preserve">Vaba langemise kiirendus (m / s ^ 2)</t>
  </si>
  <si>
    <t xml:space="preserve"> valemi järgi</t>
  </si>
  <si>
    <t xml:space="preserve">Vähim ühik (s)</t>
  </si>
  <si>
    <t xml:space="preserve">Piirhälve (s)</t>
  </si>
  <si>
    <t xml:space="preserve">digiseadme puhul võib ka mitte jagada kahega, vahel vaja korrutada pooleteisega</t>
  </si>
  <si>
    <t xml:space="preserve">B-tüüpi mõõtemääramatus (s)</t>
  </si>
  <si>
    <t xml:space="preserve">Liitmääramatus (s)</t>
  </si>
  <si>
    <t xml:space="preserve">Suhteline viga</t>
  </si>
  <si>
    <t xml:space="preserve">&lt;= 5%</t>
  </si>
  <si>
    <t xml:space="preserve">kehvasti sooritatud mõõtmised</t>
  </si>
  <si>
    <t xml:space="preserve">Kukkumise kõrgus (m)</t>
  </si>
  <si>
    <t xml:space="preserve">Studenti tegur</t>
  </si>
  <si>
    <t xml:space="preserve">Vaba langemise kiirendus antud katse põhjal</t>
  </si>
  <si>
    <t>Reageerija</t>
  </si>
  <si>
    <t xml:space="preserve">Kukkumise vahemaa h (cm)</t>
  </si>
  <si>
    <t xml:space="preserve">Kukkumise vahemaa h (m)</t>
  </si>
  <si>
    <t xml:space="preserve">Vahemaa ja keskmise vahe ruut (m ^ 2)</t>
  </si>
  <si>
    <t xml:space="preserve">Ajavahemiku ja keskmise ajavahemiku ruut (s ^ 2)</t>
  </si>
  <si>
    <t xml:space="preserve">peacecop kalmer:</t>
  </si>
  <si>
    <t>Elin</t>
  </si>
  <si>
    <t>birgit</t>
  </si>
  <si>
    <t>iTi</t>
  </si>
  <si>
    <t xml:space="preserve">berit sarap</t>
  </si>
  <si>
    <t>üldine</t>
  </si>
  <si>
    <t xml:space="preserve">üksikmõõtmiste standardhälve</t>
  </si>
  <si>
    <t xml:space="preserve">Määramatuste erinevussuhe</t>
  </si>
  <si>
    <t>Liitmääramatus</t>
  </si>
  <si>
    <t>Hinnang</t>
  </si>
  <si>
    <t xml:space="preserve">Määramise viga</t>
  </si>
  <si>
    <t>Klasse</t>
  </si>
  <si>
    <t>Miinimum</t>
  </si>
  <si>
    <t>Maksimum</t>
  </si>
  <si>
    <t xml:space="preserve">Maksimum - miinimum</t>
  </si>
  <si>
    <t xml:space="preserve">Klassi suurus</t>
  </si>
  <si>
    <t xml:space="preserve">Vanuse intervall</t>
  </si>
  <si>
    <t xml:space="preserve">Klassi ülemine piir</t>
  </si>
  <si>
    <t xml:space="preserve">Kumulatiivne esinemissagedus</t>
  </si>
  <si>
    <t xml:space="preserve">Lagunemiste arv (1 / s)</t>
  </si>
  <si>
    <t xml:space="preserve">Kordumiste arv ehk mõõtmistulemuste  esinemissagedus</t>
  </si>
  <si>
    <t xml:space="preserve">Suhteline esinemissagedus</t>
  </si>
  <si>
    <t xml:space="preserve">Suhteline kumulatiivne esinemissagedus</t>
  </si>
  <si>
    <t xml:space="preserve">Arv klassis</t>
  </si>
  <si>
    <t>7-9</t>
  </si>
  <si>
    <t>9.1-11</t>
  </si>
  <si>
    <t>11.1-13</t>
  </si>
  <si>
    <t>13.1-15</t>
  </si>
  <si>
    <t>15.1-17</t>
  </si>
  <si>
    <t xml:space="preserve">Andmete koguarv</t>
  </si>
  <si>
    <t xml:space="preserve">Klasside arv</t>
  </si>
  <si>
    <t>umbes</t>
  </si>
  <si>
    <t xml:space="preserve">lihtsam jagada kui kuuega</t>
  </si>
  <si>
    <t xml:space="preserve">Temperatuur (° C)</t>
  </si>
  <si>
    <t xml:space="preserve">Konstantse pikkusega vaskjuhtme takistus R(Ο)+/-.001Ο</t>
  </si>
  <si>
    <t xml:space="preserve">Takistuse muutumise kiirus (Ο)</t>
  </si>
  <si>
    <t xml:space="preserve">Takistus 0 ° C korral (Ο)</t>
  </si>
  <si>
    <t>α</t>
  </si>
  <si>
    <t>x</t>
  </si>
  <si>
    <t>y</t>
  </si>
  <si>
    <t xml:space="preserve">x * y</t>
  </si>
  <si>
    <t xml:space="preserve">x ^ 2</t>
  </si>
  <si>
    <t xml:space="preserve">y ^ 2</t>
  </si>
  <si>
    <t>Summa</t>
  </si>
  <si>
    <t>Andmeid</t>
  </si>
  <si>
    <t xml:space="preserve">Sirge tõus</t>
  </si>
  <si>
    <t xml:space="preserve">Sirge lõikepunkt y-teljega</t>
  </si>
  <si>
    <t xml:space="preserve">Pearsoni koefitsient</t>
  </si>
  <si>
    <t xml:space="preserve">ilma ruuduta</t>
  </si>
  <si>
    <t xml:space="preserve">Temperatuur (K)</t>
  </si>
  <si>
    <t xml:space="preserve">Radar Rain Rate (mm / h)</t>
  </si>
  <si>
    <t xml:space="preserve">Milline on mudeli põhjal vihma tugevus pilve temperatuuril 230 ja 180 K?</t>
  </si>
  <si>
    <t xml:space="preserve">Teha juurde lineaarse regressiooni graafik, märkida juurde i = -9560T+2009.147 ja r^2=.9</t>
  </si>
  <si>
    <t xml:space="preserve">I = 9.56+2009T</t>
  </si>
  <si>
    <t>I(180)=9.56+2009.18</t>
  </si>
  <si>
    <t>I(230)=9.56+2009.23</t>
  </si>
  <si>
    <t xml:space="preserve">Vihma hulga muutumise kiirus (mm / h / K)</t>
  </si>
  <si>
    <t xml:space="preserve">Temperatuur, mille korral 0 mm / h sademeid</t>
  </si>
  <si>
    <t xml:space="preserve">Lahuse kontsentratsioon (ng / ml) +/- .25 (ng / ml)</t>
  </si>
  <si>
    <t xml:space="preserve">Neelduvus (suhtelised ühikud) +/- 5 % näidust</t>
  </si>
  <si>
    <t xml:space="preserve">N = .025c+.012</t>
  </si>
  <si>
    <t>R^=.999</t>
  </si>
  <si>
    <t xml:space="preserve">Vaja teha selline graafik, mis algab nullist, st vabaliiget pole, seega intercept on 0</t>
  </si>
  <si>
    <t xml:space="preserve">error bars tuleb ka juurde lisada, error category constant value .25, sest see on kontsentratsiooni veamäär</t>
  </si>
  <si>
    <t xml:space="preserve">samuti tuleb error bars y jaoks teha, seal siis protsendimäär</t>
  </si>
  <si>
    <t>y=kx+b</t>
  </si>
  <si>
    <t>sigma_k</t>
  </si>
  <si>
    <t>k</t>
  </si>
  <si>
    <t>b</t>
  </si>
  <si>
    <t xml:space="preserve">k ja b</t>
  </si>
  <si>
    <t xml:space="preserve">Kui 0, siis võrdeline sõltuvus, kui 1, siis lineaarne. (const)</t>
  </si>
  <si>
    <t xml:space="preserve">sigma_k ja sigma_b</t>
  </si>
  <si>
    <t xml:space="preserve">Kui stats on 1, siis arvutatakse rohkem statistilisi väärtusi.</t>
  </si>
  <si>
    <t>R</t>
  </si>
  <si>
    <t xml:space="preserve">Fotodioodi pinge sõltuvus temperatuurist on toodud järgnevas tabelis.</t>
  </si>
  <si>
    <t xml:space="preserve">Joonistada graafikule sõltuvuse graafik koos veakastidega. Pinge mõõtemääramatuse leidmiseks tuleb arvestada, et mõõtmisi on sooritatud digitaalse mõõteriistaga, mille täpsus on 5%.</t>
  </si>
  <si>
    <t xml:space="preserve">Sellest saab leida piirihälbe ning seejärel mõõtemääramatuse 95 % usaldatavuse korral.</t>
  </si>
  <si>
    <t xml:space="preserve">Eeldades, et pinge sõltub temperatuurist lineaarselt, leida lineaarse regressiooni parameetrid koos veahinnanguga.</t>
  </si>
  <si>
    <t xml:space="preserve">T (°C) +/- .5 (°C)</t>
  </si>
  <si>
    <t>U=k*T+b</t>
  </si>
  <si>
    <t>sigma_b</t>
  </si>
  <si>
    <t>sigmad</t>
  </si>
  <si>
    <t>U=-.0025T+.679</t>
  </si>
  <si>
    <t xml:space="preserve">R^2 = .9647</t>
  </si>
  <si>
    <t xml:space="preserve">veakastid juurde teha!</t>
  </si>
  <si>
    <t xml:space="preserve">temperatuurid konstantsete väärtustega, pinged protsentväärtustega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</si>
</sst>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0" formatCode="0.0"/>
    <numFmt numFmtId="161" formatCode="yyyy/mm/dd h:mm:ss"/>
    <numFmt numFmtId="162" formatCode="0.00000"/>
    <numFmt numFmtId="163" formatCode="0.000"/>
    <numFmt numFmtId="164" formatCode="0.0000000"/>
    <numFmt numFmtId="165" formatCode="0.000000000"/>
    <numFmt numFmtId="166" formatCode="0.00000000"/>
    <numFmt numFmtId="167" formatCode="0.000000"/>
    <numFmt numFmtId="168" formatCode="0.000000%"/>
    <numFmt numFmtId="169" formatCode="0.0000"/>
  </numFmts>
  <fonts count="7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color rgb="FF9C6500"/>
      <sz val="11.000000"/>
      <scheme val="minor"/>
    </font>
    <font>
      <name val="Calibri"/>
      <color rgb="FF006100"/>
      <sz val="11.000000"/>
      <scheme val="minor"/>
    </font>
    <font>
      <name val="Calibri"/>
      <b/>
      <color theme="1"/>
      <sz val="11.000000"/>
      <scheme val="minor"/>
    </font>
    <font>
      <name val="Times New Roman"/>
      <b/>
      <sz val="12.000000"/>
    </font>
    <font>
      <name val="Times New Roman"/>
      <sz val="12.000000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 tint="0.79998168889431442"/>
        <bgColor theme="6" tint="0.79998168889431442"/>
      </patternFill>
    </fill>
    <fill/>
  </fills>
  <borders count="12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8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0" fillId="5" borderId="0" numFmtId="0" applyNumberFormat="0" applyFont="1" applyFill="1" applyBorder="0"/>
    <xf fontId="0" fillId="6" borderId="0" numFmtId="0" applyNumberFormat="0" applyFont="1" applyFill="1" applyBorder="0"/>
    <xf fontId="0" fillId="7" borderId="0" numFmtId="0" applyNumberFormat="0" applyFont="1" applyFill="1" applyBorder="0"/>
    <xf fontId="0" fillId="8" borderId="0" numFmtId="9" applyNumberFormat="1" applyFont="0" applyFill="0" applyBorder="0"/>
  </cellStyleXfs>
  <cellXfs count="109">
    <xf fontId="0" fillId="0" borderId="0" numFmtId="0" xfId="0"/>
    <xf fontId="0" fillId="0" borderId="0" numFmtId="0" xfId="0"/>
    <xf fontId="0" fillId="0" borderId="1" numFmtId="0" xfId="0" applyBorder="1"/>
    <xf fontId="0" fillId="0" borderId="0" numFmtId="160" xfId="0" applyNumberFormat="1"/>
    <xf fontId="0" fillId="0" borderId="0" numFmtId="2" xfId="0" applyNumberFormat="1"/>
    <xf fontId="4" fillId="0" borderId="2" numFmtId="0" xfId="0" applyFont="1" applyBorder="1"/>
    <xf fontId="0" fillId="0" borderId="0" numFmtId="161" xfId="0" applyNumberFormat="1"/>
    <xf fontId="0" fillId="0" borderId="3" numFmtId="161" xfId="0" applyNumberFormat="1" applyBorder="1"/>
    <xf fontId="0" fillId="0" borderId="3" numFmtId="0" xfId="0" applyBorder="1"/>
    <xf fontId="4" fillId="0" borderId="4" numFmtId="0" xfId="0" applyFont="1" applyBorder="1"/>
    <xf fontId="4" fillId="0" borderId="1" numFmtId="0" xfId="0" applyFont="1" applyBorder="1" applyAlignment="1">
      <alignment horizontal="center"/>
    </xf>
    <xf fontId="0" fillId="0" borderId="2" numFmtId="0" xfId="0" applyBorder="1"/>
    <xf fontId="0" fillId="0" borderId="4" numFmtId="0" xfId="0" applyBorder="1"/>
    <xf fontId="0" fillId="0" borderId="5" numFmtId="0" xfId="0" applyBorder="1"/>
    <xf fontId="0" fillId="0" borderId="3" numFmtId="160" xfId="0" applyNumberFormat="1" applyBorder="1"/>
    <xf fontId="0" fillId="0" borderId="0" numFmtId="1" xfId="0" applyNumberFormat="1"/>
    <xf fontId="0" fillId="0" borderId="3" numFmtId="2" xfId="0" applyNumberFormat="1" applyBorder="1"/>
    <xf fontId="4" fillId="0" borderId="1" numFmtId="0" xfId="0" applyFont="1" applyBorder="1"/>
    <xf fontId="0" fillId="7" borderId="2" numFmtId="0" xfId="6" applyFill="1" applyBorder="1"/>
    <xf fontId="0" fillId="7" borderId="0" numFmtId="0" xfId="6" applyFill="1"/>
    <xf fontId="2" fillId="3" borderId="2" numFmtId="10" xfId="2" applyNumberFormat="1" applyFont="1" applyFill="1" applyBorder="1"/>
    <xf fontId="2" fillId="3" borderId="3" numFmtId="10" xfId="2" applyNumberFormat="1" applyFont="1" applyFill="1" applyBorder="1"/>
    <xf fontId="2" fillId="3" borderId="0" numFmtId="0" xfId="2" applyFont="1" applyFill="1"/>
    <xf fontId="2" fillId="3" borderId="2" numFmtId="0" xfId="2" applyFont="1" applyFill="1" applyBorder="1"/>
    <xf fontId="2" fillId="3" borderId="3" numFmtId="0" xfId="2" applyFont="1" applyFill="1" applyBorder="1"/>
    <xf fontId="2" fillId="3" borderId="4" numFmtId="0" xfId="2" applyFont="1" applyFill="1" applyBorder="1"/>
    <xf fontId="2" fillId="3" borderId="5" numFmtId="0" xfId="2" applyFont="1" applyFill="1" applyBorder="1"/>
    <xf fontId="0" fillId="6" borderId="2" numFmtId="0" xfId="5" applyFill="1" applyBorder="1"/>
    <xf fontId="0" fillId="6" borderId="3" numFmtId="0" xfId="5" applyFill="1" applyBorder="1"/>
    <xf fontId="0" fillId="6" borderId="0" numFmtId="0" xfId="5" applyFill="1"/>
    <xf fontId="3" fillId="4" borderId="2" numFmtId="0" xfId="3" applyFont="1" applyFill="1" applyBorder="1"/>
    <xf fontId="3" fillId="4" borderId="0" numFmtId="0" xfId="3" applyFont="1" applyFill="1"/>
    <xf fontId="0" fillId="5" borderId="2" numFmtId="0" xfId="4" applyFill="1" applyBorder="1"/>
    <xf fontId="0" fillId="5" borderId="0" numFmtId="0" xfId="4" applyFill="1"/>
    <xf fontId="4" fillId="0" borderId="0" numFmtId="0" xfId="0" applyFont="1"/>
    <xf fontId="4" fillId="0" borderId="3" numFmtId="0" xfId="0" applyFont="1" applyBorder="1"/>
    <xf fontId="4" fillId="0" borderId="5" numFmtId="0" xfId="0" applyFont="1" applyBorder="1"/>
    <xf fontId="0" fillId="0" borderId="2" numFmtId="162" xfId="0" applyNumberFormat="1" applyBorder="1"/>
    <xf fontId="0" fillId="0" borderId="2" numFmtId="163" xfId="0" applyNumberFormat="1" applyBorder="1"/>
    <xf fontId="0" fillId="0" borderId="4" numFmtId="162" xfId="0" applyNumberFormat="1" applyBorder="1"/>
    <xf fontId="0" fillId="0" borderId="4" numFmtId="163" xfId="0" applyNumberFormat="1" applyBorder="1"/>
    <xf fontId="0" fillId="0" borderId="0" numFmtId="163" xfId="0" applyNumberFormat="1"/>
    <xf fontId="0" fillId="0" borderId="3" numFmtId="163" xfId="0" applyNumberFormat="1" applyBorder="1"/>
    <xf fontId="0" fillId="0" borderId="2" numFmtId="164" xfId="0" applyNumberFormat="1" applyBorder="1"/>
    <xf fontId="0" fillId="0" borderId="2" numFmtId="165" xfId="0" applyNumberFormat="1" applyBorder="1"/>
    <xf fontId="0" fillId="0" borderId="2" numFmtId="166" xfId="0" applyNumberFormat="1" applyBorder="1"/>
    <xf fontId="0" fillId="5" borderId="2" numFmtId="166" xfId="4" applyNumberFormat="1" applyFill="1" applyBorder="1"/>
    <xf fontId="0" fillId="0" borderId="0" numFmtId="9" xfId="0" applyNumberFormat="1"/>
    <xf fontId="4" fillId="0" borderId="0" numFmtId="163" xfId="0" applyNumberFormat="1" applyFont="1"/>
    <xf fontId="4" fillId="0" borderId="3" numFmtId="163" xfId="0" applyNumberFormat="1" applyFont="1" applyBorder="1"/>
    <xf fontId="4" fillId="0" borderId="2" numFmtId="163" xfId="0" applyNumberFormat="1" applyFont="1" applyBorder="1"/>
    <xf fontId="0" fillId="5" borderId="2" numFmtId="165" xfId="4" applyNumberFormat="1" applyFill="1" applyBorder="1"/>
    <xf fontId="0" fillId="5" borderId="4" numFmtId="167" xfId="4" applyNumberFormat="1" applyFill="1" applyBorder="1"/>
    <xf fontId="3" fillId="4" borderId="3" numFmtId="168" xfId="3" applyNumberFormat="1" applyFont="1" applyFill="1" applyBorder="1"/>
    <xf fontId="0" fillId="0" borderId="1" numFmtId="2" xfId="0" applyNumberFormat="1" applyBorder="1"/>
    <xf fontId="0" fillId="0" borderId="2" numFmtId="2" xfId="0" applyNumberFormat="1" applyBorder="1"/>
    <xf fontId="0" fillId="7" borderId="0" numFmtId="2" xfId="6" applyNumberFormat="1" applyFill="1"/>
    <xf fontId="0" fillId="5" borderId="2" numFmtId="2" xfId="4" applyNumberFormat="1" applyFill="1" applyBorder="1"/>
    <xf fontId="4" fillId="0" borderId="2" numFmtId="2" xfId="0" applyNumberFormat="1" applyFont="1" applyBorder="1"/>
    <xf fontId="4" fillId="0" borderId="0" numFmtId="2" xfId="0" applyNumberFormat="1" applyFont="1"/>
    <xf fontId="0" fillId="6" borderId="0" numFmtId="2" xfId="5" applyNumberFormat="1" applyFill="1"/>
    <xf fontId="4" fillId="7" borderId="0" numFmtId="0" xfId="6" applyFont="1" applyFill="1"/>
    <xf fontId="5" fillId="0" borderId="0" numFmtId="0" xfId="0" applyFont="1" applyAlignment="1">
      <alignment horizontal="left"/>
    </xf>
    <xf fontId="5" fillId="0" borderId="3" numFmtId="0" xfId="0" applyFont="1" applyBorder="1" applyAlignment="1">
      <alignment horizontal="left"/>
    </xf>
    <xf fontId="5" fillId="0" borderId="2" numFmtId="0" xfId="0" applyFont="1" applyBorder="1" applyAlignment="1">
      <alignment horizontal="left"/>
    </xf>
    <xf fontId="6" fillId="0" borderId="0" numFmtId="0" xfId="0" applyFont="1" applyAlignment="1">
      <alignment horizontal="left"/>
    </xf>
    <xf fontId="6" fillId="0" borderId="3" numFmtId="0" xfId="0" applyFont="1" applyBorder="1" applyAlignment="1">
      <alignment horizontal="left"/>
    </xf>
    <xf fontId="6" fillId="0" borderId="2" numFmtId="0" xfId="0" applyFont="1" applyBorder="1" applyAlignment="1">
      <alignment horizontal="left"/>
    </xf>
    <xf fontId="6" fillId="0" borderId="0" numFmtId="169" xfId="0" applyNumberFormat="1" applyFont="1" applyAlignment="1">
      <alignment horizontal="left"/>
    </xf>
    <xf fontId="6" fillId="0" borderId="0" numFmtId="163" xfId="0" applyNumberFormat="1" applyFont="1" applyAlignment="1">
      <alignment horizontal="left"/>
    </xf>
    <xf fontId="6" fillId="0" borderId="0" numFmtId="2" xfId="0" applyNumberFormat="1" applyFont="1" applyAlignment="1">
      <alignment horizontal="left"/>
    </xf>
    <xf fontId="6" fillId="0" borderId="5" numFmtId="0" xfId="0" applyFont="1" applyBorder="1" applyAlignment="1">
      <alignment horizontal="left"/>
    </xf>
    <xf fontId="6" fillId="0" borderId="1" numFmtId="169" xfId="0" applyNumberFormat="1" applyFont="1" applyBorder="1" applyAlignment="1">
      <alignment horizontal="left"/>
    </xf>
    <xf fontId="6" fillId="0" borderId="4" numFmtId="0" xfId="0" applyFont="1" applyBorder="1" applyAlignment="1">
      <alignment horizontal="left"/>
    </xf>
    <xf fontId="4" fillId="0" borderId="0" numFmtId="0" xfId="0" applyFont="1" applyAlignment="1">
      <alignment horizontal="right" textRotation="45" wrapText="1"/>
    </xf>
    <xf fontId="6" fillId="0" borderId="6" numFmtId="169" xfId="0" applyNumberFormat="1" applyFont="1" applyBorder="1" applyAlignment="1">
      <alignment horizontal="left"/>
    </xf>
    <xf fontId="6" fillId="0" borderId="5" numFmtId="169" xfId="0" applyNumberFormat="1" applyFont="1" applyBorder="1" applyAlignment="1">
      <alignment horizontal="left"/>
    </xf>
    <xf fontId="4" fillId="0" borderId="1" numFmtId="0" xfId="0" applyFont="1" applyBorder="1" applyAlignment="1">
      <alignment horizontal="right" textRotation="45" wrapText="1"/>
    </xf>
    <xf fontId="0" fillId="0" borderId="5" numFmtId="169" xfId="0" applyNumberFormat="1" applyBorder="1"/>
    <xf fontId="0" fillId="0" borderId="4" numFmtId="169" xfId="0" applyNumberFormat="1" applyBorder="1"/>
    <xf fontId="4" fillId="0" borderId="2" numFmtId="0" xfId="0" applyFont="1" applyBorder="1" applyAlignment="1">
      <alignment horizontal="right" textRotation="45" wrapText="1"/>
    </xf>
    <xf fontId="0" fillId="0" borderId="2" numFmtId="167" xfId="0" applyNumberFormat="1" applyBorder="1"/>
    <xf fontId="4" fillId="0" borderId="4" numFmtId="0" xfId="0" applyFont="1" applyBorder="1" applyAlignment="1">
      <alignment horizontal="right" textRotation="45" wrapText="1"/>
    </xf>
    <xf fontId="0" fillId="0" borderId="4" numFmtId="167" xfId="0" applyNumberFormat="1" applyBorder="1"/>
    <xf fontId="0" fillId="0" borderId="7" numFmtId="162" xfId="0" applyNumberFormat="1" applyBorder="1"/>
    <xf fontId="0" fillId="0" borderId="8" numFmtId="162" xfId="0" applyNumberFormat="1" applyBorder="1"/>
    <xf fontId="0" fillId="0" borderId="3" numFmtId="162" xfId="0" applyNumberFormat="1" applyBorder="1"/>
    <xf fontId="0" fillId="0" borderId="9" numFmtId="162" xfId="0" applyNumberFormat="1" applyBorder="1"/>
    <xf fontId="0" fillId="0" borderId="5" numFmtId="162" xfId="0" applyNumberFormat="1" applyBorder="1"/>
    <xf fontId="5" fillId="0" borderId="1" numFmtId="0" xfId="0" applyFont="1" applyBorder="1" applyAlignment="1">
      <alignment horizontal="left"/>
    </xf>
    <xf fontId="0" fillId="0" borderId="1" numFmtId="167" xfId="0" applyNumberFormat="1" applyBorder="1"/>
    <xf fontId="0" fillId="0" borderId="8" numFmtId="169" xfId="0" applyNumberFormat="1" applyBorder="1"/>
    <xf fontId="0" fillId="0" borderId="3" numFmtId="169" xfId="0" applyNumberFormat="1" applyBorder="1"/>
    <xf fontId="0" fillId="0" borderId="1" numFmtId="162" xfId="0" applyNumberFormat="1" applyBorder="1"/>
    <xf fontId="4" fillId="7" borderId="6" numFmtId="0" xfId="6" applyFont="1" applyFill="1" applyBorder="1"/>
    <xf fontId="4" fillId="0" borderId="6" numFmtId="0" xfId="0" applyFont="1" applyBorder="1"/>
    <xf fontId="0" fillId="0" borderId="6" numFmtId="0" xfId="0" applyBorder="1"/>
    <xf fontId="4" fillId="7" borderId="6" numFmtId="1" xfId="6" applyNumberFormat="1" applyFont="1" applyFill="1" applyBorder="1"/>
    <xf fontId="0" fillId="0" borderId="10" numFmtId="0" xfId="0" applyBorder="1"/>
    <xf fontId="0" fillId="0" borderId="10" numFmtId="162" xfId="0" applyNumberFormat="1" applyBorder="1"/>
    <xf fontId="4" fillId="7" borderId="6" numFmtId="169" xfId="6" applyNumberFormat="1" applyFont="1" applyFill="1" applyBorder="1"/>
    <xf fontId="0" fillId="0" borderId="11" numFmtId="0" xfId="0" applyBorder="1"/>
    <xf fontId="0" fillId="0" borderId="8" numFmtId="0" xfId="0" applyBorder="1"/>
    <xf fontId="4" fillId="0" borderId="2" numFmtId="49" xfId="0" applyNumberFormat="1" applyFont="1" applyBorder="1" applyAlignment="1" quotePrefix="1">
      <alignment horizontal="right"/>
    </xf>
    <xf fontId="4" fillId="0" borderId="2" numFmtId="49" xfId="0" applyNumberFormat="1" applyFont="1" applyBorder="1" applyAlignment="1">
      <alignment horizontal="right"/>
    </xf>
    <xf fontId="0" fillId="0" borderId="0" numFmtId="0" xfId="0" applyAlignment="1">
      <alignment horizontal="right"/>
    </xf>
    <xf fontId="0" fillId="0" borderId="0" numFmtId="164" xfId="0" applyNumberFormat="1"/>
    <xf fontId="0" fillId="0" borderId="0" numFmtId="169" xfId="0" applyNumberFormat="1"/>
    <xf fontId="0" fillId="0" borderId="0" numFmtId="167" xfId="0" applyNumberFormat="1"/>
  </cellXfs>
  <cellStyles count="8">
    <cellStyle name="Normal" xfId="0" builtinId="0"/>
    <cellStyle name="Bad" xfId="1" builtinId="27"/>
    <cellStyle name="Neutral" xfId="2" builtinId="28"/>
    <cellStyle name="Good" xfId="3" builtinId="26"/>
    <cellStyle name="20% - Accent1" xfId="4" builtinId="30"/>
    <cellStyle name="20% - Accent2" xfId="5" builtinId="34"/>
    <cellStyle name="20% - Accent3" xfId="6" builtinId="38"/>
    <cellStyle name="Percent" xfId="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0" Type="http://schemas.openxmlformats.org/officeDocument/2006/relationships/worksheet" Target="worksheets/sheet10.xml"/><Relationship  Id="rId15" Type="http://schemas.openxmlformats.org/officeDocument/2006/relationships/sharedStrings" Target="sharedStrings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16" Type="http://schemas.openxmlformats.org/officeDocument/2006/relationships/styles" Target="styles.xml"/><Relationship  Id="rId4" Type="http://schemas.openxmlformats.org/officeDocument/2006/relationships/worksheet" Target="worksheets/sheet4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style7.xml" /><Relationship Id="rId2" Type="http://schemas.microsoft.com/office/2011/relationships/chartColorStyle" Target="colors7.xml" 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style8.xml" /><Relationship Id="rId2" Type="http://schemas.microsoft.com/office/2011/relationships/chartColorStyle" Target="colors8.xml" 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style9.xml" /><Relationship Id="rId2" Type="http://schemas.microsoft.com/office/2011/relationships/chartColorStyle" Target="colors9.xml" 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style10.xml" /><Relationship Id="rId2" Type="http://schemas.microsoft.com/office/2011/relationships/chartColorStyle" Target="colors10.xml" /></Relationships>
</file>

<file path=xl/charts/_rels/chart11.xml.rels><?xml version="1.0" encoding="UTF-8" standalone="yes"?><Relationships xmlns="http://schemas.openxmlformats.org/package/2006/relationships"><Relationship Id="rId1" Type="http://schemas.microsoft.com/office/2011/relationships/chartStyle" Target="style11.xml" /><Relationship Id="rId2" Type="http://schemas.microsoft.com/office/2011/relationships/chartColorStyle" Target="colors1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Kukkumiste kestused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2"/>
          <c:order val="0"/>
          <c:tx>
            <c:strRef>
              <c:f>Reaktsiooniaeg!$D$175</c:f>
              <c:strCache>
                <c:ptCount val="1"/>
                <c:pt idx="0">
                  <c:v xml:space="preserve">Kukkumise aeg t(s)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f>Reaktsiooniaeg!$A$176:$A$186</c:f>
              <c:strCache>
                <c:ptCount val="11"/>
                <c:pt idx="0">
                  <c:v xml:space="preserve">.05 - .07</c:v>
                </c:pt>
                <c:pt idx="1">
                  <c:v xml:space="preserve">.08 - .09</c:v>
                </c:pt>
                <c:pt idx="2">
                  <c:v xml:space="preserve">.1 - .11</c:v>
                </c:pt>
                <c:pt idx="3">
                  <c:v xml:space="preserve">.12 - .13</c:v>
                </c:pt>
                <c:pt idx="4">
                  <c:v xml:space="preserve">.14 - .15</c:v>
                </c:pt>
                <c:pt idx="5">
                  <c:v xml:space="preserve">.16 - .17</c:v>
                </c:pt>
                <c:pt idx="6">
                  <c:v xml:space="preserve">.18 - .19</c:v>
                </c:pt>
                <c:pt idx="7">
                  <c:v xml:space="preserve">.2 - .21</c:v>
                </c:pt>
                <c:pt idx="8">
                  <c:v xml:space="preserve">.22 - .23</c:v>
                </c:pt>
                <c:pt idx="9">
                  <c:v xml:space="preserve">.24 - .25</c:v>
                </c:pt>
                <c:pt idx="10">
                  <c:v xml:space="preserve">.26 - .27</c:v>
                </c:pt>
              </c:strCache>
            </c:strRef>
          </c:cat>
          <c:val>
            <c:numRef>
              <c:f>Reaktsiooniaeg!$D$176:$D$186</c:f>
              <c:numCache>
                <c:formatCode>General</c:formatCode>
                <c:ptCount val="11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5</c:v>
                </c:pt>
                <c:pt idx="5">
                  <c:v>8</c:v>
                </c:pt>
                <c:pt idx="6">
                  <c:v>27</c:v>
                </c:pt>
                <c:pt idx="7">
                  <c:v>28</c:v>
                </c:pt>
                <c:pt idx="8">
                  <c:v>23</c:v>
                </c:pt>
                <c:pt idx="9">
                  <c:v>25</c:v>
                </c:pt>
                <c:pt idx="10">
                  <c:v>9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6"/>
        <c:axId val="2140841490"/>
        <c:axId val="2140841491"/>
      </c:barChart>
      <c:catAx>
        <c:axId val="2140841490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/>
                  <a:t>Kukkumise kestus (s)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841491"/>
        <c:crosses val="autoZero"/>
        <c:auto val="1"/>
        <c:lblAlgn val="ctr"/>
        <c:lblOffset val="100"/>
        <c:tickMarkSkip val="1"/>
        <c:noMultiLvlLbl val="0"/>
      </c:catAx>
      <c:valAx>
        <c:axId val="2140841491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/>
                  <a:t>Testituid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841490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7291387" y="32723137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Kukkumiste kestused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2"/>
          <c:order val="0"/>
          <c:tx>
            <c:strRef>
              <c:f>Reaktsiooniaeg!$D$193</c:f>
              <c:strCache>
                <c:ptCount val="1"/>
                <c:pt idx="0">
                  <c:v xml:space="preserve">Kukkumise aeg t(s)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f>Reaktsiooniaeg!$A$194:$A$199</c:f>
              <c:strCache>
                <c:ptCount val="6"/>
                <c:pt idx="0">
                  <c:v xml:space="preserve">. - .08</c:v>
                </c:pt>
                <c:pt idx="1">
                  <c:v xml:space="preserve">.09 - .12</c:v>
                </c:pt>
                <c:pt idx="2">
                  <c:v xml:space="preserve">.13 - .16</c:v>
                </c:pt>
                <c:pt idx="3">
                  <c:v xml:space="preserve">.17 - .2</c:v>
                </c:pt>
                <c:pt idx="4">
                  <c:v xml:space="preserve">.21 - .23</c:v>
                </c:pt>
                <c:pt idx="5">
                  <c:v xml:space="preserve">.24 - .27</c:v>
                </c:pt>
              </c:strCache>
            </c:strRef>
          </c:cat>
          <c:val>
            <c:numRef>
              <c:f>Reaktsiooniaeg!$D$194:$D$199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9</c:v>
                </c:pt>
                <c:pt idx="3">
                  <c:v>42</c:v>
                </c:pt>
                <c:pt idx="4">
                  <c:v>44</c:v>
                </c:pt>
                <c:pt idx="5">
                  <c:v>31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6"/>
        <c:axId val="2140841499"/>
        <c:axId val="2140841500"/>
      </c:barChart>
      <c:catAx>
        <c:axId val="2140841499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/>
                  <a:t>Kukkumise kestus (s)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841500"/>
        <c:crosses val="autoZero"/>
        <c:auto val="1"/>
        <c:lblAlgn val="ctr"/>
        <c:lblOffset val="100"/>
        <c:tickMarkSkip val="1"/>
        <c:noMultiLvlLbl val="0"/>
      </c:catAx>
      <c:valAx>
        <c:axId val="214084150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/>
                  <a:t>Testituid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84149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7291387" y="35999737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>
        <c:manualLayout>
          <c:x val="0.0083599999999999994"/>
          <c:y val="0.0104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.094049999999999995"/>
          <c:y val="0.27771000000000001"/>
          <c:w val="0.87875000000000003"/>
          <c:h val="0.5429199999999999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 xml:space="preserve">'Radioaktiivse aine lagunemine'!$B$1</c:f>
              <c:strCache>
                <c:ptCount val="1"/>
                <c:pt idx="0">
                  <c:v xml:space="preserve">Kordumiste arv mõõtmistulemuste s f_i ehk esinemissagedus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val>
            <c:numRef>
              <c:f xml:space="preserve">'Radioaktiivse aine lagunemine'!$B$2:$B$14</c:f>
              <c:numCache>
                <c:formatCode>General</c:formatCode>
                <c:ptCount val="13"/>
                <c:pt idx="0">
                  <c:v>47</c:v>
                </c:pt>
                <c:pt idx="1">
                  <c:v>152</c:v>
                </c:pt>
                <c:pt idx="2">
                  <c:v>221</c:v>
                </c:pt>
                <c:pt idx="3">
                  <c:v>233</c:v>
                </c:pt>
                <c:pt idx="4">
                  <c:v>160</c:v>
                </c:pt>
                <c:pt idx="5">
                  <c:v>105</c:v>
                </c:pt>
                <c:pt idx="6">
                  <c:v>51</c:v>
                </c:pt>
                <c:pt idx="7">
                  <c:v>17</c:v>
                </c:pt>
                <c:pt idx="8">
                  <c:v>10</c:v>
                </c:pt>
                <c:pt idx="9">
                  <c:v>5</c:v>
                </c:pt>
                <c:pt idx="10">
                  <c:v>3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6"/>
        <c:axId val="1866169488"/>
        <c:axId val="1866169489"/>
      </c:barChart>
      <c:catAx>
        <c:axId val="186616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489"/>
        <c:crosses val="autoZero"/>
        <c:auto val="1"/>
        <c:lblAlgn val="ctr"/>
        <c:lblOffset val="100"/>
        <c:tickMarkSkip val="1"/>
        <c:noMultiLvlLbl val="0"/>
      </c:catAx>
      <c:valAx>
        <c:axId val="1866169489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488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176212" y="2728912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1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-0.33615"/>
          <c:y val="0.089200000000000002"/>
          <c:w val="0.90193999999999996"/>
          <c:h val="0.7384199999999999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 xml:space="preserve">'Radioaktiivse aine lagunemine'!$D$1</c:f>
              <c:strCache>
                <c:ptCount val="1"/>
                <c:pt idx="0">
                  <c:v>Esinemissagedus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dLbls>
            <c:dLblPos val="ctr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 xml:space="preserve">'Radioaktiivse aine lagunemine'!$D$2:$D$14</c:f>
              <c:numCache>
                <c:formatCode>0.000</c:formatCode>
                <c:ptCount val="13"/>
                <c:pt idx="0">
                  <c:v>0.046766169154228855</c:v>
                </c:pt>
                <c:pt idx="1">
                  <c:v>0.15124378109452735</c:v>
                </c:pt>
                <c:pt idx="2">
                  <c:v>0.21990049751243781</c:v>
                </c:pt>
                <c:pt idx="3">
                  <c:v>0.23184079601990049</c:v>
                </c:pt>
                <c:pt idx="4">
                  <c:v>0.15920398009950248</c:v>
                </c:pt>
                <c:pt idx="5">
                  <c:v>0.1044776119402985</c:v>
                </c:pt>
                <c:pt idx="6">
                  <c:v>0.050746268656716415</c:v>
                </c:pt>
                <c:pt idx="7">
                  <c:v>0.01691542288557214</c:v>
                </c:pt>
                <c:pt idx="8">
                  <c:v>0.009950248756218905</c:v>
                </c:pt>
                <c:pt idx="9">
                  <c:v>0.004975124378109453</c:v>
                </c:pt>
                <c:pt idx="10">
                  <c:v>0.0029850746268656717</c:v>
                </c:pt>
                <c:pt idx="11">
                  <c:v>0.0009950248756218905</c:v>
                </c:pt>
                <c:pt idx="12">
                  <c:v>0</c:v>
                </c:pt>
              </c:numCache>
            </c:numRef>
          </c:val>
        </c:ser>
        <c:dLbls>
          <c:dLblPos val="ctr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gapWidth val="219"/>
        <c:overlap val="-26"/>
        <c:axId val="1866169514"/>
        <c:axId val="1866169515"/>
      </c:barChart>
      <c:catAx>
        <c:axId val="186616951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515"/>
        <c:crosses val="autoZero"/>
        <c:auto val="1"/>
        <c:lblAlgn val="ctr"/>
        <c:lblOffset val="100"/>
        <c:tickMarkSkip val="1"/>
        <c:noMultiLvlLbl val="0"/>
      </c:catAx>
      <c:valAx>
        <c:axId val="1866169515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514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4833937" y="2814637"/>
      <a:ext cx="3776662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1"/>
          <c:order val="0"/>
          <c:tx>
            <c:strRef>
              <c:f xml:space="preserve">'Radioaktiivse aine lagunemine'!$E$1</c:f>
              <c:strCache>
                <c:ptCount val="1"/>
                <c:pt idx="0">
                  <c:v xml:space="preserve">Suhteline kumulatiivne esinemissagedus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val>
            <c:numRef>
              <c:f xml:space="preserve">'Radioaktiivse aine lagunemine'!$E$2:$E$14</c:f>
              <c:numCache>
                <c:formatCode>0.000</c:formatCode>
                <c:ptCount val="13"/>
                <c:pt idx="0">
                  <c:v>0.046766169154228855</c:v>
                </c:pt>
                <c:pt idx="1">
                  <c:v>0.19800995024875623</c:v>
                </c:pt>
                <c:pt idx="2">
                  <c:v>0.417910447761194</c:v>
                </c:pt>
                <c:pt idx="3">
                  <c:v>0.6497512437810945</c:v>
                </c:pt>
                <c:pt idx="4">
                  <c:v>0.808955223880597</c:v>
                </c:pt>
                <c:pt idx="5">
                  <c:v>0.9134328358208955</c:v>
                </c:pt>
                <c:pt idx="6">
                  <c:v>0.9641791044776119</c:v>
                </c:pt>
                <c:pt idx="7">
                  <c:v>0.981094527363184</c:v>
                </c:pt>
                <c:pt idx="8">
                  <c:v>0.991044776119403</c:v>
                </c:pt>
                <c:pt idx="9">
                  <c:v>0.9960199004975124</c:v>
                </c:pt>
                <c:pt idx="10">
                  <c:v>0.9990049751243781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6"/>
        <c:axId val="1866169527"/>
        <c:axId val="1866169528"/>
      </c:barChart>
      <c:catAx>
        <c:axId val="1866169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528"/>
        <c:crosses val="autoZero"/>
        <c:auto val="1"/>
        <c:lblAlgn val="ctr"/>
        <c:lblOffset val="100"/>
        <c:tickMarkSkip val="1"/>
        <c:noMultiLvlLbl val="0"/>
      </c:catAx>
      <c:valAx>
        <c:axId val="1866169528"/>
        <c:scaling>
          <c:orientation val="minMax"/>
          <c:max val="1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52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9063037" y="3005137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1"/>
          <c:order val="0"/>
          <c:tx>
            <c:strRef>
              <c:f>Vanused!$H$1</c:f>
              <c:strCache>
                <c:ptCount val="1"/>
                <c:pt idx="0">
                  <c:v xml:space="preserve">Arv klassis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Vanused!$E$2:$E$6</c:f>
              <c:strCache>
                <c:ptCount val="5"/>
                <c:pt idx="0">
                  <c:v>7-9</c:v>
                </c:pt>
                <c:pt idx="1">
                  <c:v>9.1-11</c:v>
                </c:pt>
                <c:pt idx="2">
                  <c:v>11.1-13</c:v>
                </c:pt>
                <c:pt idx="3">
                  <c:v>13.1-15</c:v>
                </c:pt>
                <c:pt idx="4">
                  <c:v>15.1-17</c:v>
                </c:pt>
              </c:strCache>
            </c:strRef>
          </c:cat>
          <c:val>
            <c:numRef>
              <c:f>Vanused!$H$2:$H$6</c:f>
              <c:numCache>
                <c:formatCode>General</c:formatCode>
                <c:ptCount val="5"/>
                <c:pt idx="0">
                  <c:v>7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4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6"/>
        <c:axId val="1866169546"/>
        <c:axId val="1866169547"/>
      </c:barChart>
      <c:catAx>
        <c:axId val="186616954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547"/>
        <c:crosses val="autoZero"/>
        <c:auto val="1"/>
        <c:lblAlgn val="ctr"/>
        <c:lblOffset val="100"/>
        <c:tickMarkSkip val="1"/>
        <c:noMultiLvlLbl val="0"/>
      </c:catAx>
      <c:valAx>
        <c:axId val="1866169547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546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5129212" y="1643062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lineMarker"/>
        <c:varyColors val="0"/>
        <c:ser>
          <c:idx val="0"/>
          <c:order val="0"/>
          <c:tx>
            <c:strRef>
              <c:f>Vaskjuhe!$B$1</c:f>
              <c:strCache>
                <c:ptCount val="1"/>
                <c:pt idx="0">
                  <c:v xml:space="preserve">Konstantse pikkusega vaskjuhtme takistus R(Ο)+/-.001Ο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19050" cap="rnd">
              <a:solidFill>
                <a:schemeClr val="accent1"/>
              </a:solidFill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dLbls>
            <c:dLblPos val="b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strRef>
              <c:f>Vaskjuhe!$A$2:$A$7</c:f>
              <c:strCache>
                <c:ptCount val="6"/>
                <c:pt idx="0">
                  <c:v>8</c:v>
                </c:pt>
                <c:pt idx="1">
                  <c:v>16.5</c:v>
                </c:pt>
                <c:pt idx="2">
                  <c:v>23.5</c:v>
                </c:pt>
                <c:pt idx="3">
                  <c:v>32</c:v>
                </c:pt>
                <c:pt idx="4">
                  <c:v>40.4</c:v>
                </c:pt>
                <c:pt idx="5">
                  <c:v>54.5</c:v>
                </c:pt>
              </c:strCache>
            </c:strRef>
          </c:xVal>
          <c:yVal>
            <c:numRef>
              <c:f>Vaskjuhe!$B$2:$B$7</c:f>
              <c:numCache>
                <c:formatCode>General</c:formatCode>
                <c:ptCount val="6"/>
                <c:pt idx="0">
                  <c:v>0.208</c:v>
                </c:pt>
                <c:pt idx="1">
                  <c:v>0.213</c:v>
                </c:pt>
                <c:pt idx="2">
                  <c:v>0.222</c:v>
                </c:pt>
                <c:pt idx="3">
                  <c:v>0.229</c:v>
                </c:pt>
                <c:pt idx="4">
                  <c:v>0.232</c:v>
                </c:pt>
                <c:pt idx="5">
                  <c:v>0.243</c:v>
                </c:pt>
              </c:numCache>
            </c:numRef>
          </c:yVal>
          <c:smooth val="0"/>
        </c:ser>
        <c:dLbls>
          <c:dLblPos val="b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1866170457"/>
        <c:axId val="1866170458"/>
      </c:scatterChart>
      <c:valAx>
        <c:axId val="1866170457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70458"/>
        <c:crosses val="autoZero"/>
        <c:crossBetween val="between"/>
      </c:valAx>
      <c:valAx>
        <c:axId val="186617045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7045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5129212" y="1643062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lineMarker"/>
        <c:varyColors val="0"/>
        <c:ser>
          <c:idx val="0"/>
          <c:order val="0"/>
          <c:tx>
            <c:strRef>
              <c:f>Regressioon!$C$1</c:f>
              <c:strCache>
                <c:ptCount val="1"/>
                <c:pt idx="0">
                  <c:v>y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19050" cap="rnd">
              <a:solidFill>
                <a:schemeClr val="accent1"/>
              </a:solidFill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dLbls>
            <c:dLblPos val="ctr"/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strRef>
              <c:f>Regressioon!$B$2:$B$6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xVal>
          <c:yVal>
            <c:numRef>
              <c:f>Regressioon!$C$2:$C$6</c:f>
              <c:numCache>
                <c:formatCode>General</c:formatCode>
                <c:ptCount val="5"/>
                <c:pt idx="0">
                  <c:v>2.1</c:v>
                </c:pt>
                <c:pt idx="1">
                  <c:v>3.5</c:v>
                </c:pt>
                <c:pt idx="2">
                  <c:v>5.4</c:v>
                </c:pt>
                <c:pt idx="3">
                  <c:v>6.2</c:v>
                </c:pt>
                <c:pt idx="4">
                  <c:v>8.1</c:v>
                </c:pt>
              </c:numCache>
            </c:numRef>
          </c:yVal>
          <c:smooth val="0"/>
        </c:ser>
        <c:dLbls>
          <c:dLblPos val="ctr"/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1866169574"/>
        <c:axId val="1866169575"/>
      </c:scatterChart>
      <c:valAx>
        <c:axId val="1866169574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575"/>
        <c:crosses val="autoZero"/>
        <c:crossBetween val="between"/>
      </c:valAx>
      <c:valAx>
        <c:axId val="1866169575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866169574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5129212" y="161924"/>
      <a:ext cx="3748087" cy="58102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Vihma intensiivsus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 w="19050" cap="rnd">
              <a:solidFill>
                <a:schemeClr val="accent1"/>
              </a:solidFill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strRef>
              <c:f>Sademed!$A$2:$A$17</c:f>
              <c:strCache>
                <c:ptCount val="16"/>
                <c:pt idx="0">
                  <c:v>195</c:v>
                </c:pt>
                <c:pt idx="1">
                  <c:v>196</c:v>
                </c:pt>
                <c:pt idx="2">
                  <c:v>197</c:v>
                </c:pt>
                <c:pt idx="3">
                  <c:v>198</c:v>
                </c:pt>
                <c:pt idx="4">
                  <c:v>199</c:v>
                </c:pt>
                <c:pt idx="5">
                  <c:v>200</c:v>
                </c:pt>
                <c:pt idx="6">
                  <c:v>201</c:v>
                </c:pt>
                <c:pt idx="7">
                  <c:v>202</c:v>
                </c:pt>
                <c:pt idx="8">
                  <c:v>203</c:v>
                </c:pt>
                <c:pt idx="9">
                  <c:v>204</c:v>
                </c:pt>
                <c:pt idx="10">
                  <c:v>205</c:v>
                </c:pt>
                <c:pt idx="11">
                  <c:v>206</c:v>
                </c:pt>
                <c:pt idx="12">
                  <c:v>207</c:v>
                </c:pt>
                <c:pt idx="13">
                  <c:v>208</c:v>
                </c:pt>
                <c:pt idx="14">
                  <c:v>209</c:v>
                </c:pt>
                <c:pt idx="15">
                  <c:v>210</c:v>
                </c:pt>
              </c:strCache>
            </c:strRef>
          </c:xVal>
          <c:yVal>
            <c:numRef>
              <c:f>Sademed!$B$2:$B$17</c:f>
              <c:numCache>
                <c:formatCode>General</c:formatCode>
                <c:ptCount val="16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118</c:v>
                </c:pt>
                <c:pt idx="4">
                  <c:v>109</c:v>
                </c:pt>
                <c:pt idx="5">
                  <c:v>95</c:v>
                </c:pt>
                <c:pt idx="6">
                  <c:v>63</c:v>
                </c:pt>
                <c:pt idx="7">
                  <c:v>66</c:v>
                </c:pt>
                <c:pt idx="8">
                  <c:v>44</c:v>
                </c:pt>
                <c:pt idx="9">
                  <c:v>29</c:v>
                </c:pt>
                <c:pt idx="10">
                  <c:v>29</c:v>
                </c:pt>
                <c:pt idx="11">
                  <c:v>35</c:v>
                </c:pt>
                <c:pt idx="12">
                  <c:v>38</c:v>
                </c:pt>
                <c:pt idx="13">
                  <c:v>31</c:v>
                </c:pt>
                <c:pt idx="14">
                  <c:v>20</c:v>
                </c:pt>
                <c:pt idx="15">
                  <c:v>24</c:v>
                </c:pt>
              </c:numCache>
            </c:numRef>
          </c:yVal>
          <c:smooth val="1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axId val="2140841975"/>
        <c:axId val="2140841976"/>
      </c:scatterChart>
      <c:valAx>
        <c:axId val="2140841975"/>
        <c:scaling>
          <c:orientation val="minMax"/>
          <c:max val="230"/>
          <c:min val="180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/>
                  <a:t>Temperatuur (K)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841976"/>
        <c:crosses val="autoZero"/>
        <c:crossBetween val="between"/>
      </c:valAx>
      <c:valAx>
        <c:axId val="214084197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/>
                  <a:t>Vihma hulk (mm / h)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84197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showDLblsOverMax val="0"/>
  </c:chart>
  <c:spPr bwMode="auto">
    <a:xfrm>
      <a:off x="7043737" y="261937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Valge valguse neelduvus lahuses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1"/>
          <c:order val="0"/>
          <c:tx>
            <c:strRef>
              <c:f>Hõbedalahus!$C$1</c:f>
              <c:strCache>
                <c:ptCount val="1"/>
                <c:pt idx="0">
                  <c:v xml:space="preserve">Neelduvus (suhtelised ühikud) +/- 5 % näidust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2"/>
              </a:solidFill>
              <a:ln w="9525">
                <a:solidFill>
                  <a:schemeClr val="accent2"/>
                </a:solidFill>
              </a:ln>
            </c:spPr>
          </c:marker>
          <c:cat>
            <c:numRef>
              <c:f>Hõbedalahus!$B$2:$B$8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cat>
          <c:val>
            <c:numRef>
              <c:f>Hõbedalahus!$C$2:$C$8</c:f>
              <c:numCache>
                <c:formatCode>General</c:formatCode>
                <c:ptCount val="7"/>
                <c:pt idx="0">
                  <c:v>0.02</c:v>
                </c:pt>
                <c:pt idx="1">
                  <c:v>0.13</c:v>
                </c:pt>
                <c:pt idx="2">
                  <c:v>0.25</c:v>
                </c:pt>
                <c:pt idx="3">
                  <c:v>0.39</c:v>
                </c:pt>
                <c:pt idx="4">
                  <c:v>0.5</c:v>
                </c:pt>
                <c:pt idx="5">
                  <c:v>0.62</c:v>
                </c:pt>
                <c:pt idx="6">
                  <c:v>0.76</c:v>
                </c:pt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1"/>
        <c:smooth val="0"/>
        <c:axId val="2140841992"/>
        <c:axId val="2140841993"/>
      </c:lineChart>
      <c:catAx>
        <c:axId val="2140841992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 b="1" i="0" u="none"/>
                  <a:t>Lahuse kontsentratsioon (ng / ml) +/- .25 (ng / ml)</a:t>
                </a:r>
                <a:r>
                  <a:rPr/>
                  <a:t> 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841993"/>
        <c:crosses val="autoZero"/>
        <c:crossesAt val="0"/>
        <c:auto val="1"/>
        <c:lblAlgn val="ctr"/>
        <c:lblOffset val="100"/>
        <c:tickMarkSkip val="1"/>
        <c:noMultiLvlLbl val="0"/>
      </c:catAx>
      <c:valAx>
        <c:axId val="214084199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 b="1" i="0" u="none"/>
                  <a:t>Neelduvus (suhtelised ühikud) +/- 5 % näidust</a:t>
                </a:r>
                <a:r>
                  <a:rPr/>
                  <a:t> 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841992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7872412" y="738187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Fotodioodi pinge sõltuvus temperatuurist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lineMarker"/>
        <c:varyColors val="0"/>
        <c:ser>
          <c:idx val="0"/>
          <c:order val="0"/>
          <c:tx>
            <c:strRef>
              <c:f>Fotodiood!$B$6</c:f>
              <c:strCache>
                <c:ptCount val="1"/>
                <c:pt idx="0">
                  <c:v xml:space="preserve">U (V)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19050" cap="rnd">
              <a:solidFill>
                <a:schemeClr val="accent1"/>
              </a:solidFill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strRef>
              <c:f>Fotodiood!$A$7:$A$17</c:f>
              <c:strCache>
                <c:ptCount val="11"/>
                <c:pt idx="0">
                  <c:v>2</c:v>
                </c:pt>
                <c:pt idx="1">
                  <c:v>10</c:v>
                </c:pt>
                <c:pt idx="2">
                  <c:v>19</c:v>
                </c:pt>
                <c:pt idx="3">
                  <c:v>26.5</c:v>
                </c:pt>
                <c:pt idx="4">
                  <c:v>40.5</c:v>
                </c:pt>
                <c:pt idx="5">
                  <c:v>49</c:v>
                </c:pt>
                <c:pt idx="6">
                  <c:v>59.5</c:v>
                </c:pt>
                <c:pt idx="7">
                  <c:v>65</c:v>
                </c:pt>
                <c:pt idx="8">
                  <c:v>80</c:v>
                </c:pt>
                <c:pt idx="9">
                  <c:v>91.5</c:v>
                </c:pt>
                <c:pt idx="10">
                  <c:v>101.5</c:v>
                </c:pt>
              </c:strCache>
            </c:strRef>
          </c:xVal>
          <c:yVal>
            <c:numRef>
              <c:f>Fotodiood!$B$7:$B$17</c:f>
              <c:numCache>
                <c:formatCode>General</c:formatCode>
                <c:ptCount val="11"/>
                <c:pt idx="0">
                  <c:v>0.686</c:v>
                </c:pt>
                <c:pt idx="1">
                  <c:v>0.662</c:v>
                </c:pt>
                <c:pt idx="2">
                  <c:v>0.6375</c:v>
                </c:pt>
                <c:pt idx="3">
                  <c:v>0.614</c:v>
                </c:pt>
                <c:pt idx="4">
                  <c:v>0.59</c:v>
                </c:pt>
                <c:pt idx="5">
                  <c:v>0.5415</c:v>
                </c:pt>
                <c:pt idx="6">
                  <c:v>0.5175</c:v>
                </c:pt>
                <c:pt idx="7">
                  <c:v>0.494</c:v>
                </c:pt>
                <c:pt idx="8">
                  <c:v>0.4698</c:v>
                </c:pt>
                <c:pt idx="9">
                  <c:v>0.4697</c:v>
                </c:pt>
                <c:pt idx="10">
                  <c:v>0.4462</c:v>
                </c:pt>
              </c:numCache>
            </c:numRef>
          </c:y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axId val="2140842007"/>
        <c:axId val="2140842008"/>
      </c:scatterChart>
      <c:valAx>
        <c:axId val="2140842007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/>
                  <a:t>T (°C)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842008"/>
        <c:crosses val="autoZero"/>
        <c:crossBetween val="between"/>
      </c:valAx>
      <c:valAx>
        <c:axId val="2140842008"/>
        <c:scaling>
          <c:orientation val="minMax"/>
          <c:min val="0.40000000000000002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/>
                  <a:t>U (V)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84200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showDLblsOverMax val="0"/>
  </c:chart>
  <c:spPr bwMode="auto">
    <a:xfrm>
      <a:off x="5129212" y="1643062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 /><Relationship Id="rId2" Type="http://schemas.openxmlformats.org/officeDocument/2006/relationships/chart" Target="../charts/chart4.xml" /><Relationship Id="rId3" Type="http://schemas.openxmlformats.org/officeDocument/2006/relationships/chart" Target="../charts/chart5.xml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 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 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10.xml" 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1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4</xdr:col>
      <xdr:colOff>147637</xdr:colOff>
      <xdr:row>173</xdr:row>
      <xdr:rowOff>100012</xdr:rowOff>
    </xdr:from>
    <xdr:to>
      <xdr:col>6</xdr:col>
      <xdr:colOff>547687</xdr:colOff>
      <xdr:row>188</xdr:row>
      <xdr:rowOff>109537</xdr:rowOff>
    </xdr:to>
    <xdr:graphicFrame>
      <xdr:nvGraphicFramePr>
        <xdr:cNvPr id="2140841477" name="" hidden="0"/>
        <xdr:cNvGraphicFramePr>
          <a:graphicFrameLocks xmlns:a="http://schemas.openxmlformats.org/drawingml/2006/main"/>
        </xdr:cNvGraphicFramePr>
      </xdr:nvGraphicFramePr>
      <xdr:xfrm>
        <a:off x="7291387" y="32723137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4</xdr:col>
      <xdr:colOff>147637</xdr:colOff>
      <xdr:row>191</xdr:row>
      <xdr:rowOff>119062</xdr:rowOff>
    </xdr:from>
    <xdr:to>
      <xdr:col>6</xdr:col>
      <xdr:colOff>547687</xdr:colOff>
      <xdr:row>206</xdr:row>
      <xdr:rowOff>128587</xdr:rowOff>
    </xdr:to>
    <xdr:graphicFrame>
      <xdr:nvGraphicFramePr>
        <xdr:cNvPr id="2140841494" name="" hidden="0"/>
        <xdr:cNvGraphicFramePr>
          <a:graphicFrameLocks xmlns:a="http://schemas.openxmlformats.org/drawingml/2006/main"/>
        </xdr:cNvGraphicFramePr>
      </xdr:nvGraphicFramePr>
      <xdr:xfrm>
        <a:off x="7291387" y="35999737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176212</xdr:colOff>
      <xdr:row>15</xdr:row>
      <xdr:rowOff>14287</xdr:rowOff>
    </xdr:from>
    <xdr:to>
      <xdr:col>1</xdr:col>
      <xdr:colOff>3214687</xdr:colOff>
      <xdr:row>30</xdr:row>
      <xdr:rowOff>23811</xdr:rowOff>
    </xdr:to>
    <xdr:graphicFrame>
      <xdr:nvGraphicFramePr>
        <xdr:cNvPr id="1866169473" name="" hidden="0"/>
        <xdr:cNvGraphicFramePr>
          <a:graphicFrameLocks xmlns:a="http://schemas.openxmlformats.org/drawingml/2006/main"/>
        </xdr:cNvGraphicFramePr>
      </xdr:nvGraphicFramePr>
      <xdr:xfrm>
        <a:off x="176212" y="2728912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1</xdr:col>
      <xdr:colOff>3319462</xdr:colOff>
      <xdr:row>15</xdr:row>
      <xdr:rowOff>100012</xdr:rowOff>
    </xdr:from>
    <xdr:to>
      <xdr:col>3</xdr:col>
      <xdr:colOff>1628774</xdr:colOff>
      <xdr:row>30</xdr:row>
      <xdr:rowOff>109537</xdr:rowOff>
    </xdr:to>
    <xdr:graphicFrame>
      <xdr:nvGraphicFramePr>
        <xdr:cNvPr id="1866169499" name="" hidden="0"/>
        <xdr:cNvGraphicFramePr>
          <a:graphicFrameLocks xmlns:a="http://schemas.openxmlformats.org/drawingml/2006/main"/>
        </xdr:cNvGraphicFramePr>
      </xdr:nvGraphicFramePr>
      <xdr:xfrm>
        <a:off x="4833937" y="2814637"/>
        <a:ext cx="3776662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4</xdr:col>
      <xdr:colOff>309562</xdr:colOff>
      <xdr:row>16</xdr:row>
      <xdr:rowOff>109537</xdr:rowOff>
    </xdr:from>
    <xdr:to>
      <xdr:col>8</xdr:col>
      <xdr:colOff>461962</xdr:colOff>
      <xdr:row>31</xdr:row>
      <xdr:rowOff>119062</xdr:rowOff>
    </xdr:to>
    <xdr:graphicFrame>
      <xdr:nvGraphicFramePr>
        <xdr:cNvPr id="1866169518" name="" hidden="0"/>
        <xdr:cNvGraphicFramePr>
          <a:graphicFrameLocks xmlns:a="http://schemas.openxmlformats.org/drawingml/2006/main"/>
        </xdr:cNvGraphicFramePr>
      </xdr:nvGraphicFramePr>
      <xdr:xfrm>
        <a:off x="9063037" y="3005137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5</xdr:col>
      <xdr:colOff>385762</xdr:colOff>
      <xdr:row>9</xdr:row>
      <xdr:rowOff>14287</xdr:rowOff>
    </xdr:from>
    <xdr:to>
      <xdr:col>9</xdr:col>
      <xdr:colOff>233362</xdr:colOff>
      <xdr:row>24</xdr:row>
      <xdr:rowOff>23811</xdr:rowOff>
    </xdr:to>
    <xdr:graphicFrame>
      <xdr:nvGraphicFramePr>
        <xdr:cNvPr id="1866169531" name="" hidden="0"/>
        <xdr:cNvGraphicFramePr>
          <a:graphicFrameLocks xmlns:a="http://schemas.openxmlformats.org/drawingml/2006/main"/>
        </xdr:cNvGraphicFramePr>
      </xdr:nvGraphicFramePr>
      <xdr:xfrm>
        <a:off x="5129212" y="1643062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500062</xdr:colOff>
      <xdr:row>9</xdr:row>
      <xdr:rowOff>14287</xdr:rowOff>
    </xdr:from>
    <xdr:to>
      <xdr:col>10</xdr:col>
      <xdr:colOff>176212</xdr:colOff>
      <xdr:row>24</xdr:row>
      <xdr:rowOff>23811</xdr:rowOff>
    </xdr:to>
    <xdr:graphicFrame>
      <xdr:nvGraphicFramePr>
        <xdr:cNvPr id="1866170446" name="" hidden="0"/>
        <xdr:cNvGraphicFramePr>
          <a:graphicFrameLocks xmlns:a="http://schemas.openxmlformats.org/drawingml/2006/main"/>
        </xdr:cNvGraphicFramePr>
      </xdr:nvGraphicFramePr>
      <xdr:xfrm>
        <a:off x="5129212" y="1643062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6</xdr:col>
      <xdr:colOff>442912</xdr:colOff>
      <xdr:row>0</xdr:row>
      <xdr:rowOff>161924</xdr:rowOff>
    </xdr:from>
    <xdr:to>
      <xdr:col>12</xdr:col>
      <xdr:colOff>533399</xdr:colOff>
      <xdr:row>32</xdr:row>
      <xdr:rowOff>180974</xdr:rowOff>
    </xdr:to>
    <xdr:graphicFrame>
      <xdr:nvGraphicFramePr>
        <xdr:cNvPr id="1866169557" name="" hidden="0"/>
        <xdr:cNvGraphicFramePr>
          <a:graphicFrameLocks xmlns:a="http://schemas.openxmlformats.org/drawingml/2006/main"/>
        </xdr:cNvGraphicFramePr>
      </xdr:nvGraphicFramePr>
      <xdr:xfrm>
        <a:off x="5129212" y="161924"/>
        <a:ext cx="3748087" cy="58102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242887</xdr:colOff>
      <xdr:row>1</xdr:row>
      <xdr:rowOff>80962</xdr:rowOff>
    </xdr:from>
    <xdr:to>
      <xdr:col>9</xdr:col>
      <xdr:colOff>528637</xdr:colOff>
      <xdr:row>16</xdr:row>
      <xdr:rowOff>90487</xdr:rowOff>
    </xdr:to>
    <xdr:graphicFrame>
      <xdr:nvGraphicFramePr>
        <xdr:cNvPr id="2140841964" name="" hidden="0"/>
        <xdr:cNvGraphicFramePr>
          <a:graphicFrameLocks xmlns:a="http://schemas.openxmlformats.org/drawingml/2006/main"/>
        </xdr:cNvGraphicFramePr>
      </xdr:nvGraphicFramePr>
      <xdr:xfrm>
        <a:off x="7043737" y="261937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5</xdr:col>
      <xdr:colOff>71437</xdr:colOff>
      <xdr:row>4</xdr:row>
      <xdr:rowOff>14287</xdr:rowOff>
    </xdr:from>
    <xdr:to>
      <xdr:col>12</xdr:col>
      <xdr:colOff>357187</xdr:colOff>
      <xdr:row>19</xdr:row>
      <xdr:rowOff>23811</xdr:rowOff>
    </xdr:to>
    <xdr:graphicFrame>
      <xdr:nvGraphicFramePr>
        <xdr:cNvPr id="2140841979" name="" hidden="0"/>
        <xdr:cNvGraphicFramePr>
          <a:graphicFrameLocks xmlns:a="http://schemas.openxmlformats.org/drawingml/2006/main"/>
        </xdr:cNvGraphicFramePr>
      </xdr:nvGraphicFramePr>
      <xdr:xfrm>
        <a:off x="7872412" y="738187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8</xdr:col>
      <xdr:colOff>252412</xdr:colOff>
      <xdr:row>9</xdr:row>
      <xdr:rowOff>14287</xdr:rowOff>
    </xdr:from>
    <xdr:to>
      <xdr:col>15</xdr:col>
      <xdr:colOff>538162</xdr:colOff>
      <xdr:row>24</xdr:row>
      <xdr:rowOff>23811</xdr:rowOff>
    </xdr:to>
    <xdr:graphicFrame>
      <xdr:nvGraphicFramePr>
        <xdr:cNvPr id="2140841996" name="" hidden="0"/>
        <xdr:cNvGraphicFramePr>
          <a:graphicFrameLocks xmlns:a="http://schemas.openxmlformats.org/drawingml/2006/main"/>
        </xdr:cNvGraphicFramePr>
      </xdr:nvGraphicFramePr>
      <xdr:xfrm>
        <a:off x="5129212" y="1643062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8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/Relationships>
</file>

<file path=xl/worksheets/_rels/sheet9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.xml"/></Relationships>
</file>

<file path=xl/worksheets/_rels/sheet10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5.xml"/></Relationships>
</file>

<file path=xl/worksheets/_rels/sheet1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6.xml"/></Relationships>
</file>

<file path=xl/worksheets/_rels/sheet1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7.xml"/></Relationships>
</file>

<file path=xl/worksheets/_rels/sheet1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2" width="23.421875"/>
    <col bestFit="1" min="3" max="3" width="17.8515625"/>
    <col bestFit="1" min="4" max="4" width="20.28125"/>
    <col bestFit="1" min="5" max="5" width="19.00390625"/>
  </cols>
  <sheetData>
    <row r="1" ht="14.25">
      <c r="C1" s="1" t="s">
        <v>0</v>
      </c>
      <c r="D1" s="1" t="s">
        <v>1</v>
      </c>
      <c r="E1" t="s">
        <v>2</v>
      </c>
      <c r="F1" s="1" t="s">
        <v>3</v>
      </c>
    </row>
    <row r="2" ht="14.25">
      <c r="C2">
        <v>99</v>
      </c>
      <c r="D2">
        <f t="shared" ref="D2:D9" si="0">C2-C$14</f>
        <v>-0.79999999999999716</v>
      </c>
      <c r="E2">
        <f t="shared" ref="E2:E9" si="1">D2^2</f>
        <v>0.63999999999999546</v>
      </c>
      <c r="F2">
        <v>99</v>
      </c>
    </row>
    <row r="3" ht="14.25">
      <c r="C3">
        <v>100</v>
      </c>
      <c r="D3">
        <f t="shared" si="0"/>
        <v>0.20000000000000284</v>
      </c>
      <c r="E3">
        <f t="shared" si="1"/>
        <v>0.040000000000001139</v>
      </c>
      <c r="F3">
        <v>97</v>
      </c>
    </row>
    <row r="4" ht="14.25">
      <c r="C4">
        <v>102</v>
      </c>
      <c r="D4">
        <f t="shared" si="0"/>
        <v>2.2000000000000028</v>
      </c>
      <c r="E4">
        <f t="shared" si="1"/>
        <v>4.8400000000000123</v>
      </c>
      <c r="F4">
        <v>98</v>
      </c>
    </row>
    <row r="5" ht="14.25">
      <c r="C5">
        <v>97</v>
      </c>
      <c r="D5">
        <f t="shared" si="0"/>
        <v>-2.7999999999999972</v>
      </c>
      <c r="E5">
        <f t="shared" si="1"/>
        <v>7.8399999999999839</v>
      </c>
      <c r="F5">
        <v>99</v>
      </c>
    </row>
    <row r="6" ht="14.25">
      <c r="C6">
        <v>100</v>
      </c>
      <c r="D6">
        <f t="shared" si="0"/>
        <v>0.20000000000000284</v>
      </c>
      <c r="E6">
        <f t="shared" si="1"/>
        <v>0.040000000000001139</v>
      </c>
      <c r="F6">
        <v>100</v>
      </c>
    </row>
    <row r="7" ht="14.25">
      <c r="C7">
        <v>99</v>
      </c>
      <c r="D7">
        <f t="shared" si="0"/>
        <v>-0.79999999999999716</v>
      </c>
      <c r="E7">
        <f t="shared" si="1"/>
        <v>0.63999999999999546</v>
      </c>
      <c r="F7">
        <v>99</v>
      </c>
    </row>
    <row r="8" ht="14.25">
      <c r="C8">
        <v>101</v>
      </c>
      <c r="D8">
        <f t="shared" si="0"/>
        <v>1.2000000000000028</v>
      </c>
      <c r="E8">
        <f t="shared" si="1"/>
        <v>1.4400000000000068</v>
      </c>
      <c r="F8">
        <v>98</v>
      </c>
    </row>
    <row r="9" ht="14.25">
      <c r="C9">
        <v>98</v>
      </c>
      <c r="D9">
        <f t="shared" si="0"/>
        <v>-1.7999999999999972</v>
      </c>
      <c r="E9">
        <f t="shared" si="1"/>
        <v>3.2399999999999896</v>
      </c>
      <c r="F9">
        <v>100</v>
      </c>
    </row>
    <row r="10" ht="14.25">
      <c r="C10">
        <v>102</v>
      </c>
      <c r="D10">
        <f t="shared" ref="D10:D11" si="2">C10-C$14</f>
        <v>2.2000000000000028</v>
      </c>
      <c r="E10">
        <f t="shared" ref="E10:E11" si="3">D10^2</f>
        <v>4.8400000000000123</v>
      </c>
      <c r="F10">
        <v>101</v>
      </c>
    </row>
    <row r="11" ht="14.25">
      <c r="C11" s="2">
        <v>100</v>
      </c>
      <c r="D11">
        <f t="shared" si="2"/>
        <v>0.20000000000000284</v>
      </c>
      <c r="E11">
        <f t="shared" si="3"/>
        <v>0.040000000000001139</v>
      </c>
      <c r="F11" s="2">
        <v>99</v>
      </c>
    </row>
    <row r="12" ht="14.25">
      <c r="B12" t="s">
        <v>4</v>
      </c>
      <c r="C12">
        <f>SUM(C2:C11)</f>
        <v>998</v>
      </c>
      <c r="E12">
        <f>SUM(E2:E11)</f>
        <v>23.599999999999998</v>
      </c>
      <c r="F12">
        <f>SUM(F2:F11)</f>
        <v>990</v>
      </c>
    </row>
    <row r="13" ht="14.25">
      <c r="B13" s="1" t="s">
        <v>5</v>
      </c>
      <c r="C13">
        <f>COUNT(C2:C11)</f>
        <v>10</v>
      </c>
      <c r="F13">
        <f>COUNT(F2:F11)</f>
        <v>10</v>
      </c>
    </row>
    <row r="14" ht="14.25">
      <c r="B14" s="1" t="s">
        <v>6</v>
      </c>
      <c r="C14">
        <f>C12/C13</f>
        <v>99.799999999999997</v>
      </c>
      <c r="F14">
        <f>F12/F13</f>
        <v>99</v>
      </c>
    </row>
    <row r="15" ht="14.25">
      <c r="B15" t="s">
        <v>7</v>
      </c>
      <c r="C15">
        <f>AVERAGE(C2:C11)</f>
        <v>99.799999999999997</v>
      </c>
      <c r="F15">
        <f>AVERAGE(F2:F11)</f>
        <v>99</v>
      </c>
    </row>
    <row r="16" ht="14.25">
      <c r="B16" t="s">
        <v>8</v>
      </c>
      <c r="C16" s="3">
        <f>STDEVA(C2:C11)</f>
        <v>1.6193277068654823</v>
      </c>
      <c r="E16" s="3">
        <f>SQRT(E12/(C13-1))</f>
        <v>1.6193277068654823</v>
      </c>
      <c r="F16" s="3">
        <f>STDEVA(F2:F11)</f>
        <v>1.1547005383792515</v>
      </c>
    </row>
    <row r="17" ht="14.25">
      <c r="B17" s="1" t="s">
        <v>9</v>
      </c>
      <c r="C17" s="4">
        <f>C16/SQRT(C13)</f>
        <v>0.51207638319124049</v>
      </c>
      <c r="E17" s="1"/>
      <c r="F17" s="3">
        <f>F16/SQRT(F13)</f>
        <v>0.36514837167011072</v>
      </c>
    </row>
    <row r="18" ht="14.25">
      <c r="B18" t="s">
        <v>10</v>
      </c>
      <c r="C18" s="3">
        <f>C17*2.26</f>
        <v>1.1572926260122034</v>
      </c>
      <c r="F18" s="3">
        <f>F17*2.26</f>
        <v>0.8252353199744501</v>
      </c>
    </row>
    <row r="19" ht="14.25"/>
    <row r="20" ht="14.25">
      <c r="B20" t="s">
        <v>11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44.28125"/>
    <col bestFit="1" min="2" max="2" width="26.28125"/>
    <col bestFit="1" min="3" max="4" width="19.140625"/>
  </cols>
  <sheetData>
    <row r="1" ht="14.25">
      <c r="A1" s="5" t="s">
        <v>12</v>
      </c>
      <c r="B1" s="6">
        <v>44447.476388888892</v>
      </c>
      <c r="C1" s="7">
        <v>44448.520833333336</v>
      </c>
      <c r="D1" s="6">
        <v>44453.540277777778</v>
      </c>
    </row>
    <row r="2" ht="14.25">
      <c r="A2" s="5" t="s">
        <v>13</v>
      </c>
      <c r="B2">
        <v>14</v>
      </c>
      <c r="C2" s="8">
        <v>51</v>
      </c>
      <c r="D2">
        <v>38</v>
      </c>
    </row>
    <row r="3" ht="14.25">
      <c r="A3" s="5" t="s">
        <v>14</v>
      </c>
      <c r="B3" s="1" t="s">
        <v>15</v>
      </c>
      <c r="C3" s="8" t="s">
        <v>16</v>
      </c>
      <c r="D3" s="1" t="s">
        <v>17</v>
      </c>
    </row>
    <row r="4" ht="14.25">
      <c r="A4" s="5" t="s">
        <v>18</v>
      </c>
      <c r="B4" t="s">
        <v>19</v>
      </c>
      <c r="C4" s="8" t="s">
        <v>20</v>
      </c>
      <c r="D4" t="s">
        <v>20</v>
      </c>
    </row>
    <row r="5" ht="14.25">
      <c r="A5" s="5"/>
      <c r="B5" s="1" t="s">
        <v>21</v>
      </c>
      <c r="C5" s="8"/>
    </row>
    <row r="6" ht="14.25">
      <c r="A6" s="9" t="s">
        <v>22</v>
      </c>
      <c r="B6" s="10" t="s">
        <v>23</v>
      </c>
      <c r="C6" s="10"/>
      <c r="D6" s="10"/>
    </row>
    <row r="7" ht="14.25">
      <c r="A7" s="11">
        <v>1</v>
      </c>
      <c r="B7">
        <v>38.299999999999997</v>
      </c>
      <c r="C7" s="8">
        <v>42.399999999999999</v>
      </c>
      <c r="D7">
        <v>46.899999999999999</v>
      </c>
    </row>
    <row r="8" ht="14.25">
      <c r="A8" s="11">
        <v>2</v>
      </c>
      <c r="B8">
        <v>36.299999999999997</v>
      </c>
      <c r="C8" s="8">
        <v>39.399999999999999</v>
      </c>
      <c r="D8">
        <v>37</v>
      </c>
    </row>
    <row r="9" ht="14.25">
      <c r="A9" s="11">
        <v>3</v>
      </c>
      <c r="B9">
        <v>37.700000000000003</v>
      </c>
      <c r="C9" s="8">
        <v>43</v>
      </c>
      <c r="D9">
        <v>45.399999999999999</v>
      </c>
    </row>
    <row r="10" ht="14.25">
      <c r="A10" s="11">
        <v>4</v>
      </c>
      <c r="B10">
        <v>39.100000000000001</v>
      </c>
      <c r="C10" s="8">
        <v>43.899999999999999</v>
      </c>
      <c r="D10">
        <v>61.799999999999997</v>
      </c>
    </row>
    <row r="11" ht="14.25">
      <c r="A11" s="11">
        <v>5</v>
      </c>
      <c r="B11">
        <v>37.5</v>
      </c>
      <c r="C11" s="8">
        <v>39.700000000000003</v>
      </c>
      <c r="D11">
        <v>31</v>
      </c>
    </row>
    <row r="12" ht="14.25">
      <c r="A12" s="11">
        <v>6</v>
      </c>
      <c r="B12">
        <v>38</v>
      </c>
      <c r="C12" s="8">
        <v>39.799999999999997</v>
      </c>
      <c r="D12">
        <v>31.5</v>
      </c>
    </row>
    <row r="13" ht="14.25">
      <c r="A13" s="11">
        <v>7</v>
      </c>
      <c r="B13">
        <v>39.299999999999997</v>
      </c>
      <c r="C13" s="8">
        <v>44.200000000000003</v>
      </c>
      <c r="D13">
        <v>50.5</v>
      </c>
    </row>
    <row r="14" ht="14.25">
      <c r="A14" s="12">
        <v>8</v>
      </c>
      <c r="B14" s="2">
        <v>34.600000000000001</v>
      </c>
      <c r="C14" s="13">
        <v>38.5</v>
      </c>
      <c r="D14" s="2">
        <v>31.800000000000001</v>
      </c>
    </row>
    <row r="15" ht="14.25">
      <c r="A15" s="5" t="s">
        <v>24</v>
      </c>
      <c r="B15" s="3">
        <f>ROUND(AVERAGE(B7:B14),1)</f>
        <v>37.600000000000001</v>
      </c>
      <c r="C15" s="14">
        <f>ROUND(AVERAGE(C7:C14),1)</f>
        <v>41.400000000000006</v>
      </c>
      <c r="D15" s="15">
        <f>ROUND(AVERAGE(D7:D14),1)</f>
        <v>42</v>
      </c>
    </row>
    <row r="16" ht="14.25">
      <c r="A16" s="5" t="s">
        <v>25</v>
      </c>
      <c r="B16" s="4">
        <f>STDEVA(B7:B14)</f>
        <v>1.5352989471574763</v>
      </c>
      <c r="C16" s="16">
        <f>STDEVA(C7:C14)</f>
        <v>2.2519436049777091</v>
      </c>
      <c r="D16" s="4">
        <f>STDEVA(D7:D14)</f>
        <v>11.085052677238066</v>
      </c>
      <c r="E16" t="s">
        <v>26</v>
      </c>
    </row>
    <row r="17" ht="14.25">
      <c r="A17" s="5" t="s">
        <v>27</v>
      </c>
      <c r="B17" s="4">
        <f>B16/SQRT(COUNT(B7:B14))</f>
        <v>0.54281014834180918</v>
      </c>
      <c r="C17" s="16">
        <f>C16/SQRT(COUNT(C7:C14))</f>
        <v>0.79618229696470888</v>
      </c>
      <c r="D17" s="4">
        <f>D16/SQRT(COUNT(D7:D14))</f>
        <v>3.9191579589425647</v>
      </c>
    </row>
    <row r="18" ht="14.25">
      <c r="A18" s="5" t="s">
        <v>28</v>
      </c>
      <c r="B18" s="4">
        <f>B17*2.36</f>
        <v>1.2810319500866696</v>
      </c>
      <c r="C18" s="16">
        <f>C17*2.36</f>
        <v>1.8789902208367129</v>
      </c>
      <c r="D18" s="4">
        <f>D17*2.36</f>
        <v>9.2492127831044524</v>
      </c>
      <c r="E18" t="s">
        <v>29</v>
      </c>
    </row>
    <row r="19" ht="14.25">
      <c r="A19" s="5" t="s">
        <v>30</v>
      </c>
      <c r="B19" s="3" t="str">
        <f>CONCATENATE(TEXT(B15,"#.#")," +/- ",TEXT(ROUND(B18,1),"#.#"))</f>
        <v xml:space="preserve">37.6 +/- 1.3</v>
      </c>
      <c r="C19" s="14" t="str">
        <f>CONCATENATE(TEXT(C15,"#.#")," +/- ",TEXT(ROUND(C18,1),"#.#"))</f>
        <v xml:space="preserve">41.4 +/- 1.9</v>
      </c>
      <c r="D19" s="3" t="str">
        <f>CONCATENATE(TEXT(D15,"#.#")," +/- ",TEXT(ROUND(D18,1),"#.#"))</f>
        <v xml:space="preserve">42. +/- 9.2</v>
      </c>
    </row>
    <row r="20" ht="14.25">
      <c r="A20" s="5" t="s">
        <v>31</v>
      </c>
      <c r="B20" s="3">
        <f>B15-B18</f>
        <v>36.31896804991333</v>
      </c>
      <c r="C20" s="14">
        <f>C15-C18</f>
        <v>39.521009779163293</v>
      </c>
      <c r="D20" s="3">
        <f>D15-D18</f>
        <v>32.750787216895546</v>
      </c>
    </row>
    <row r="21" ht="14.25">
      <c r="A21" s="5" t="s">
        <v>32</v>
      </c>
      <c r="B21" s="3">
        <f>B15+B18</f>
        <v>38.881031950086673</v>
      </c>
      <c r="C21" s="14">
        <f>C15+C18</f>
        <v>43.278990220836718</v>
      </c>
      <c r="D21" s="3">
        <f>D15+D18</f>
        <v>51.249212783104454</v>
      </c>
    </row>
    <row r="22" ht="14.25">
      <c r="A22" s="5" t="s">
        <v>33</v>
      </c>
      <c r="B22" t="s">
        <v>34</v>
      </c>
      <c r="C22" s="8" t="s">
        <v>34</v>
      </c>
      <c r="D22" t="s">
        <v>34</v>
      </c>
    </row>
    <row r="23" ht="14.25"/>
  </sheetData>
  <mergeCells count="1">
    <mergeCell ref="B6:D6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34.7109375"/>
    <col bestFit="1" min="2" max="2" width="11.28125"/>
    <col bestFit="1" min="3" max="3" width="14.421875"/>
    <col bestFit="1" min="4" max="4" width="15.140625"/>
    <col bestFit="1" min="5" max="5" width="47.421875"/>
    <col bestFit="1" min="6" max="6" width="21.28125"/>
  </cols>
  <sheetData>
    <row r="1" ht="14.25">
      <c r="B1" s="17" t="s">
        <v>35</v>
      </c>
      <c r="D1" s="17" t="s">
        <v>36</v>
      </c>
    </row>
    <row r="2" ht="14.25">
      <c r="B2">
        <v>1.6599999999999999</v>
      </c>
      <c r="D2" s="11">
        <v>1.6599999999999999</v>
      </c>
    </row>
    <row r="3" ht="14.25">
      <c r="B3">
        <v>1.6799999999999999</v>
      </c>
      <c r="D3" s="18">
        <v>1.6799999999999999</v>
      </c>
      <c r="E3" s="19" t="s">
        <v>37</v>
      </c>
    </row>
    <row r="4" ht="14.25">
      <c r="B4">
        <v>1.6399999999999999</v>
      </c>
      <c r="D4" s="11">
        <v>1.6399999999999999</v>
      </c>
    </row>
    <row r="5" ht="14.25">
      <c r="B5">
        <v>1.6000000000000001</v>
      </c>
      <c r="D5" s="11">
        <v>1.6000000000000001</v>
      </c>
    </row>
    <row r="6" ht="14.25">
      <c r="B6">
        <v>1.5800000000000001</v>
      </c>
      <c r="D6" s="11">
        <v>1.5800000000000001</v>
      </c>
    </row>
    <row r="7" ht="14.25">
      <c r="B7">
        <v>1.6599999999999999</v>
      </c>
      <c r="D7" s="11">
        <v>1.6599999999999999</v>
      </c>
    </row>
    <row r="8" ht="14.25">
      <c r="B8">
        <v>1.6399999999999999</v>
      </c>
      <c r="D8" s="11">
        <v>1.6399999999999999</v>
      </c>
    </row>
    <row r="9" ht="14.25">
      <c r="B9" s="2">
        <v>1.6200000000000001</v>
      </c>
      <c r="D9" s="12">
        <v>1.6200000000000001</v>
      </c>
    </row>
    <row r="10" ht="14.25">
      <c r="A10" s="5" t="s">
        <v>38</v>
      </c>
      <c r="B10" s="20">
        <v>0.025000000000000001</v>
      </c>
      <c r="D10" s="21">
        <v>0.025000000000000001</v>
      </c>
      <c r="E10" s="22" t="s">
        <v>39</v>
      </c>
      <c r="F10" s="22" t="s">
        <v>40</v>
      </c>
    </row>
    <row r="11" ht="14.25">
      <c r="A11" s="5" t="s">
        <v>41</v>
      </c>
      <c r="B11" s="23">
        <v>2</v>
      </c>
      <c r="C11" s="22" t="s">
        <v>42</v>
      </c>
      <c r="D11" s="24">
        <v>2</v>
      </c>
    </row>
    <row r="12" ht="14.25">
      <c r="A12" s="5" t="s">
        <v>43</v>
      </c>
      <c r="B12" s="25">
        <v>0.02</v>
      </c>
      <c r="D12" s="26">
        <v>0.02</v>
      </c>
    </row>
    <row r="13" ht="14.25">
      <c r="A13" s="5" t="s">
        <v>44</v>
      </c>
      <c r="B13" s="11">
        <f>AVERAGE(B2:B9)</f>
        <v>1.6350000000000002</v>
      </c>
      <c r="D13" s="8">
        <f>AVERAGE(D2:D9)</f>
        <v>1.6350000000000002</v>
      </c>
    </row>
    <row r="14" ht="14.25">
      <c r="A14" s="5" t="s">
        <v>45</v>
      </c>
      <c r="B14" s="11">
        <f>STDEVA(B2:B9)</f>
        <v>0.033380918415851134</v>
      </c>
      <c r="D14" s="8">
        <f>STDEVA(D2:D9)</f>
        <v>0.033380918415851134</v>
      </c>
    </row>
    <row r="15" ht="14.25">
      <c r="A15" s="5" t="s">
        <v>46</v>
      </c>
      <c r="B15" s="11">
        <f>B14/SQRT(COUNT(B2:B9))</f>
        <v>0.01180193688704162</v>
      </c>
      <c r="D15" s="8">
        <f>D14/SQRT(COUNT(D2:D9))</f>
        <v>0.01180193688704162</v>
      </c>
    </row>
    <row r="16" ht="14.25">
      <c r="A16" s="5" t="s">
        <v>47</v>
      </c>
      <c r="B16" s="11">
        <f>B15*2.36</f>
        <v>0.027852571053418221</v>
      </c>
      <c r="D16" s="8">
        <f>D15*2.36</f>
        <v>0.027852571053418221</v>
      </c>
    </row>
    <row r="17" ht="14.25">
      <c r="A17" s="5" t="s">
        <v>48</v>
      </c>
      <c r="B17" s="11">
        <f>B10*B11</f>
        <v>0.050000000000000003</v>
      </c>
      <c r="D17" s="8">
        <f>D10*D13</f>
        <v>0.040875000000000009</v>
      </c>
    </row>
    <row r="18" ht="14.25">
      <c r="A18" s="5" t="s">
        <v>49</v>
      </c>
      <c r="B18" s="27">
        <f>2/3*B17</f>
        <v>0.033333333333333333</v>
      </c>
      <c r="D18" s="28">
        <f>2/3*D17</f>
        <v>0.027250000000000003</v>
      </c>
      <c r="E18" s="29" t="s">
        <v>50</v>
      </c>
    </row>
    <row r="19" ht="14.25">
      <c r="A19" s="5" t="s">
        <v>51</v>
      </c>
      <c r="B19" s="30">
        <f>0.95*B12/2</f>
        <v>0.0094999999999999998</v>
      </c>
      <c r="D19" s="8"/>
      <c r="E19" s="31" t="s">
        <v>52</v>
      </c>
    </row>
    <row r="20" ht="14.25">
      <c r="A20" s="5" t="s">
        <v>53</v>
      </c>
      <c r="B20" s="32">
        <f>SQRT(B18^2+B19^2)</f>
        <v>0.034660656530295431</v>
      </c>
      <c r="D20" s="8"/>
      <c r="E20" s="33" t="s">
        <v>54</v>
      </c>
    </row>
    <row r="21" ht="14.25">
      <c r="A21" s="5" t="s">
        <v>55</v>
      </c>
      <c r="B21" s="11">
        <f>SQRT(B16^2+B20^2)</f>
        <v>0.044464894303223326</v>
      </c>
      <c r="D21" s="8">
        <f>SQRT(D16^2+D18^2)</f>
        <v>0.038965731281290113</v>
      </c>
    </row>
    <row r="22" ht="14.25">
      <c r="A22" s="34" t="s">
        <v>35</v>
      </c>
      <c r="B22" s="35" t="str">
        <f>_xlfn.CONCAT(TEXT(B13,"#.##")," +/- ",TEXT(B21,"#.##"))</f>
        <v xml:space="preserve">1.64 +/- .04</v>
      </c>
      <c r="D22" s="35" t="str">
        <f>_xlfn.CONCAT(TEXT(D13,"#.##")," +/- ",TEXT(D21,"#.##"))</f>
        <v xml:space="preserve">1.64 +/- .04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37.8515625"/>
    <col bestFit="1" min="2" max="2" width="14.140625"/>
    <col bestFit="1" min="3" max="3" width="12.8515625"/>
    <col bestFit="1" min="4" max="4" width="14.421875"/>
    <col bestFit="1" min="5" max="5" width="51.00390625"/>
    <col min="6" max="6" width="51.00390625"/>
    <col bestFit="1" min="8" max="8" width="1.7109375"/>
  </cols>
  <sheetData>
    <row r="1" ht="14.25">
      <c r="A1" s="9" t="s">
        <v>56</v>
      </c>
      <c r="B1" s="17" t="s">
        <v>57</v>
      </c>
      <c r="C1" s="36" t="s">
        <v>58</v>
      </c>
      <c r="D1" s="17" t="s">
        <v>59</v>
      </c>
      <c r="E1" s="36" t="s">
        <v>60</v>
      </c>
      <c r="F1" s="9" t="s">
        <v>61</v>
      </c>
    </row>
    <row r="2" ht="14.25">
      <c r="A2" s="11">
        <v>0</v>
      </c>
      <c r="B2">
        <v>39.899999999999999</v>
      </c>
      <c r="C2" s="8">
        <v>24.800000000000001</v>
      </c>
      <c r="D2" s="11">
        <v>8.1999999999999993</v>
      </c>
      <c r="E2" s="37">
        <f t="shared" ref="E2:E7" si="4">B2*C2*D2</f>
        <v>8114.0639999999994</v>
      </c>
      <c r="F2" s="38"/>
      <c r="G2">
        <v>1</v>
      </c>
      <c r="H2">
        <v>3</v>
      </c>
    </row>
    <row r="3" ht="14.25">
      <c r="A3" s="11">
        <v>1</v>
      </c>
      <c r="B3" s="1">
        <v>41.5</v>
      </c>
      <c r="C3" s="8">
        <v>24.850000000000001</v>
      </c>
      <c r="D3" s="11">
        <v>8.4499999999999993</v>
      </c>
      <c r="E3" s="37">
        <f t="shared" si="4"/>
        <v>8714.2737500000003</v>
      </c>
      <c r="F3" s="38"/>
      <c r="G3">
        <v>1</v>
      </c>
      <c r="H3">
        <v>3</v>
      </c>
    </row>
    <row r="4" ht="14.25">
      <c r="A4" s="11">
        <v>2</v>
      </c>
      <c r="B4" s="1">
        <v>40.049999999999997</v>
      </c>
      <c r="C4" s="8">
        <v>24.949999999999999</v>
      </c>
      <c r="D4" s="11">
        <v>8.3000000000000007</v>
      </c>
      <c r="E4" s="37">
        <f t="shared" si="4"/>
        <v>8293.75425</v>
      </c>
      <c r="F4" s="38"/>
      <c r="G4">
        <v>1</v>
      </c>
      <c r="H4">
        <v>3</v>
      </c>
    </row>
    <row r="5" ht="14.25">
      <c r="A5" s="11">
        <v>3</v>
      </c>
      <c r="B5">
        <v>39.899999999999999</v>
      </c>
      <c r="C5" s="8">
        <v>25.050000000000001</v>
      </c>
      <c r="D5" s="11">
        <v>8.3000000000000007</v>
      </c>
      <c r="E5" s="37">
        <f t="shared" si="4"/>
        <v>8295.808500000001</v>
      </c>
      <c r="F5" s="38"/>
      <c r="G5">
        <v>1</v>
      </c>
      <c r="H5">
        <v>3</v>
      </c>
    </row>
    <row r="6" ht="14.25">
      <c r="A6" s="11">
        <v>4</v>
      </c>
      <c r="B6" s="1">
        <v>39.950000000000003</v>
      </c>
      <c r="C6" s="8">
        <v>24.899999999999999</v>
      </c>
      <c r="D6" s="11">
        <v>8.4499999999999993</v>
      </c>
      <c r="E6" s="37">
        <f t="shared" si="4"/>
        <v>8405.6797499999993</v>
      </c>
      <c r="F6" s="38"/>
      <c r="G6">
        <v>1</v>
      </c>
      <c r="H6">
        <v>3</v>
      </c>
    </row>
    <row r="7" ht="14.25">
      <c r="A7" s="12">
        <v>5</v>
      </c>
      <c r="B7" s="2">
        <v>40.100000000000001</v>
      </c>
      <c r="C7" s="13">
        <v>24.949999999999999</v>
      </c>
      <c r="D7" s="12">
        <v>8.1500000000000004</v>
      </c>
      <c r="E7" s="39">
        <f t="shared" si="4"/>
        <v>8154.0342500000006</v>
      </c>
      <c r="F7" s="40"/>
      <c r="G7">
        <v>1</v>
      </c>
      <c r="H7">
        <v>3</v>
      </c>
    </row>
    <row r="8" ht="14.25">
      <c r="A8" s="5" t="s">
        <v>62</v>
      </c>
      <c r="B8" s="41">
        <f>AVERAGE(B2:B7)</f>
        <v>40.233333333333334</v>
      </c>
      <c r="C8" s="42">
        <f>AVERAGE(C2:C7)</f>
        <v>24.916666666666668</v>
      </c>
      <c r="D8" s="38">
        <f>AVERAGE(D2:D7)</f>
        <v>8.3083333333333336</v>
      </c>
      <c r="E8" s="43"/>
      <c r="F8" s="44">
        <f>B8*C8*D8</f>
        <v>8328.9426157407415</v>
      </c>
      <c r="G8">
        <v>5</v>
      </c>
      <c r="H8">
        <v>4</v>
      </c>
    </row>
    <row r="9" ht="14.25">
      <c r="A9" s="5" t="s">
        <v>26</v>
      </c>
      <c r="B9" s="41">
        <f>STDEVA(B2:B7)</f>
        <v>0.62583277851728647</v>
      </c>
      <c r="C9" s="42">
        <f>STDEVA(C2:C7)</f>
        <v>0.087559503577091066</v>
      </c>
      <c r="D9" s="38">
        <f>STDEVA(D2:D7)</f>
        <v>0.12416387021459419</v>
      </c>
      <c r="E9" s="45">
        <f>STDEVA(E2:E7)</f>
        <v>216.08697572896821</v>
      </c>
      <c r="F9" s="38"/>
      <c r="H9">
        <v>4</v>
      </c>
    </row>
    <row r="10" ht="14.25">
      <c r="A10" s="5" t="s">
        <v>9</v>
      </c>
      <c r="B10" s="41">
        <f>B9/SQRT(COUNT(B2:B7))</f>
        <v>0.25549516194593164</v>
      </c>
      <c r="C10" s="42">
        <f>C9/SQRT(COUNT(C2:C7))</f>
        <v>0.035746017649211932</v>
      </c>
      <c r="D10" s="38">
        <f>D9/SQRT(COUNT(D2:D7))</f>
        <v>0.050689687752485044</v>
      </c>
      <c r="E10" s="45">
        <f>E9/SQRT(COUNT(E2:E7))</f>
        <v>88.217138432857539</v>
      </c>
      <c r="F10" s="38"/>
      <c r="H10">
        <v>4</v>
      </c>
    </row>
    <row r="11" ht="14.25">
      <c r="A11" s="5" t="s">
        <v>47</v>
      </c>
      <c r="B11" s="41">
        <f>B10*2.571</f>
        <v>0.65687806136299032</v>
      </c>
      <c r="C11" s="42">
        <f>C10*2.571</f>
        <v>0.091903011376123889</v>
      </c>
      <c r="D11" s="38">
        <f>D10*2.571</f>
        <v>0.13032318721163905</v>
      </c>
      <c r="E11" s="46">
        <f>E10*2.571</f>
        <v>226.80626291087674</v>
      </c>
      <c r="F11" s="38"/>
      <c r="G11">
        <v>2</v>
      </c>
      <c r="H11">
        <v>4</v>
      </c>
    </row>
    <row r="12" ht="14.25">
      <c r="A12" s="5"/>
      <c r="B12" s="41"/>
      <c r="C12" s="42"/>
      <c r="D12" s="38"/>
      <c r="E12" s="11"/>
      <c r="F12" s="11"/>
    </row>
    <row r="13" ht="14.25">
      <c r="A13" s="5" t="s">
        <v>63</v>
      </c>
      <c r="B13">
        <v>0.050000000000000003</v>
      </c>
      <c r="C13" s="8"/>
      <c r="D13" s="11"/>
      <c r="E13" s="11"/>
      <c r="F13" s="11"/>
    </row>
    <row r="14" ht="14.25">
      <c r="A14" s="5" t="s">
        <v>64</v>
      </c>
      <c r="B14">
        <f>B13/2</f>
        <v>0.025000000000000001</v>
      </c>
      <c r="C14" s="8"/>
      <c r="D14" s="11"/>
      <c r="E14" s="11"/>
      <c r="F14" s="11"/>
      <c r="G14">
        <v>1</v>
      </c>
    </row>
    <row r="15" ht="14.25">
      <c r="A15" s="5" t="s">
        <v>65</v>
      </c>
      <c r="B15" s="47">
        <v>0.94999999999999996</v>
      </c>
      <c r="C15" s="8"/>
      <c r="D15" s="11"/>
      <c r="E15" s="11"/>
      <c r="F15" s="11"/>
    </row>
    <row r="16" ht="14.25">
      <c r="A16" s="5" t="s">
        <v>66</v>
      </c>
      <c r="B16">
        <f>0.95*B13/2</f>
        <v>0.02375</v>
      </c>
      <c r="C16" s="8"/>
      <c r="D16" s="11"/>
      <c r="E16" s="11"/>
      <c r="F16" s="11"/>
      <c r="G16">
        <v>2</v>
      </c>
    </row>
    <row r="17" ht="14.25">
      <c r="A17" s="5"/>
      <c r="B17" s="1"/>
      <c r="C17" s="8"/>
      <c r="D17" s="11"/>
      <c r="E17" s="11"/>
      <c r="F17" s="11"/>
    </row>
    <row r="18" ht="14.25">
      <c r="A18" s="5" t="s">
        <v>10</v>
      </c>
      <c r="B18" s="48">
        <f>SQRT(B11^2+$B16^2)</f>
        <v>0.65730727213381757</v>
      </c>
      <c r="C18" s="49">
        <f>SQRT(C11^2+$B16^2)</f>
        <v>0.094922210256609379</v>
      </c>
      <c r="D18" s="50">
        <f>SQRT(D11^2+$B16^2)</f>
        <v>0.13246960264528584</v>
      </c>
      <c r="E18" s="11" t="s">
        <v>67</v>
      </c>
      <c r="F18" s="51">
        <f>SQRT((C8*D8*B18)^2+(B8*D8*C18)^2+(B8*C8*D18)^2)</f>
        <v>192.76419274611251</v>
      </c>
      <c r="G18">
        <v>3</v>
      </c>
      <c r="H18">
        <v>5</v>
      </c>
    </row>
    <row r="19" ht="14.25">
      <c r="A19" s="9" t="s">
        <v>68</v>
      </c>
      <c r="B19" s="2"/>
      <c r="C19" s="13"/>
      <c r="D19" s="12"/>
      <c r="E19" s="12"/>
      <c r="F19" s="52">
        <f>F18/E11</f>
        <v>0.84990683357742636</v>
      </c>
    </row>
    <row r="20" ht="14.25">
      <c r="A20" s="5" t="s">
        <v>69</v>
      </c>
      <c r="C20" s="8"/>
      <c r="D20" s="11"/>
      <c r="E20" s="11"/>
      <c r="F20" s="30" t="str">
        <f>CONCATENATE(TEXT(F$8,"#.#")," +/- ",TEXT(ROUND(F$18,6),"#.#"))</f>
        <v xml:space="preserve">8328.9 +/- 192.8</v>
      </c>
    </row>
    <row r="21" ht="14.25">
      <c r="A21" s="5" t="s">
        <v>70</v>
      </c>
      <c r="C21" s="8"/>
      <c r="D21" s="11"/>
      <c r="E21" s="11"/>
      <c r="F21" s="30" t="str">
        <f>CONCATENATE(TEXT(F$8/1000000000,"#.#")," +/- ",TEXT(ROUND(F$18/1000000000,1),"#.#"))</f>
        <v xml:space="preserve">.0 +/- .</v>
      </c>
      <c r="G21">
        <v>6</v>
      </c>
    </row>
    <row r="22" ht="14.25">
      <c r="A22" s="34" t="s">
        <v>71</v>
      </c>
      <c r="B22" s="8"/>
      <c r="D22" s="8"/>
      <c r="F22" s="53">
        <f>F18/F8</f>
        <v>0.023143897327592391</v>
      </c>
      <c r="G22">
        <v>6</v>
      </c>
    </row>
    <row r="28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42.00390625"/>
    <col bestFit="1" min="2" max="2" width="19.140625"/>
    <col bestFit="1" min="3" max="3" width="72.421875"/>
    <col bestFit="1" min="4" max="4" width="14.57421875"/>
    <col bestFit="1" min="5" max="5" width="30.00390625"/>
  </cols>
  <sheetData>
    <row r="1" ht="14.25">
      <c r="A1" s="11"/>
      <c r="B1" s="9" t="s">
        <v>72</v>
      </c>
      <c r="C1" s="17" t="s">
        <v>73</v>
      </c>
    </row>
    <row r="2" ht="14.25">
      <c r="A2" s="11"/>
      <c r="B2" s="11">
        <v>2.2000000000000002</v>
      </c>
      <c r="C2" s="4">
        <f t="shared" ref="C2:C9" si="5">2*25/B2^2</f>
        <v>10.330578512396693</v>
      </c>
    </row>
    <row r="3" ht="14.25">
      <c r="A3" s="11"/>
      <c r="B3" s="11">
        <v>2</v>
      </c>
      <c r="C3" s="4">
        <f t="shared" si="5"/>
        <v>12.5</v>
      </c>
    </row>
    <row r="4" ht="14.25">
      <c r="A4" s="11"/>
      <c r="B4" s="11">
        <v>2.2999999999999998</v>
      </c>
      <c r="C4" s="4">
        <f t="shared" si="5"/>
        <v>9.4517958412098313</v>
      </c>
    </row>
    <row r="5" ht="14.25">
      <c r="A5" s="11"/>
      <c r="B5" s="11">
        <v>1.8999999999999999</v>
      </c>
      <c r="C5" s="4">
        <f t="shared" si="5"/>
        <v>13.850415512465375</v>
      </c>
    </row>
    <row r="6" ht="14.25">
      <c r="A6" s="11"/>
      <c r="B6" s="11">
        <v>2.1000000000000001</v>
      </c>
      <c r="C6" s="4">
        <f t="shared" si="5"/>
        <v>11.337868480725623</v>
      </c>
    </row>
    <row r="7" ht="14.25">
      <c r="A7" s="11"/>
      <c r="B7" s="11">
        <v>2.2999999999999998</v>
      </c>
      <c r="C7" s="4">
        <f t="shared" si="5"/>
        <v>9.4517958412098313</v>
      </c>
    </row>
    <row r="8" ht="14.25">
      <c r="A8" s="11"/>
      <c r="B8" s="11">
        <v>2</v>
      </c>
      <c r="C8" s="4">
        <f t="shared" si="5"/>
        <v>12.5</v>
      </c>
    </row>
    <row r="9" ht="14.25">
      <c r="A9" s="12"/>
      <c r="B9" s="12">
        <v>2.2000000000000002</v>
      </c>
      <c r="C9" s="54">
        <f t="shared" si="5"/>
        <v>10.330578512396693</v>
      </c>
      <c r="D9" s="19"/>
      <c r="E9" s="19"/>
    </row>
    <row r="10" ht="14.25">
      <c r="A10" s="5" t="s">
        <v>44</v>
      </c>
      <c r="B10" s="55">
        <f>AVERAGE(B2:B9)</f>
        <v>2.125</v>
      </c>
      <c r="C10" s="4">
        <f>AVERAGE(C2:C9)</f>
        <v>11.219129087550506</v>
      </c>
      <c r="D10" s="56">
        <f>2*B20/B10^2</f>
        <v>11.072664359861591</v>
      </c>
      <c r="E10" s="19" t="s">
        <v>74</v>
      </c>
    </row>
    <row r="11" ht="14.25">
      <c r="A11" s="5" t="s">
        <v>45</v>
      </c>
      <c r="B11" s="55">
        <f>STDEVA(B2:B9)</f>
        <v>0.14880476182856897</v>
      </c>
      <c r="C11" s="4">
        <f>STDEVA(C2:C9)</f>
        <v>1.605570914864231</v>
      </c>
    </row>
    <row r="12" ht="14.25">
      <c r="A12" s="5" t="s">
        <v>46</v>
      </c>
      <c r="B12" s="55">
        <f>B11/SQRT(COUNT(B2:B9))</f>
        <v>0.052610428080915116</v>
      </c>
      <c r="C12" s="4">
        <f>C11/SQRT(COUNT(C2:C9))</f>
        <v>0.56765504078819329</v>
      </c>
    </row>
    <row r="13" ht="14.25">
      <c r="A13" s="5" t="s">
        <v>47</v>
      </c>
      <c r="B13" s="55">
        <f>B12*$B21</f>
        <v>0.12416061027095966</v>
      </c>
      <c r="C13" s="4">
        <f>C12*$B21</f>
        <v>1.339665896260136</v>
      </c>
    </row>
    <row r="14" ht="14.25">
      <c r="B14" s="11"/>
    </row>
    <row r="15" ht="14.25">
      <c r="A15" s="5" t="s">
        <v>75</v>
      </c>
      <c r="B15" s="11">
        <v>0.10000000000000001</v>
      </c>
    </row>
    <row r="16" ht="14.25">
      <c r="A16" s="32" t="s">
        <v>76</v>
      </c>
      <c r="B16" s="57">
        <f>B15/2</f>
        <v>0.050000000000000003</v>
      </c>
      <c r="C16" s="33" t="s">
        <v>77</v>
      </c>
    </row>
    <row r="17" ht="14.25">
      <c r="A17" s="5" t="s">
        <v>78</v>
      </c>
      <c r="B17" s="55">
        <f>0.95*B16</f>
        <v>0.047500000000000001</v>
      </c>
    </row>
    <row r="18" ht="14.25">
      <c r="A18" s="5" t="s">
        <v>79</v>
      </c>
      <c r="B18" s="58">
        <f>SQRT(B13^2+B17^2)</f>
        <v>0.13293647784884755</v>
      </c>
      <c r="C18" s="59">
        <f>ABS(-4*B20/B10^3)*B18</f>
        <v>1.3853750592023193</v>
      </c>
    </row>
    <row r="19" ht="14.25">
      <c r="A19" s="29" t="s">
        <v>80</v>
      </c>
      <c r="B19" s="27"/>
      <c r="C19" s="60">
        <f>C18/9.8</f>
        <v>0.14136480195942033</v>
      </c>
      <c r="D19" s="29" t="s">
        <v>81</v>
      </c>
      <c r="E19" s="29" t="s">
        <v>82</v>
      </c>
    </row>
    <row r="20" ht="14.25">
      <c r="A20" s="5" t="s">
        <v>83</v>
      </c>
      <c r="B20" s="11">
        <v>25</v>
      </c>
    </row>
    <row r="21" ht="14.25">
      <c r="A21" s="5" t="s">
        <v>84</v>
      </c>
      <c r="B21" s="55">
        <v>2.3599999999999999</v>
      </c>
    </row>
    <row r="22" ht="14.25"/>
    <row r="23" ht="14.25">
      <c r="A23" s="5" t="s">
        <v>85</v>
      </c>
      <c r="D23" s="61" t="str">
        <f>_xlfn.CONCAT(TEXT(D10,"#.##")," +/- ",TEXT(C18,"#.##"))</f>
        <v xml:space="preserve">11.07 +/- 1.39</v>
      </c>
    </row>
    <row r="24" ht="14.25"/>
    <row r="25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activePane="bottomLeft" state="frozen" topLeftCell="A2" ySplit="1"/>
      <selection activeCell="B1" activeCellId="0" sqref="B1:C131"/>
    </sheetView>
  </sheetViews>
  <sheetFormatPr defaultRowHeight="14.25"/>
  <cols>
    <col bestFit="1" min="1" max="1" width="23.8515625"/>
    <col bestFit="1" min="2" max="2" width="27.140625"/>
    <col bestFit="1" min="3" max="3" width="28.57421875"/>
    <col bestFit="1" min="4" max="4" width="27.57421875"/>
    <col bestFit="1" min="5" max="5" width="41.57421875"/>
    <col bestFit="1" min="6" max="6" width="20.7109375"/>
    <col bestFit="1" min="7" max="7" width="52.421875"/>
  </cols>
  <sheetData>
    <row r="1" ht="15">
      <c r="B1" s="35" t="s">
        <v>86</v>
      </c>
      <c r="C1" s="62" t="s">
        <v>87</v>
      </c>
      <c r="D1" s="63" t="s">
        <v>88</v>
      </c>
      <c r="E1" s="64" t="s">
        <v>89</v>
      </c>
      <c r="F1" s="64" t="s">
        <v>72</v>
      </c>
      <c r="G1" s="62" t="s">
        <v>90</v>
      </c>
    </row>
    <row r="2" ht="15">
      <c r="B2" s="8" t="s">
        <v>91</v>
      </c>
      <c r="C2" s="65">
        <v>21.399999999999999</v>
      </c>
      <c r="D2" s="66">
        <f t="shared" ref="D2:D9" si="6">C2/100</f>
        <v>0.214</v>
      </c>
      <c r="E2" s="67">
        <f t="shared" ref="E2:E9" si="7">IF(ISTEXT($B2),(D2-VLOOKUP($B2,$B$132:D$137,3,FALSE))^2,"")</f>
        <v>0.001024</v>
      </c>
      <c r="F2" s="68">
        <f t="shared" ref="F2:F9" si="8">SQRT(2*D2/9.807)</f>
        <v>0.20890738694205105</v>
      </c>
      <c r="G2" s="67">
        <f t="shared" ref="G2:G9" si="9">IF(ISTEXT($B2),(F2-VLOOKUP($B2,$B$132:F$137,5,FALSE))^2,"")</f>
        <v>0.00022726488012456719</v>
      </c>
    </row>
    <row r="3" ht="15">
      <c r="B3" s="8" t="s">
        <v>91</v>
      </c>
      <c r="C3">
        <v>25.399999999999999</v>
      </c>
      <c r="D3" s="66">
        <f t="shared" si="6"/>
        <v>0.254</v>
      </c>
      <c r="E3" s="67">
        <f t="shared" si="7"/>
        <v>6.4000000000000119e-05</v>
      </c>
      <c r="F3" s="68">
        <f t="shared" si="8"/>
        <v>0.22759555110600616</v>
      </c>
      <c r="G3" s="67">
        <f t="shared" si="9"/>
        <v>1.3052737131512533e-05</v>
      </c>
    </row>
    <row r="4" ht="15">
      <c r="B4" s="8" t="s">
        <v>91</v>
      </c>
      <c r="C4">
        <v>26.600000000000001</v>
      </c>
      <c r="D4" s="66">
        <f t="shared" si="6"/>
        <v>0.26600000000000001</v>
      </c>
      <c r="E4" s="67">
        <f t="shared" si="7"/>
        <v>0.00040000000000000072</v>
      </c>
      <c r="F4" s="68">
        <f t="shared" si="8"/>
        <v>0.23290978178800029</v>
      </c>
      <c r="G4" s="67">
        <f t="shared" si="9"/>
        <v>7.9692898013115741e-05</v>
      </c>
    </row>
    <row r="5" ht="15">
      <c r="B5" s="8" t="s">
        <v>91</v>
      </c>
      <c r="C5">
        <v>23.399999999999999</v>
      </c>
      <c r="D5" s="66">
        <f t="shared" si="6"/>
        <v>0.23399999999999999</v>
      </c>
      <c r="E5" s="67">
        <f t="shared" si="7"/>
        <v>0.00014400000000000025</v>
      </c>
      <c r="F5" s="68">
        <f t="shared" si="8"/>
        <v>0.21845140329396204</v>
      </c>
      <c r="G5" s="67">
        <f t="shared" si="9"/>
        <v>3.0595175859504836e-05</v>
      </c>
    </row>
    <row r="6" ht="15">
      <c r="B6" s="8" t="s">
        <v>91</v>
      </c>
      <c r="C6">
        <v>19.5</v>
      </c>
      <c r="D6" s="66">
        <f t="shared" si="6"/>
        <v>0.19500000000000001</v>
      </c>
      <c r="E6" s="67">
        <f t="shared" si="7"/>
        <v>0.0026009999999999991</v>
      </c>
      <c r="F6" s="68">
        <f t="shared" si="8"/>
        <v>0.19941793550460227</v>
      </c>
      <c r="G6" s="67">
        <f t="shared" si="9"/>
        <v>0.00060342735542867035</v>
      </c>
    </row>
    <row r="7" ht="15">
      <c r="B7" s="8" t="s">
        <v>91</v>
      </c>
      <c r="C7">
        <v>22.600000000000001</v>
      </c>
      <c r="D7" s="66">
        <f t="shared" si="6"/>
        <v>0.22600000000000001</v>
      </c>
      <c r="E7" s="67">
        <f t="shared" si="7"/>
        <v>0.00039999999999999959</v>
      </c>
      <c r="F7" s="68">
        <f t="shared" si="8"/>
        <v>0.21468471740727865</v>
      </c>
      <c r="G7" s="67">
        <f t="shared" si="9"/>
        <v>8.6452367012270338e-05</v>
      </c>
    </row>
    <row r="8" ht="15">
      <c r="B8" s="8" t="s">
        <v>91</v>
      </c>
      <c r="C8">
        <v>26.5</v>
      </c>
      <c r="D8" s="66">
        <f t="shared" si="6"/>
        <v>0.26500000000000001</v>
      </c>
      <c r="E8" s="67">
        <f t="shared" si="7"/>
        <v>0.00036100000000000064</v>
      </c>
      <c r="F8" s="68">
        <f t="shared" si="8"/>
        <v>0.23247156920455161</v>
      </c>
      <c r="G8" s="67">
        <f t="shared" si="9"/>
        <v>7.2061003796474853e-05</v>
      </c>
    </row>
    <row r="9" ht="15">
      <c r="B9" s="8" t="s">
        <v>91</v>
      </c>
      <c r="C9">
        <v>26.800000000000001</v>
      </c>
      <c r="D9" s="66">
        <f t="shared" si="6"/>
        <v>0.26800000000000002</v>
      </c>
      <c r="E9" s="67">
        <f t="shared" si="7"/>
        <v>0.00048400000000000087</v>
      </c>
      <c r="F9" s="68">
        <f t="shared" si="8"/>
        <v>0.23378374276400923</v>
      </c>
      <c r="G9" s="67">
        <f t="shared" si="9"/>
        <v>9.60605586733431e-05</v>
      </c>
    </row>
    <row r="10" ht="15">
      <c r="B10" s="8" t="s">
        <v>91</v>
      </c>
      <c r="C10">
        <v>25.699999999999999</v>
      </c>
      <c r="D10" s="66">
        <f t="shared" ref="D10:D73" si="10">C10/100</f>
        <v>0.25700000000000001</v>
      </c>
      <c r="E10" s="67">
        <f t="shared" ref="E10:E73" si="11">IF(ISTEXT($B10),(D10-VLOOKUP($B10,$B$132:D$137,3,FALSE))^2,"")</f>
        <v>0.00012100000000000022</v>
      </c>
      <c r="F10" s="68">
        <f t="shared" ref="F10:F73" si="12">SQRT(2*D10/9.807)</f>
        <v>0.22893567388148242</v>
      </c>
      <c r="G10" s="67">
        <f t="shared" ref="G10:G73" si="13">IF(ISTEXT($B10),(F10-VLOOKUP($B10,$B$132:F$137,5,FALSE))^2,"")</f>
        <v>2.4532010615425241e-05</v>
      </c>
    </row>
    <row r="11" ht="15">
      <c r="B11" s="8" t="s">
        <v>91</v>
      </c>
      <c r="C11">
        <v>28.100000000000001</v>
      </c>
      <c r="D11" s="66">
        <f t="shared" si="10"/>
        <v>0.28100000000000003</v>
      </c>
      <c r="E11" s="67">
        <f t="shared" si="11"/>
        <v>0.0012250000000000021</v>
      </c>
      <c r="F11" s="68">
        <f t="shared" si="12"/>
        <v>0.23938672877614364</v>
      </c>
      <c r="G11" s="67">
        <f t="shared" si="13"/>
        <v>0.00023728429021185475</v>
      </c>
    </row>
    <row r="12" ht="15">
      <c r="B12" s="8" t="s">
        <v>92</v>
      </c>
      <c r="C12">
        <v>32.200000000000003</v>
      </c>
      <c r="D12" s="66">
        <f t="shared" si="10"/>
        <v>0.32200000000000001</v>
      </c>
      <c r="E12" s="67">
        <f t="shared" si="11"/>
        <v>0.00023103999999999806</v>
      </c>
      <c r="F12" s="68">
        <f t="shared" si="12"/>
        <v>0.25625647395244677</v>
      </c>
      <c r="G12" s="67">
        <f t="shared" si="13"/>
        <v>3.7471573031017176e-05</v>
      </c>
    </row>
    <row r="13" ht="15">
      <c r="B13" s="8" t="s">
        <v>92</v>
      </c>
      <c r="C13">
        <v>31.5</v>
      </c>
      <c r="D13" s="66">
        <f t="shared" si="10"/>
        <v>0.315</v>
      </c>
      <c r="E13" s="67">
        <f t="shared" si="11"/>
        <v>6.7239999999998848e-05</v>
      </c>
      <c r="F13" s="68">
        <f t="shared" si="12"/>
        <v>0.25345577265824931</v>
      </c>
      <c r="G13" s="67">
        <f t="shared" si="13"/>
        <v>1.1027058919828001e-05</v>
      </c>
    </row>
    <row r="14" ht="15">
      <c r="B14" s="8" t="s">
        <v>92</v>
      </c>
      <c r="C14">
        <v>32.399999999999999</v>
      </c>
      <c r="D14" s="66">
        <f t="shared" si="10"/>
        <v>0.32400000000000001</v>
      </c>
      <c r="E14" s="67">
        <f t="shared" si="11"/>
        <v>0.00029583999999999785</v>
      </c>
      <c r="F14" s="69">
        <f t="shared" si="12"/>
        <v>0.25705106957714763</v>
      </c>
      <c r="G14" s="67">
        <f t="shared" si="13"/>
        <v>4.7831035104332679e-05</v>
      </c>
    </row>
    <row r="15" ht="15">
      <c r="B15" s="8" t="s">
        <v>92</v>
      </c>
      <c r="C15">
        <v>30.399999999999999</v>
      </c>
      <c r="D15" s="66">
        <f t="shared" si="10"/>
        <v>0.30399999999999999</v>
      </c>
      <c r="E15" s="67">
        <f t="shared" si="11"/>
        <v>7.8400000000004484e-06</v>
      </c>
      <c r="F15" s="69">
        <f t="shared" si="12"/>
        <v>0.24899103013685087</v>
      </c>
      <c r="G15" s="67">
        <f t="shared" si="13"/>
        <v>1.3088296975025251e-06</v>
      </c>
    </row>
    <row r="16" ht="15">
      <c r="B16" s="8" t="s">
        <v>92</v>
      </c>
      <c r="C16">
        <v>28.399999999999999</v>
      </c>
      <c r="D16" s="66">
        <f t="shared" si="10"/>
        <v>0.28399999999999997</v>
      </c>
      <c r="E16" s="67">
        <f t="shared" si="11"/>
        <v>0.00051984000000000448</v>
      </c>
      <c r="F16" s="68">
        <f t="shared" si="12"/>
        <v>0.24066120129024696</v>
      </c>
      <c r="G16" s="67">
        <f t="shared" si="13"/>
        <v>8.9754208941434312e-05</v>
      </c>
    </row>
    <row r="17" ht="15">
      <c r="B17" s="8" t="s">
        <v>92</v>
      </c>
      <c r="C17">
        <v>29.600000000000001</v>
      </c>
      <c r="D17" s="66">
        <f t="shared" si="10"/>
        <v>0.29600000000000004</v>
      </c>
      <c r="E17" s="67">
        <f t="shared" si="11"/>
        <v>0.00011664000000000069</v>
      </c>
      <c r="F17" s="69">
        <f t="shared" si="12"/>
        <v>0.24569299008264769</v>
      </c>
      <c r="G17" s="67">
        <f t="shared" si="13"/>
        <v>1.9732083656544305e-05</v>
      </c>
    </row>
    <row r="18" ht="15">
      <c r="B18" s="8" t="s">
        <v>92</v>
      </c>
      <c r="C18">
        <v>30.600000000000001</v>
      </c>
      <c r="D18" s="66">
        <f t="shared" si="10"/>
        <v>0.30599999999999999</v>
      </c>
      <c r="E18" s="67">
        <f t="shared" si="11"/>
        <v>6.4000000000012548e-07</v>
      </c>
      <c r="F18" s="68">
        <f t="shared" si="12"/>
        <v>0.24980873687048</v>
      </c>
      <c r="G18" s="67">
        <f t="shared" si="13"/>
        <v>1.0649402140924121e-07</v>
      </c>
    </row>
    <row r="19" ht="15">
      <c r="B19" s="8" t="s">
        <v>92</v>
      </c>
      <c r="C19">
        <v>30.5</v>
      </c>
      <c r="D19" s="66">
        <f t="shared" si="10"/>
        <v>0.30499999999999999</v>
      </c>
      <c r="E19" s="67">
        <f t="shared" si="11"/>
        <v>3.2400000000002853e-06</v>
      </c>
      <c r="F19" s="68">
        <f t="shared" si="12"/>
        <v>0.24940021863005141</v>
      </c>
      <c r="G19" s="67">
        <f t="shared" si="13"/>
        <v>5.4000813469378646e-07</v>
      </c>
    </row>
    <row r="20" ht="15">
      <c r="B20" s="8" t="s">
        <v>92</v>
      </c>
      <c r="C20">
        <v>28</v>
      </c>
      <c r="D20" s="66">
        <f t="shared" si="10"/>
        <v>0.28000000000000003</v>
      </c>
      <c r="E20" s="67">
        <f t="shared" si="11"/>
        <v>0.00071824000000000247</v>
      </c>
      <c r="F20" s="68">
        <f t="shared" si="12"/>
        <v>0.23896039410336536</v>
      </c>
      <c r="G20" s="67">
        <f t="shared" si="13"/>
        <v>0.0001248734057069799</v>
      </c>
    </row>
    <row r="21" ht="15">
      <c r="B21" s="8" t="s">
        <v>92</v>
      </c>
      <c r="C21">
        <v>33.200000000000003</v>
      </c>
      <c r="D21" s="66">
        <f t="shared" si="10"/>
        <v>0.33200000000000002</v>
      </c>
      <c r="E21" s="67">
        <f t="shared" si="11"/>
        <v>0.0006350399999999972</v>
      </c>
      <c r="F21" s="68">
        <f t="shared" si="12"/>
        <v>0.26020518842562257</v>
      </c>
      <c r="G21" s="67">
        <f t="shared" si="13"/>
        <v>0.00010140726319704004</v>
      </c>
    </row>
    <row r="22" ht="15">
      <c r="B22" s="8" t="s">
        <v>93</v>
      </c>
      <c r="C22">
        <v>35.5</v>
      </c>
      <c r="D22" s="66">
        <f t="shared" si="10"/>
        <v>0.35499999999999998</v>
      </c>
      <c r="E22" s="67">
        <f t="shared" si="11"/>
        <v>0.0037822499999999931</v>
      </c>
      <c r="F22" s="68">
        <f t="shared" si="12"/>
        <v>0.26906740281587616</v>
      </c>
      <c r="G22" s="67">
        <f t="shared" si="13"/>
        <v>0.00059605158320443733</v>
      </c>
    </row>
    <row r="23" ht="15">
      <c r="B23" s="8" t="s">
        <v>93</v>
      </c>
      <c r="C23">
        <v>29.5</v>
      </c>
      <c r="D23" s="66">
        <f t="shared" si="10"/>
        <v>0.29499999999999998</v>
      </c>
      <c r="E23" s="67">
        <f t="shared" si="11"/>
        <v>2.2499999999998374e-06</v>
      </c>
      <c r="F23" s="68">
        <f t="shared" si="12"/>
        <v>0.24527761702129433</v>
      </c>
      <c r="G23" s="67">
        <f t="shared" si="13"/>
        <v>3.8985273109643896e-07</v>
      </c>
    </row>
    <row r="24" ht="15">
      <c r="B24" s="8" t="s">
        <v>93</v>
      </c>
      <c r="C24">
        <v>31</v>
      </c>
      <c r="D24" s="66">
        <f t="shared" si="10"/>
        <v>0.31</v>
      </c>
      <c r="E24" s="67">
        <f t="shared" si="11"/>
        <v>0.00027224999999999868</v>
      </c>
      <c r="F24" s="68">
        <f t="shared" si="12"/>
        <v>0.25143617256324474</v>
      </c>
      <c r="G24" s="67">
        <f t="shared" si="13"/>
        <v>4.6008240059493704e-05</v>
      </c>
    </row>
    <row r="25" ht="15">
      <c r="B25" s="8" t="s">
        <v>93</v>
      </c>
      <c r="C25">
        <v>33.600000000000001</v>
      </c>
      <c r="D25" s="66">
        <f t="shared" si="10"/>
        <v>0.33600000000000002</v>
      </c>
      <c r="E25" s="67">
        <f t="shared" si="11"/>
        <v>0.0018062499999999984</v>
      </c>
      <c r="F25" s="68">
        <f t="shared" si="12"/>
        <v>0.26176799640147541</v>
      </c>
      <c r="G25" s="67">
        <f t="shared" si="13"/>
        <v>0.00029291505296624509</v>
      </c>
    </row>
    <row r="26" ht="15">
      <c r="B26" s="8" t="s">
        <v>93</v>
      </c>
      <c r="C26">
        <v>30</v>
      </c>
      <c r="D26" s="66">
        <f t="shared" si="10"/>
        <v>0.29999999999999999</v>
      </c>
      <c r="E26" s="67">
        <f t="shared" si="11"/>
        <v>4.2249999999999353e-05</v>
      </c>
      <c r="F26" s="68">
        <f t="shared" si="12"/>
        <v>0.24734750702641231</v>
      </c>
      <c r="G26" s="67">
        <f t="shared" si="13"/>
        <v>7.2591009867261059e-06</v>
      </c>
    </row>
    <row r="27" ht="15">
      <c r="B27" s="8" t="s">
        <v>93</v>
      </c>
      <c r="C27">
        <v>28.399999999999999</v>
      </c>
      <c r="D27" s="66">
        <f t="shared" si="10"/>
        <v>0.28399999999999997</v>
      </c>
      <c r="E27" s="67">
        <f t="shared" si="11"/>
        <v>9.0250000000001218e-05</v>
      </c>
      <c r="F27" s="68">
        <f t="shared" si="12"/>
        <v>0.24066120129024696</v>
      </c>
      <c r="G27" s="67">
        <f t="shared" si="13"/>
        <v>1.5936334274147592e-05</v>
      </c>
    </row>
    <row r="28" ht="15">
      <c r="B28" s="8" t="s">
        <v>93</v>
      </c>
      <c r="C28">
        <v>27.5</v>
      </c>
      <c r="D28" s="66">
        <f t="shared" si="10"/>
        <v>0.27500000000000002</v>
      </c>
      <c r="E28" s="67">
        <f t="shared" si="11"/>
        <v>0.00034225000000000059</v>
      </c>
      <c r="F28" s="68">
        <f t="shared" si="12"/>
        <v>0.23681720826303848</v>
      </c>
      <c r="G28" s="67">
        <f t="shared" si="13"/>
        <v>6.1403317248995664e-05</v>
      </c>
    </row>
    <row r="29" ht="15">
      <c r="B29" s="8" t="s">
        <v>93</v>
      </c>
      <c r="C29">
        <v>27.300000000000001</v>
      </c>
      <c r="D29" s="66">
        <f t="shared" si="10"/>
        <v>0.27300000000000002</v>
      </c>
      <c r="E29" s="67">
        <f t="shared" si="11"/>
        <v>0.00042025000000000076</v>
      </c>
      <c r="F29" s="68">
        <f t="shared" si="12"/>
        <v>0.23595448332524813</v>
      </c>
      <c r="G29" s="67">
        <f t="shared" si="13"/>
        <v>7.5668283170763091e-05</v>
      </c>
    </row>
    <row r="30" ht="15">
      <c r="B30" s="8" t="s">
        <v>93</v>
      </c>
      <c r="C30">
        <v>24.899999999999999</v>
      </c>
      <c r="D30" s="66">
        <f t="shared" si="10"/>
        <v>0.249</v>
      </c>
      <c r="E30" s="67">
        <f t="shared" si="11"/>
        <v>0.0019802500000000037</v>
      </c>
      <c r="F30" s="68">
        <f t="shared" si="12"/>
        <v>0.22534430337310571</v>
      </c>
      <c r="G30" s="67">
        <f t="shared" si="13"/>
        <v>0.00037283484605874325</v>
      </c>
    </row>
    <row r="31" ht="15">
      <c r="B31" s="8" t="s">
        <v>93</v>
      </c>
      <c r="C31">
        <v>25.800000000000001</v>
      </c>
      <c r="D31" s="66">
        <f t="shared" si="10"/>
        <v>0.25800000000000001</v>
      </c>
      <c r="E31" s="67">
        <f t="shared" si="11"/>
        <v>0.0012602500000000023</v>
      </c>
      <c r="F31" s="68">
        <f t="shared" si="12"/>
        <v>0.22938064159748908</v>
      </c>
      <c r="G31" s="67">
        <f t="shared" si="13"/>
        <v>0.00023325211357815251</v>
      </c>
    </row>
    <row r="32" ht="15">
      <c r="B32" s="8"/>
      <c r="C32">
        <v>19</v>
      </c>
      <c r="D32" s="66">
        <f t="shared" si="10"/>
        <v>0.19</v>
      </c>
      <c r="E32" s="67" t="str">
        <f t="shared" si="11"/>
        <v/>
      </c>
      <c r="F32" s="68">
        <f t="shared" si="12"/>
        <v>0.19684469304601879</v>
      </c>
      <c r="G32" s="67" t="str">
        <f t="shared" si="13"/>
        <v/>
      </c>
    </row>
    <row r="33" ht="15">
      <c r="B33" s="8"/>
      <c r="C33">
        <v>14</v>
      </c>
      <c r="D33" s="66">
        <f t="shared" si="10"/>
        <v>0.14000000000000001</v>
      </c>
      <c r="E33" s="67" t="str">
        <f t="shared" si="11"/>
        <v/>
      </c>
      <c r="F33" s="68">
        <f t="shared" si="12"/>
        <v>0.16897051510549954</v>
      </c>
      <c r="G33" s="67" t="str">
        <f t="shared" si="13"/>
        <v/>
      </c>
    </row>
    <row r="34" ht="15">
      <c r="B34" s="8"/>
      <c r="C34">
        <v>8</v>
      </c>
      <c r="D34" s="66">
        <f t="shared" si="10"/>
        <v>0.080000000000000002</v>
      </c>
      <c r="E34" s="67" t="str">
        <f t="shared" si="11"/>
        <v/>
      </c>
      <c r="F34" s="68">
        <f t="shared" si="12"/>
        <v>0.1277297033918956</v>
      </c>
      <c r="G34" s="67" t="str">
        <f t="shared" si="13"/>
        <v/>
      </c>
    </row>
    <row r="35" ht="15">
      <c r="B35" s="8"/>
      <c r="C35">
        <v>6</v>
      </c>
      <c r="D35" s="66">
        <f t="shared" si="10"/>
        <v>0.059999999999999998</v>
      </c>
      <c r="E35" s="67" t="str">
        <f t="shared" si="11"/>
        <v/>
      </c>
      <c r="F35" s="68">
        <f t="shared" si="12"/>
        <v>0.11061716795523296</v>
      </c>
      <c r="G35" s="67" t="str">
        <f t="shared" si="13"/>
        <v/>
      </c>
    </row>
    <row r="36" ht="15">
      <c r="B36" s="8"/>
      <c r="C36">
        <v>13</v>
      </c>
      <c r="D36" s="66">
        <f t="shared" si="10"/>
        <v>0.13</v>
      </c>
      <c r="E36" s="67" t="str">
        <f t="shared" si="11"/>
        <v/>
      </c>
      <c r="F36" s="68">
        <f t="shared" si="12"/>
        <v>0.16282406251517353</v>
      </c>
      <c r="G36" s="67" t="str">
        <f t="shared" si="13"/>
        <v/>
      </c>
    </row>
    <row r="37" ht="15">
      <c r="B37" s="8"/>
      <c r="C37">
        <v>21</v>
      </c>
      <c r="D37" s="66">
        <f t="shared" si="10"/>
        <v>0.20999999999999999</v>
      </c>
      <c r="E37" s="67" t="str">
        <f t="shared" si="11"/>
        <v/>
      </c>
      <c r="F37" s="68">
        <f t="shared" si="12"/>
        <v>0.20694577179185558</v>
      </c>
      <c r="G37" s="67" t="str">
        <f t="shared" si="13"/>
        <v/>
      </c>
    </row>
    <row r="38" ht="15">
      <c r="B38" s="8"/>
      <c r="C38">
        <v>17</v>
      </c>
      <c r="D38" s="66">
        <f t="shared" si="10"/>
        <v>0.17000000000000001</v>
      </c>
      <c r="E38" s="67" t="str">
        <f t="shared" si="11"/>
        <v/>
      </c>
      <c r="F38" s="68">
        <f t="shared" si="12"/>
        <v>0.18619643900525046</v>
      </c>
      <c r="G38" s="67" t="str">
        <f t="shared" si="13"/>
        <v/>
      </c>
    </row>
    <row r="39" ht="15">
      <c r="B39" s="8"/>
      <c r="C39">
        <v>11</v>
      </c>
      <c r="D39" s="66">
        <f t="shared" si="10"/>
        <v>0.11</v>
      </c>
      <c r="E39" s="67" t="str">
        <f t="shared" si="11"/>
        <v/>
      </c>
      <c r="F39" s="68">
        <f t="shared" si="12"/>
        <v>0.14977635344672982</v>
      </c>
      <c r="G39" s="67" t="str">
        <f t="shared" si="13"/>
        <v/>
      </c>
    </row>
    <row r="40" ht="15">
      <c r="B40" s="8"/>
      <c r="C40">
        <v>13</v>
      </c>
      <c r="D40" s="66">
        <f t="shared" si="10"/>
        <v>0.13</v>
      </c>
      <c r="E40" s="67" t="str">
        <f t="shared" si="11"/>
        <v/>
      </c>
      <c r="F40" s="68">
        <f t="shared" si="12"/>
        <v>0.16282406251517353</v>
      </c>
      <c r="G40" s="67" t="str">
        <f t="shared" si="13"/>
        <v/>
      </c>
    </row>
    <row r="41" ht="15">
      <c r="B41" s="8"/>
      <c r="C41">
        <v>9</v>
      </c>
      <c r="D41" s="66">
        <f t="shared" si="10"/>
        <v>0.089999999999999997</v>
      </c>
      <c r="E41" s="67" t="str">
        <f t="shared" si="11"/>
        <v/>
      </c>
      <c r="F41" s="68">
        <f t="shared" si="12"/>
        <v>0.13547780914103361</v>
      </c>
      <c r="G41" s="67" t="str">
        <f t="shared" si="13"/>
        <v/>
      </c>
    </row>
    <row r="42" ht="15">
      <c r="B42" s="8"/>
      <c r="C42">
        <v>36</v>
      </c>
      <c r="D42" s="66">
        <f t="shared" si="10"/>
        <v>0.35999999999999999</v>
      </c>
      <c r="E42" s="67" t="str">
        <f t="shared" si="11"/>
        <v/>
      </c>
      <c r="F42" s="68">
        <f t="shared" si="12"/>
        <v>0.27095561828206721</v>
      </c>
      <c r="G42" s="67" t="str">
        <f t="shared" si="13"/>
        <v/>
      </c>
    </row>
    <row r="43" ht="15">
      <c r="B43" s="8"/>
      <c r="C43">
        <v>23</v>
      </c>
      <c r="D43" s="66">
        <f t="shared" si="10"/>
        <v>0.23000000000000001</v>
      </c>
      <c r="E43" s="67" t="str">
        <f t="shared" si="11"/>
        <v/>
      </c>
      <c r="F43" s="68">
        <f t="shared" si="12"/>
        <v>0.21657624926263769</v>
      </c>
      <c r="G43" s="67" t="str">
        <f t="shared" si="13"/>
        <v/>
      </c>
    </row>
    <row r="44" ht="15">
      <c r="B44" s="8"/>
      <c r="C44">
        <v>18</v>
      </c>
      <c r="D44" s="66">
        <f t="shared" si="10"/>
        <v>0.17999999999999999</v>
      </c>
      <c r="E44" s="67" t="str">
        <f t="shared" si="11"/>
        <v/>
      </c>
      <c r="F44" s="68">
        <f t="shared" si="12"/>
        <v>0.19159455508784337</v>
      </c>
      <c r="G44" s="67" t="str">
        <f t="shared" si="13"/>
        <v/>
      </c>
    </row>
    <row r="45" ht="15">
      <c r="B45" s="8"/>
      <c r="C45">
        <v>23</v>
      </c>
      <c r="D45" s="66">
        <f t="shared" si="10"/>
        <v>0.23000000000000001</v>
      </c>
      <c r="E45" s="67" t="str">
        <f t="shared" si="11"/>
        <v/>
      </c>
      <c r="F45" s="68">
        <f t="shared" si="12"/>
        <v>0.21657624926263769</v>
      </c>
      <c r="G45" s="67" t="str">
        <f t="shared" si="13"/>
        <v/>
      </c>
    </row>
    <row r="46" ht="15">
      <c r="B46" s="8"/>
      <c r="C46">
        <v>23</v>
      </c>
      <c r="D46" s="66">
        <f t="shared" si="10"/>
        <v>0.23000000000000001</v>
      </c>
      <c r="E46" s="67" t="str">
        <f t="shared" si="11"/>
        <v/>
      </c>
      <c r="F46" s="68">
        <f t="shared" si="12"/>
        <v>0.21657624926263769</v>
      </c>
      <c r="G46" s="67" t="str">
        <f t="shared" si="13"/>
        <v/>
      </c>
    </row>
    <row r="47" ht="15">
      <c r="B47" s="8"/>
      <c r="C47">
        <v>14</v>
      </c>
      <c r="D47" s="66">
        <f t="shared" si="10"/>
        <v>0.14000000000000001</v>
      </c>
      <c r="E47" s="67" t="str">
        <f t="shared" si="11"/>
        <v/>
      </c>
      <c r="F47" s="68">
        <f t="shared" si="12"/>
        <v>0.16897051510549954</v>
      </c>
      <c r="G47" s="67" t="str">
        <f t="shared" si="13"/>
        <v/>
      </c>
    </row>
    <row r="48" ht="15">
      <c r="B48" s="8"/>
      <c r="C48">
        <v>19</v>
      </c>
      <c r="D48" s="66">
        <f t="shared" si="10"/>
        <v>0.19</v>
      </c>
      <c r="E48" s="67" t="str">
        <f t="shared" si="11"/>
        <v/>
      </c>
      <c r="F48" s="68">
        <f t="shared" si="12"/>
        <v>0.19684469304601879</v>
      </c>
      <c r="G48" s="67" t="str">
        <f t="shared" si="13"/>
        <v/>
      </c>
    </row>
    <row r="49" ht="15">
      <c r="B49" s="8"/>
      <c r="C49">
        <v>16</v>
      </c>
      <c r="D49" s="66">
        <f t="shared" si="10"/>
        <v>0.16</v>
      </c>
      <c r="E49" s="67" t="str">
        <f t="shared" si="11"/>
        <v/>
      </c>
      <c r="F49" s="68">
        <f t="shared" si="12"/>
        <v>0.18063707885471147</v>
      </c>
      <c r="G49" s="67" t="str">
        <f t="shared" si="13"/>
        <v/>
      </c>
    </row>
    <row r="50" ht="15">
      <c r="B50" s="8"/>
      <c r="C50">
        <v>21</v>
      </c>
      <c r="D50" s="66">
        <f t="shared" si="10"/>
        <v>0.20999999999999999</v>
      </c>
      <c r="E50" s="67" t="str">
        <f t="shared" si="11"/>
        <v/>
      </c>
      <c r="F50" s="68">
        <f t="shared" si="12"/>
        <v>0.20694577179185558</v>
      </c>
      <c r="G50" s="67" t="str">
        <f t="shared" si="13"/>
        <v/>
      </c>
    </row>
    <row r="51" ht="15">
      <c r="B51" s="8"/>
      <c r="C51">
        <v>25</v>
      </c>
      <c r="D51" s="66">
        <f t="shared" si="10"/>
        <v>0.25</v>
      </c>
      <c r="E51" s="67" t="str">
        <f t="shared" si="11"/>
        <v/>
      </c>
      <c r="F51" s="68">
        <f t="shared" si="12"/>
        <v>0.22579634856838934</v>
      </c>
      <c r="G51" s="67" t="str">
        <f t="shared" si="13"/>
        <v/>
      </c>
    </row>
    <row r="52" ht="15">
      <c r="B52" s="8"/>
      <c r="C52">
        <v>26</v>
      </c>
      <c r="D52" s="66">
        <f t="shared" si="10"/>
        <v>0.26000000000000001</v>
      </c>
      <c r="E52" s="67" t="str">
        <f t="shared" si="11"/>
        <v/>
      </c>
      <c r="F52" s="68">
        <f t="shared" si="12"/>
        <v>0.23026799748964311</v>
      </c>
      <c r="G52" s="67" t="str">
        <f t="shared" si="13"/>
        <v/>
      </c>
    </row>
    <row r="53" ht="15">
      <c r="B53" s="8"/>
      <c r="C53">
        <v>23</v>
      </c>
      <c r="D53" s="66">
        <f t="shared" si="10"/>
        <v>0.23000000000000001</v>
      </c>
      <c r="E53" s="67" t="str">
        <f t="shared" si="11"/>
        <v/>
      </c>
      <c r="F53" s="68">
        <f t="shared" si="12"/>
        <v>0.21657624926263769</v>
      </c>
      <c r="G53" s="67" t="str">
        <f t="shared" si="13"/>
        <v/>
      </c>
    </row>
    <row r="54" ht="15">
      <c r="B54" s="8"/>
      <c r="C54">
        <v>15</v>
      </c>
      <c r="D54" s="66">
        <f t="shared" si="10"/>
        <v>0.14999999999999999</v>
      </c>
      <c r="E54" s="67" t="str">
        <f t="shared" si="11"/>
        <v/>
      </c>
      <c r="F54" s="70">
        <f t="shared" si="12"/>
        <v>0.17490109952796337</v>
      </c>
      <c r="G54" s="67" t="str">
        <f t="shared" si="13"/>
        <v/>
      </c>
    </row>
    <row r="55" ht="15">
      <c r="B55" s="8"/>
      <c r="C55">
        <v>18</v>
      </c>
      <c r="D55" s="66">
        <f t="shared" si="10"/>
        <v>0.17999999999999999</v>
      </c>
      <c r="E55" s="67" t="str">
        <f t="shared" si="11"/>
        <v/>
      </c>
      <c r="F55" s="68">
        <f t="shared" si="12"/>
        <v>0.19159455508784337</v>
      </c>
      <c r="G55" s="67" t="str">
        <f t="shared" si="13"/>
        <v/>
      </c>
    </row>
    <row r="56" ht="15">
      <c r="B56" s="8"/>
      <c r="C56">
        <v>14</v>
      </c>
      <c r="D56" s="66">
        <f t="shared" si="10"/>
        <v>0.14000000000000001</v>
      </c>
      <c r="E56" s="67" t="str">
        <f t="shared" si="11"/>
        <v/>
      </c>
      <c r="F56" s="68">
        <f t="shared" si="12"/>
        <v>0.16897051510549954</v>
      </c>
      <c r="G56" s="67" t="str">
        <f t="shared" si="13"/>
        <v/>
      </c>
    </row>
    <row r="57" ht="15">
      <c r="B57" s="8"/>
      <c r="C57">
        <v>16</v>
      </c>
      <c r="D57" s="66">
        <f t="shared" si="10"/>
        <v>0.16</v>
      </c>
      <c r="E57" s="67" t="str">
        <f t="shared" si="11"/>
        <v/>
      </c>
      <c r="F57" s="68">
        <f t="shared" si="12"/>
        <v>0.18063707885471147</v>
      </c>
      <c r="G57" s="67" t="str">
        <f t="shared" si="13"/>
        <v/>
      </c>
    </row>
    <row r="58" ht="15">
      <c r="B58" s="8"/>
      <c r="C58">
        <v>20</v>
      </c>
      <c r="D58" s="66">
        <f t="shared" si="10"/>
        <v>0.20000000000000001</v>
      </c>
      <c r="E58" s="67" t="str">
        <f t="shared" si="11"/>
        <v/>
      </c>
      <c r="F58" s="68">
        <f t="shared" si="12"/>
        <v>0.20195839378806235</v>
      </c>
      <c r="G58" s="67" t="str">
        <f t="shared" si="13"/>
        <v/>
      </c>
    </row>
    <row r="59" ht="15">
      <c r="B59" s="8"/>
      <c r="C59">
        <v>17</v>
      </c>
      <c r="D59" s="66">
        <f t="shared" si="10"/>
        <v>0.17000000000000001</v>
      </c>
      <c r="E59" s="67" t="str">
        <f t="shared" si="11"/>
        <v/>
      </c>
      <c r="F59" s="68">
        <f t="shared" si="12"/>
        <v>0.18619643900525046</v>
      </c>
      <c r="G59" s="67" t="str">
        <f t="shared" si="13"/>
        <v/>
      </c>
    </row>
    <row r="60" ht="15">
      <c r="B60" s="8"/>
      <c r="C60">
        <v>10</v>
      </c>
      <c r="D60" s="66">
        <f t="shared" si="10"/>
        <v>0.10000000000000001</v>
      </c>
      <c r="E60" s="67" t="str">
        <f t="shared" si="11"/>
        <v/>
      </c>
      <c r="F60" s="69">
        <f t="shared" si="12"/>
        <v>0.14280614976508202</v>
      </c>
      <c r="G60" s="67" t="str">
        <f t="shared" si="13"/>
        <v/>
      </c>
    </row>
    <row r="61" ht="15">
      <c r="B61" s="8"/>
      <c r="C61">
        <v>23</v>
      </c>
      <c r="D61" s="66">
        <f t="shared" si="10"/>
        <v>0.23000000000000001</v>
      </c>
      <c r="E61" s="67" t="str">
        <f t="shared" si="11"/>
        <v/>
      </c>
      <c r="F61" s="68">
        <f t="shared" si="12"/>
        <v>0.21657624926263769</v>
      </c>
      <c r="G61" s="67" t="str">
        <f t="shared" si="13"/>
        <v/>
      </c>
    </row>
    <row r="62" ht="15">
      <c r="B62" s="8"/>
      <c r="C62">
        <v>30</v>
      </c>
      <c r="D62" s="66">
        <f t="shared" si="10"/>
        <v>0.29999999999999999</v>
      </c>
      <c r="E62" s="67" t="str">
        <f t="shared" si="11"/>
        <v/>
      </c>
      <c r="F62" s="68">
        <f t="shared" si="12"/>
        <v>0.24734750702641231</v>
      </c>
      <c r="G62" s="67" t="str">
        <f t="shared" si="13"/>
        <v/>
      </c>
    </row>
    <row r="63" ht="15">
      <c r="B63" s="8"/>
      <c r="C63">
        <v>34</v>
      </c>
      <c r="D63" s="66">
        <f t="shared" si="10"/>
        <v>0.34000000000000002</v>
      </c>
      <c r="E63" s="67" t="str">
        <f t="shared" si="11"/>
        <v/>
      </c>
      <c r="F63" s="68">
        <f t="shared" si="12"/>
        <v>0.26332152930679997</v>
      </c>
      <c r="G63" s="67" t="str">
        <f t="shared" si="13"/>
        <v/>
      </c>
    </row>
    <row r="64" ht="15">
      <c r="B64" s="8"/>
      <c r="C64">
        <v>12</v>
      </c>
      <c r="D64" s="66">
        <f t="shared" si="10"/>
        <v>0.12</v>
      </c>
      <c r="E64" s="67" t="str">
        <f t="shared" si="11"/>
        <v/>
      </c>
      <c r="F64" s="68">
        <f t="shared" si="12"/>
        <v>0.15643629915359297</v>
      </c>
      <c r="G64" s="67" t="str">
        <f t="shared" si="13"/>
        <v/>
      </c>
    </row>
    <row r="65" ht="15">
      <c r="B65" s="8"/>
      <c r="C65">
        <v>17</v>
      </c>
      <c r="D65" s="66">
        <f t="shared" si="10"/>
        <v>0.17000000000000001</v>
      </c>
      <c r="E65" s="67" t="str">
        <f t="shared" si="11"/>
        <v/>
      </c>
      <c r="F65" s="68">
        <f t="shared" si="12"/>
        <v>0.18619643900525046</v>
      </c>
      <c r="G65" s="67" t="str">
        <f t="shared" si="13"/>
        <v/>
      </c>
    </row>
    <row r="66" ht="15">
      <c r="B66" s="8"/>
      <c r="C66">
        <v>28</v>
      </c>
      <c r="D66" s="66">
        <f t="shared" si="10"/>
        <v>0.28000000000000003</v>
      </c>
      <c r="E66" s="67" t="str">
        <f t="shared" si="11"/>
        <v/>
      </c>
      <c r="F66" s="68">
        <f t="shared" si="12"/>
        <v>0.23896039410336536</v>
      </c>
      <c r="G66" s="67" t="str">
        <f t="shared" si="13"/>
        <v/>
      </c>
    </row>
    <row r="67" ht="15">
      <c r="B67" s="8"/>
      <c r="C67">
        <v>18</v>
      </c>
      <c r="D67" s="66">
        <f t="shared" si="10"/>
        <v>0.17999999999999999</v>
      </c>
      <c r="E67" s="67" t="str">
        <f t="shared" si="11"/>
        <v/>
      </c>
      <c r="F67" s="68">
        <f t="shared" si="12"/>
        <v>0.19159455508784337</v>
      </c>
      <c r="G67" s="67" t="str">
        <f t="shared" si="13"/>
        <v/>
      </c>
    </row>
    <row r="68" ht="15">
      <c r="B68" s="8"/>
      <c r="C68">
        <v>17</v>
      </c>
      <c r="D68" s="66">
        <f t="shared" si="10"/>
        <v>0.17000000000000001</v>
      </c>
      <c r="E68" s="67" t="str">
        <f t="shared" si="11"/>
        <v/>
      </c>
      <c r="F68" s="68">
        <f t="shared" si="12"/>
        <v>0.18619643900525046</v>
      </c>
      <c r="G68" s="67" t="str">
        <f t="shared" si="13"/>
        <v/>
      </c>
    </row>
    <row r="69" ht="15">
      <c r="B69" s="8"/>
      <c r="C69">
        <v>22.5</v>
      </c>
      <c r="D69" s="66">
        <f t="shared" si="10"/>
        <v>0.22500000000000001</v>
      </c>
      <c r="E69" s="67" t="str">
        <f t="shared" si="11"/>
        <v/>
      </c>
      <c r="F69" s="68">
        <f t="shared" si="12"/>
        <v>0.21420922464762301</v>
      </c>
      <c r="G69" s="67" t="str">
        <f t="shared" si="13"/>
        <v/>
      </c>
    </row>
    <row r="70" ht="15">
      <c r="B70" s="8"/>
      <c r="C70">
        <v>27</v>
      </c>
      <c r="D70" s="66">
        <f t="shared" si="10"/>
        <v>0.27000000000000002</v>
      </c>
      <c r="E70" s="67" t="str">
        <f t="shared" si="11"/>
        <v/>
      </c>
      <c r="F70" s="68">
        <f t="shared" si="12"/>
        <v>0.23465444873038949</v>
      </c>
      <c r="G70" s="67" t="str">
        <f t="shared" si="13"/>
        <v/>
      </c>
    </row>
    <row r="71" ht="15">
      <c r="B71" s="8"/>
      <c r="C71">
        <v>15</v>
      </c>
      <c r="D71" s="66">
        <f t="shared" si="10"/>
        <v>0.14999999999999999</v>
      </c>
      <c r="E71" s="67" t="str">
        <f t="shared" si="11"/>
        <v/>
      </c>
      <c r="F71" s="70">
        <f t="shared" si="12"/>
        <v>0.17490109952796337</v>
      </c>
      <c r="G71" s="67" t="str">
        <f t="shared" si="13"/>
        <v/>
      </c>
    </row>
    <row r="72" ht="15">
      <c r="B72" s="8"/>
      <c r="C72">
        <v>27</v>
      </c>
      <c r="D72" s="66">
        <f t="shared" si="10"/>
        <v>0.27000000000000002</v>
      </c>
      <c r="E72" s="67" t="str">
        <f t="shared" si="11"/>
        <v/>
      </c>
      <c r="F72" s="68">
        <f t="shared" si="12"/>
        <v>0.23465444873038949</v>
      </c>
      <c r="G72" s="67" t="str">
        <f t="shared" si="13"/>
        <v/>
      </c>
    </row>
    <row r="73" ht="15">
      <c r="B73" s="8"/>
      <c r="C73">
        <v>17.5</v>
      </c>
      <c r="D73" s="66">
        <f t="shared" si="10"/>
        <v>0.17499999999999999</v>
      </c>
      <c r="E73" s="67" t="str">
        <f t="shared" si="11"/>
        <v/>
      </c>
      <c r="F73" s="68">
        <f t="shared" si="12"/>
        <v>0.18891477898452599</v>
      </c>
      <c r="G73" s="67" t="str">
        <f t="shared" si="13"/>
        <v/>
      </c>
    </row>
    <row r="74" ht="15">
      <c r="B74" s="8"/>
      <c r="C74">
        <v>15.300000000000001</v>
      </c>
      <c r="D74" s="66">
        <f t="shared" ref="D74:D99" si="14">C74/100</f>
        <v>0.153</v>
      </c>
      <c r="E74" s="67" t="str">
        <f t="shared" ref="E74:E99" si="15">IF(ISTEXT($B74),(D74-VLOOKUP($B74,$B$132:D$137,3,FALSE))^2,"")</f>
        <v/>
      </c>
      <c r="F74" s="68">
        <f t="shared" ref="F74:F99" si="16">SQRT(2*D74/9.807)</f>
        <v>0.17664145184076233</v>
      </c>
      <c r="G74" s="67" t="str">
        <f t="shared" ref="G74:G99" si="17">IF(ISTEXT($B74),(F74-VLOOKUP($B74,$B$132:F$137,5,FALSE))^2,"")</f>
        <v/>
      </c>
    </row>
    <row r="75" ht="15">
      <c r="B75" s="8"/>
      <c r="C75">
        <v>20</v>
      </c>
      <c r="D75" s="66">
        <f t="shared" si="14"/>
        <v>0.20000000000000001</v>
      </c>
      <c r="E75" s="67" t="str">
        <f t="shared" si="15"/>
        <v/>
      </c>
      <c r="F75" s="68">
        <f t="shared" si="16"/>
        <v>0.20195839378806235</v>
      </c>
      <c r="G75" s="67" t="str">
        <f t="shared" si="17"/>
        <v/>
      </c>
    </row>
    <row r="76" ht="15">
      <c r="B76" s="8"/>
      <c r="C76">
        <v>21</v>
      </c>
      <c r="D76" s="66">
        <f t="shared" si="14"/>
        <v>0.20999999999999999</v>
      </c>
      <c r="E76" s="67" t="str">
        <f t="shared" si="15"/>
        <v/>
      </c>
      <c r="F76" s="68">
        <f t="shared" si="16"/>
        <v>0.20694577179185558</v>
      </c>
      <c r="G76" s="67" t="str">
        <f t="shared" si="17"/>
        <v/>
      </c>
    </row>
    <row r="77" ht="15">
      <c r="B77" s="8"/>
      <c r="C77">
        <v>15.5</v>
      </c>
      <c r="D77" s="66">
        <f t="shared" si="14"/>
        <v>0.155</v>
      </c>
      <c r="E77" s="67" t="str">
        <f t="shared" si="15"/>
        <v/>
      </c>
      <c r="F77" s="68">
        <f t="shared" si="16"/>
        <v>0.17779222265506131</v>
      </c>
      <c r="G77" s="67" t="str">
        <f t="shared" si="17"/>
        <v/>
      </c>
    </row>
    <row r="78" ht="15">
      <c r="B78" s="8"/>
      <c r="C78">
        <v>11.5</v>
      </c>
      <c r="D78" s="66">
        <f t="shared" si="14"/>
        <v>0.115</v>
      </c>
      <c r="E78" s="67" t="str">
        <f t="shared" si="15"/>
        <v/>
      </c>
      <c r="F78" s="68">
        <f t="shared" si="16"/>
        <v>0.15314253449755913</v>
      </c>
      <c r="G78" s="67" t="str">
        <f t="shared" si="17"/>
        <v/>
      </c>
    </row>
    <row r="79" ht="15">
      <c r="B79" s="8"/>
      <c r="C79">
        <v>24</v>
      </c>
      <c r="D79" s="66">
        <f t="shared" si="14"/>
        <v>0.23999999999999999</v>
      </c>
      <c r="E79" s="67" t="str">
        <f t="shared" si="15"/>
        <v/>
      </c>
      <c r="F79" s="68">
        <f t="shared" si="16"/>
        <v>0.22123433591046593</v>
      </c>
      <c r="G79" s="67" t="str">
        <f t="shared" si="17"/>
        <v/>
      </c>
    </row>
    <row r="80" ht="15">
      <c r="B80" s="8"/>
      <c r="C80">
        <v>14.5</v>
      </c>
      <c r="D80" s="66">
        <f t="shared" si="14"/>
        <v>0.14499999999999999</v>
      </c>
      <c r="E80" s="67" t="str">
        <f t="shared" si="15"/>
        <v/>
      </c>
      <c r="F80" s="68">
        <f t="shared" si="16"/>
        <v>0.17196137588294119</v>
      </c>
      <c r="G80" s="67" t="str">
        <f t="shared" si="17"/>
        <v/>
      </c>
    </row>
    <row r="81" ht="15">
      <c r="B81" s="8"/>
      <c r="C81">
        <v>18</v>
      </c>
      <c r="D81" s="66">
        <f t="shared" si="14"/>
        <v>0.17999999999999999</v>
      </c>
      <c r="E81" s="67" t="str">
        <f t="shared" si="15"/>
        <v/>
      </c>
      <c r="F81" s="68">
        <f t="shared" si="16"/>
        <v>0.19159455508784337</v>
      </c>
      <c r="G81" s="67" t="str">
        <f t="shared" si="17"/>
        <v/>
      </c>
    </row>
    <row r="82" ht="15">
      <c r="B82" s="8" t="s">
        <v>94</v>
      </c>
      <c r="C82">
        <v>30</v>
      </c>
      <c r="D82" s="66">
        <f t="shared" si="14"/>
        <v>0.29999999999999999</v>
      </c>
      <c r="E82" s="67">
        <f t="shared" si="15"/>
        <v>0.0038068899999999972</v>
      </c>
      <c r="F82" s="68">
        <f t="shared" si="16"/>
        <v>0.24734750702641231</v>
      </c>
      <c r="G82" s="67">
        <f t="shared" si="17"/>
        <v>0.00072350788262923247</v>
      </c>
    </row>
    <row r="83" ht="15">
      <c r="B83" s="8" t="s">
        <v>94</v>
      </c>
      <c r="C83">
        <v>24.100000000000001</v>
      </c>
      <c r="D83" s="66">
        <f t="shared" si="14"/>
        <v>0.24100000000000002</v>
      </c>
      <c r="E83" s="67">
        <f t="shared" si="15"/>
        <v>7.2900000000000429e-06</v>
      </c>
      <c r="F83" s="68">
        <f t="shared" si="16"/>
        <v>0.22169476166534055</v>
      </c>
      <c r="G83" s="67">
        <f t="shared" si="17"/>
        <v>1.5509127611929449e-06</v>
      </c>
    </row>
    <row r="84" ht="15">
      <c r="B84" s="8" t="s">
        <v>94</v>
      </c>
      <c r="C84">
        <v>25</v>
      </c>
      <c r="D84" s="66">
        <f t="shared" si="14"/>
        <v>0.25</v>
      </c>
      <c r="E84" s="67">
        <f t="shared" si="15"/>
        <v>0.00013688999999999973</v>
      </c>
      <c r="F84" s="68">
        <f t="shared" si="16"/>
        <v>0.22579634856838934</v>
      </c>
      <c r="G84" s="67">
        <f t="shared" si="17"/>
        <v>2.8589803536870621e-05</v>
      </c>
    </row>
    <row r="85" ht="15">
      <c r="B85" s="8" t="s">
        <v>94</v>
      </c>
      <c r="C85">
        <v>29.600000000000001</v>
      </c>
      <c r="D85" s="66">
        <f t="shared" si="14"/>
        <v>0.29600000000000004</v>
      </c>
      <c r="E85" s="67">
        <f t="shared" si="15"/>
        <v>0.0033292900000000034</v>
      </c>
      <c r="F85" s="69">
        <f t="shared" si="16"/>
        <v>0.24569299008264769</v>
      </c>
      <c r="G85" s="67">
        <f t="shared" si="17"/>
        <v>0.00063723857844555929</v>
      </c>
    </row>
    <row r="86" ht="15">
      <c r="B86" s="8" t="s">
        <v>94</v>
      </c>
      <c r="C86">
        <v>18.5</v>
      </c>
      <c r="D86" s="66">
        <f t="shared" si="14"/>
        <v>0.185</v>
      </c>
      <c r="E86" s="67">
        <f t="shared" si="15"/>
        <v>0.0028408900000000013</v>
      </c>
      <c r="F86" s="68">
        <f t="shared" si="16"/>
        <v>0.19423736344958198</v>
      </c>
      <c r="G86" s="67">
        <f t="shared" si="17"/>
        <v>0.00068707113197998709</v>
      </c>
    </row>
    <row r="87" ht="15">
      <c r="B87" s="8" t="s">
        <v>94</v>
      </c>
      <c r="C87">
        <v>18.899999999999999</v>
      </c>
      <c r="D87" s="66">
        <f t="shared" si="14"/>
        <v>0.18899999999999997</v>
      </c>
      <c r="E87" s="67">
        <f t="shared" si="15"/>
        <v>0.0024304900000000039</v>
      </c>
      <c r="F87" s="68">
        <f t="shared" si="16"/>
        <v>0.1963259973011065</v>
      </c>
      <c r="G87" s="67">
        <f t="shared" si="17"/>
        <v>0.00058193880797014353</v>
      </c>
    </row>
    <row r="88" ht="15">
      <c r="B88" s="8" t="s">
        <v>94</v>
      </c>
      <c r="C88">
        <v>20.199999999999999</v>
      </c>
      <c r="D88" s="66">
        <f t="shared" si="14"/>
        <v>0.20199999999999999</v>
      </c>
      <c r="E88" s="67">
        <f t="shared" si="15"/>
        <v>0.001317690000000002</v>
      </c>
      <c r="F88" s="68">
        <f t="shared" si="16"/>
        <v>0.20296567382113803</v>
      </c>
      <c r="G88" s="67">
        <f t="shared" si="17"/>
        <v>0.00030568086243083195</v>
      </c>
    </row>
    <row r="89" ht="15">
      <c r="B89" s="8" t="s">
        <v>94</v>
      </c>
      <c r="C89">
        <v>26.800000000000001</v>
      </c>
      <c r="D89" s="66">
        <f t="shared" si="14"/>
        <v>0.26800000000000002</v>
      </c>
      <c r="E89" s="67">
        <f t="shared" si="15"/>
        <v>0.0008820900000000002</v>
      </c>
      <c r="F89" s="68">
        <f t="shared" si="16"/>
        <v>0.23378374276400923</v>
      </c>
      <c r="G89" s="67">
        <f t="shared" si="17"/>
        <v>0.00017780455865027794</v>
      </c>
    </row>
    <row r="90" ht="15">
      <c r="B90" s="8" t="s">
        <v>94</v>
      </c>
      <c r="C90">
        <v>20.899999999999999</v>
      </c>
      <c r="D90" s="66">
        <f t="shared" si="14"/>
        <v>0.20899999999999999</v>
      </c>
      <c r="E90" s="67">
        <f t="shared" si="15"/>
        <v>0.00085849000000000125</v>
      </c>
      <c r="F90" s="68">
        <f t="shared" si="16"/>
        <v>0.206452455782002</v>
      </c>
      <c r="G90" s="67">
        <f t="shared" si="17"/>
        <v>0.00019591459261181462</v>
      </c>
    </row>
    <row r="91" ht="15">
      <c r="B91" s="8" t="s">
        <v>94</v>
      </c>
      <c r="C91">
        <v>24.300000000000001</v>
      </c>
      <c r="D91" s="66">
        <f t="shared" si="14"/>
        <v>0.24299999999999999</v>
      </c>
      <c r="E91" s="67">
        <f t="shared" si="15"/>
        <v>2.2089999999999831e-05</v>
      </c>
      <c r="F91" s="68">
        <f t="shared" si="16"/>
        <v>0.22261275632377109</v>
      </c>
      <c r="G91" s="67">
        <f t="shared" si="17"/>
        <v>4.6800881462638333e-06</v>
      </c>
    </row>
    <row r="92" ht="15">
      <c r="B92" s="8"/>
      <c r="C92">
        <v>27.5</v>
      </c>
      <c r="D92" s="66">
        <f t="shared" si="14"/>
        <v>0.27500000000000002</v>
      </c>
      <c r="E92" s="67" t="str">
        <f t="shared" si="15"/>
        <v/>
      </c>
      <c r="F92" s="68">
        <f t="shared" si="16"/>
        <v>0.23681720826303848</v>
      </c>
      <c r="G92" s="67" t="str">
        <f t="shared" si="17"/>
        <v/>
      </c>
    </row>
    <row r="93" ht="15">
      <c r="B93" s="8"/>
      <c r="C93">
        <v>16.300000000000001</v>
      </c>
      <c r="D93" s="66">
        <f t="shared" si="14"/>
        <v>0.16300000000000001</v>
      </c>
      <c r="E93" s="67" t="str">
        <f t="shared" si="15"/>
        <v/>
      </c>
      <c r="F93" s="68">
        <f t="shared" si="16"/>
        <v>0.18232268687545458</v>
      </c>
      <c r="G93" s="67" t="str">
        <f t="shared" si="17"/>
        <v/>
      </c>
    </row>
    <row r="94" ht="15">
      <c r="B94" s="8"/>
      <c r="C94">
        <v>17.699999999999999</v>
      </c>
      <c r="D94" s="66">
        <f t="shared" si="14"/>
        <v>0.17699999999999999</v>
      </c>
      <c r="E94" s="67" t="str">
        <f t="shared" si="15"/>
        <v/>
      </c>
      <c r="F94" s="68">
        <f t="shared" si="16"/>
        <v>0.18999122518418277</v>
      </c>
      <c r="G94" s="67" t="str">
        <f t="shared" si="17"/>
        <v/>
      </c>
    </row>
    <row r="95" ht="15">
      <c r="B95" s="8"/>
      <c r="C95">
        <v>34.799999999999997</v>
      </c>
      <c r="D95" s="66">
        <f t="shared" si="14"/>
        <v>0.34799999999999998</v>
      </c>
      <c r="E95" s="67" t="str">
        <f t="shared" si="15"/>
        <v/>
      </c>
      <c r="F95" s="68">
        <f t="shared" si="16"/>
        <v>0.26640141799421801</v>
      </c>
      <c r="G95" s="67" t="str">
        <f t="shared" si="17"/>
        <v/>
      </c>
    </row>
    <row r="96" ht="15">
      <c r="B96" s="8"/>
      <c r="C96">
        <v>20.399999999999999</v>
      </c>
      <c r="D96" s="66">
        <f t="shared" si="14"/>
        <v>0.20399999999999999</v>
      </c>
      <c r="E96" s="67" t="str">
        <f t="shared" si="15"/>
        <v/>
      </c>
      <c r="F96" s="69">
        <f t="shared" si="16"/>
        <v>0.20396797954062088</v>
      </c>
      <c r="G96" s="67" t="str">
        <f t="shared" si="17"/>
        <v/>
      </c>
    </row>
    <row r="97" ht="15">
      <c r="B97" s="8"/>
      <c r="C97">
        <v>17.600000000000001</v>
      </c>
      <c r="D97" s="66">
        <f t="shared" si="14"/>
        <v>0.17600000000000002</v>
      </c>
      <c r="E97" s="67" t="str">
        <f t="shared" si="15"/>
        <v/>
      </c>
      <c r="F97" s="68">
        <f t="shared" si="16"/>
        <v>0.18945376661043078</v>
      </c>
      <c r="G97" s="67" t="str">
        <f t="shared" si="17"/>
        <v/>
      </c>
    </row>
    <row r="98" ht="15">
      <c r="B98" s="8"/>
      <c r="C98">
        <v>18</v>
      </c>
      <c r="D98" s="66">
        <f t="shared" si="14"/>
        <v>0.17999999999999999</v>
      </c>
      <c r="E98" s="67" t="str">
        <f t="shared" si="15"/>
        <v/>
      </c>
      <c r="F98" s="68">
        <f t="shared" si="16"/>
        <v>0.19159455508784337</v>
      </c>
      <c r="G98" s="67" t="str">
        <f t="shared" si="17"/>
        <v/>
      </c>
    </row>
    <row r="99" ht="15">
      <c r="B99" s="8"/>
      <c r="C99">
        <v>16.5</v>
      </c>
      <c r="D99" s="66">
        <f t="shared" si="14"/>
        <v>0.16500000000000001</v>
      </c>
      <c r="E99" s="67" t="str">
        <f t="shared" si="15"/>
        <v/>
      </c>
      <c r="F99" s="68">
        <f t="shared" si="16"/>
        <v>0.18343782073961629</v>
      </c>
      <c r="G99" s="67" t="str">
        <f t="shared" si="17"/>
        <v/>
      </c>
    </row>
    <row r="100" ht="15">
      <c r="B100" s="8"/>
      <c r="C100">
        <v>17.300000000000001</v>
      </c>
      <c r="D100" s="66">
        <f t="shared" ref="D100:D131" si="18">C100/100</f>
        <v>0.17300000000000001</v>
      </c>
      <c r="E100" s="67" t="str">
        <f t="shared" ref="E100:E131" si="19">IF(ISTEXT($B100),(D100-VLOOKUP($B100,$B$132:D$137,3,FALSE))^2,"")</f>
        <v/>
      </c>
      <c r="F100" s="68">
        <f t="shared" ref="F100:F137" si="20">SQRT(2*D100/9.807)</f>
        <v>0.18783216388722609</v>
      </c>
      <c r="G100" s="67" t="str">
        <f t="shared" ref="G100:G131" si="21">IF(ISTEXT($B100),(F100-VLOOKUP($B100,$B$132:F$137,5,FALSE))^2,"")</f>
        <v/>
      </c>
    </row>
    <row r="101" ht="15">
      <c r="B101" s="8"/>
      <c r="C101">
        <v>16.199999999999999</v>
      </c>
      <c r="D101" s="66">
        <f t="shared" si="18"/>
        <v>0.16200000000000001</v>
      </c>
      <c r="E101" s="67" t="str">
        <f t="shared" si="19"/>
        <v/>
      </c>
      <c r="F101" s="68">
        <f t="shared" si="20"/>
        <v>0.18176255440925612</v>
      </c>
      <c r="G101" s="67" t="str">
        <f t="shared" si="21"/>
        <v/>
      </c>
    </row>
    <row r="102" ht="15">
      <c r="B102" s="8" t="s">
        <v>95</v>
      </c>
      <c r="C102">
        <v>19</v>
      </c>
      <c r="D102" s="66">
        <f t="shared" si="18"/>
        <v>0.19</v>
      </c>
      <c r="E102" s="67">
        <f t="shared" si="19"/>
        <v>0.0034809999999999962</v>
      </c>
      <c r="F102" s="68">
        <f t="shared" si="20"/>
        <v>0.19684469304601879</v>
      </c>
      <c r="G102" s="67">
        <f t="shared" si="21"/>
        <v>0.001115265020461647</v>
      </c>
    </row>
    <row r="103" ht="15">
      <c r="B103" s="8" t="s">
        <v>95</v>
      </c>
      <c r="C103">
        <v>14</v>
      </c>
      <c r="D103" s="66">
        <f t="shared" si="18"/>
        <v>0.14000000000000001</v>
      </c>
      <c r="E103" s="67">
        <f t="shared" si="19"/>
        <v>8.0999999999999638e-05</v>
      </c>
      <c r="F103" s="68">
        <f t="shared" si="20"/>
        <v>0.16897051510549954</v>
      </c>
      <c r="G103" s="67">
        <f t="shared" si="21"/>
        <v>3.0485923180754322e-05</v>
      </c>
    </row>
    <row r="104" ht="15">
      <c r="B104" s="8" t="s">
        <v>95</v>
      </c>
      <c r="C104">
        <v>8</v>
      </c>
      <c r="D104" s="66">
        <f t="shared" si="18"/>
        <v>0.080000000000000002</v>
      </c>
      <c r="E104" s="67">
        <f t="shared" si="19"/>
        <v>0.002601000000000003</v>
      </c>
      <c r="F104" s="68">
        <f t="shared" si="20"/>
        <v>0.1277297033918956</v>
      </c>
      <c r="G104" s="67">
        <f t="shared" si="21"/>
        <v>0.0012758759512357227</v>
      </c>
    </row>
    <row r="105" ht="15">
      <c r="B105" s="8" t="s">
        <v>95</v>
      </c>
      <c r="C105">
        <v>6</v>
      </c>
      <c r="D105" s="66">
        <f t="shared" si="18"/>
        <v>0.059999999999999998</v>
      </c>
      <c r="E105" s="67">
        <f t="shared" si="19"/>
        <v>0.0050410000000000047</v>
      </c>
      <c r="F105" s="68">
        <f t="shared" si="20"/>
        <v>0.11061716795523296</v>
      </c>
      <c r="G105" s="67">
        <f t="shared" si="21"/>
        <v>0.0027912140156190475</v>
      </c>
    </row>
    <row r="106" ht="15">
      <c r="B106" s="8" t="s">
        <v>95</v>
      </c>
      <c r="C106">
        <v>13</v>
      </c>
      <c r="D106" s="66">
        <f t="shared" si="18"/>
        <v>0.13</v>
      </c>
      <c r="E106" s="67">
        <f t="shared" si="19"/>
        <v>1.0000000000000573e-06</v>
      </c>
      <c r="F106" s="68">
        <f t="shared" si="20"/>
        <v>0.16282406251517353</v>
      </c>
      <c r="G106" s="67">
        <f t="shared" si="21"/>
        <v>3.9068335736701975e-07</v>
      </c>
    </row>
    <row r="107" ht="15">
      <c r="B107" s="8" t="s">
        <v>95</v>
      </c>
      <c r="C107">
        <v>21</v>
      </c>
      <c r="D107" s="66">
        <f t="shared" si="18"/>
        <v>0.20999999999999999</v>
      </c>
      <c r="E107" s="67">
        <f t="shared" si="19"/>
        <v>0.0062409999999999939</v>
      </c>
      <c r="F107" s="68">
        <f t="shared" si="20"/>
        <v>0.20694577179185558</v>
      </c>
      <c r="G107" s="67">
        <f t="shared" si="21"/>
        <v>0.0018919596566885691</v>
      </c>
    </row>
    <row r="108" ht="15">
      <c r="B108" s="8" t="s">
        <v>95</v>
      </c>
      <c r="C108">
        <v>17</v>
      </c>
      <c r="D108" s="66">
        <f t="shared" si="18"/>
        <v>0.17000000000000001</v>
      </c>
      <c r="E108" s="67">
        <f t="shared" si="19"/>
        <v>0.0015209999999999983</v>
      </c>
      <c r="F108" s="68">
        <f t="shared" si="20"/>
        <v>0.18619643900525046</v>
      </c>
      <c r="G108" s="67">
        <f t="shared" si="21"/>
        <v>0.0005174410132996074</v>
      </c>
    </row>
    <row r="109" ht="15">
      <c r="B109" s="8" t="s">
        <v>95</v>
      </c>
      <c r="C109">
        <v>11</v>
      </c>
      <c r="D109" s="66">
        <f t="shared" si="18"/>
        <v>0.11</v>
      </c>
      <c r="E109" s="67">
        <f t="shared" si="19"/>
        <v>0.00044100000000000134</v>
      </c>
      <c r="F109" s="68">
        <f t="shared" si="20"/>
        <v>0.14977635344672982</v>
      </c>
      <c r="G109" s="67">
        <f t="shared" si="21"/>
        <v>0.00018694424987008689</v>
      </c>
    </row>
    <row r="110" ht="15">
      <c r="B110" s="8" t="s">
        <v>95</v>
      </c>
      <c r="C110">
        <v>13</v>
      </c>
      <c r="D110" s="66">
        <f t="shared" si="18"/>
        <v>0.13</v>
      </c>
      <c r="E110" s="67">
        <f t="shared" si="19"/>
        <v>1.0000000000000573e-06</v>
      </c>
      <c r="F110" s="68">
        <f t="shared" si="20"/>
        <v>0.16282406251517353</v>
      </c>
      <c r="G110" s="67">
        <f t="shared" si="21"/>
        <v>3.9068335736701975e-07</v>
      </c>
    </row>
    <row r="111" ht="15">
      <c r="B111" s="8" t="s">
        <v>95</v>
      </c>
      <c r="C111">
        <v>9</v>
      </c>
      <c r="D111" s="66">
        <f t="shared" si="18"/>
        <v>0.089999999999999997</v>
      </c>
      <c r="E111" s="67">
        <f t="shared" si="19"/>
        <v>0.001681000000000003</v>
      </c>
      <c r="F111" s="68">
        <f t="shared" si="20"/>
        <v>0.13547780914103361</v>
      </c>
      <c r="G111" s="67">
        <f t="shared" si="21"/>
        <v>0.0007823936269508951</v>
      </c>
    </row>
    <row r="112" ht="15">
      <c r="B112" s="8"/>
      <c r="C112">
        <v>17</v>
      </c>
      <c r="D112" s="66">
        <f t="shared" si="18"/>
        <v>0.17000000000000001</v>
      </c>
      <c r="E112" s="67" t="str">
        <f t="shared" si="19"/>
        <v/>
      </c>
      <c r="F112" s="68">
        <f t="shared" si="20"/>
        <v>0.18619643900525046</v>
      </c>
      <c r="G112" s="67" t="str">
        <f t="shared" si="21"/>
        <v/>
      </c>
    </row>
    <row r="113" ht="15">
      <c r="B113" s="8"/>
      <c r="C113">
        <v>23</v>
      </c>
      <c r="D113" s="66">
        <f t="shared" si="18"/>
        <v>0.23000000000000001</v>
      </c>
      <c r="E113" s="67" t="str">
        <f t="shared" si="19"/>
        <v/>
      </c>
      <c r="F113" s="68">
        <f t="shared" si="20"/>
        <v>0.21657624926263769</v>
      </c>
      <c r="G113" s="67" t="str">
        <f t="shared" si="21"/>
        <v/>
      </c>
    </row>
    <row r="114" ht="15">
      <c r="B114" s="8"/>
      <c r="C114">
        <v>18</v>
      </c>
      <c r="D114" s="66">
        <f t="shared" si="18"/>
        <v>0.17999999999999999</v>
      </c>
      <c r="E114" s="67" t="str">
        <f t="shared" si="19"/>
        <v/>
      </c>
      <c r="F114" s="68">
        <f t="shared" si="20"/>
        <v>0.19159455508784337</v>
      </c>
      <c r="G114" s="67" t="str">
        <f t="shared" si="21"/>
        <v/>
      </c>
    </row>
    <row r="115" ht="15">
      <c r="B115" s="8"/>
      <c r="C115">
        <v>23</v>
      </c>
      <c r="D115" s="66">
        <f t="shared" si="18"/>
        <v>0.23000000000000001</v>
      </c>
      <c r="E115" s="67" t="str">
        <f t="shared" si="19"/>
        <v/>
      </c>
      <c r="F115" s="68">
        <f t="shared" si="20"/>
        <v>0.21657624926263769</v>
      </c>
      <c r="G115" s="67" t="str">
        <f t="shared" si="21"/>
        <v/>
      </c>
    </row>
    <row r="116" ht="15">
      <c r="B116" s="8"/>
      <c r="C116">
        <v>23</v>
      </c>
      <c r="D116" s="66">
        <f t="shared" si="18"/>
        <v>0.23000000000000001</v>
      </c>
      <c r="E116" s="67" t="str">
        <f t="shared" si="19"/>
        <v/>
      </c>
      <c r="F116" s="68">
        <f t="shared" si="20"/>
        <v>0.21657624926263769</v>
      </c>
      <c r="G116" s="67" t="str">
        <f t="shared" si="21"/>
        <v/>
      </c>
    </row>
    <row r="117" ht="15">
      <c r="B117" s="8"/>
      <c r="C117">
        <v>14</v>
      </c>
      <c r="D117" s="66">
        <f t="shared" si="18"/>
        <v>0.14000000000000001</v>
      </c>
      <c r="E117" s="67" t="str">
        <f t="shared" si="19"/>
        <v/>
      </c>
      <c r="F117" s="68">
        <f t="shared" si="20"/>
        <v>0.16897051510549954</v>
      </c>
      <c r="G117" s="67" t="str">
        <f t="shared" si="21"/>
        <v/>
      </c>
    </row>
    <row r="118" ht="15">
      <c r="B118" s="8"/>
      <c r="C118">
        <v>19</v>
      </c>
      <c r="D118" s="66">
        <f t="shared" si="18"/>
        <v>0.19</v>
      </c>
      <c r="E118" s="67" t="str">
        <f t="shared" si="19"/>
        <v/>
      </c>
      <c r="F118" s="68">
        <f t="shared" si="20"/>
        <v>0.19684469304601879</v>
      </c>
      <c r="G118" s="67" t="str">
        <f t="shared" si="21"/>
        <v/>
      </c>
    </row>
    <row r="119" ht="15">
      <c r="B119" s="8"/>
      <c r="C119">
        <v>16</v>
      </c>
      <c r="D119" s="66">
        <f t="shared" si="18"/>
        <v>0.16</v>
      </c>
      <c r="E119" s="67" t="str">
        <f t="shared" si="19"/>
        <v/>
      </c>
      <c r="F119" s="68">
        <f t="shared" si="20"/>
        <v>0.18063707885471147</v>
      </c>
      <c r="G119" s="67" t="str">
        <f t="shared" si="21"/>
        <v/>
      </c>
    </row>
    <row r="120" ht="15">
      <c r="B120" s="8"/>
      <c r="C120">
        <v>21</v>
      </c>
      <c r="D120" s="66">
        <f t="shared" si="18"/>
        <v>0.20999999999999999</v>
      </c>
      <c r="E120" s="67" t="str">
        <f t="shared" si="19"/>
        <v/>
      </c>
      <c r="F120" s="68">
        <f t="shared" si="20"/>
        <v>0.20694577179185558</v>
      </c>
      <c r="G120" s="67" t="str">
        <f t="shared" si="21"/>
        <v/>
      </c>
    </row>
    <row r="121" ht="15">
      <c r="B121" s="8"/>
      <c r="C121">
        <v>25</v>
      </c>
      <c r="D121" s="66">
        <f t="shared" si="18"/>
        <v>0.25</v>
      </c>
      <c r="E121" s="67" t="str">
        <f t="shared" si="19"/>
        <v/>
      </c>
      <c r="F121" s="68">
        <f t="shared" si="20"/>
        <v>0.22579634856838934</v>
      </c>
      <c r="G121" s="67" t="str">
        <f t="shared" si="21"/>
        <v/>
      </c>
    </row>
    <row r="122" ht="15">
      <c r="B122" s="8"/>
      <c r="C122">
        <v>26</v>
      </c>
      <c r="D122" s="66">
        <f t="shared" si="18"/>
        <v>0.26000000000000001</v>
      </c>
      <c r="E122" s="67" t="str">
        <f t="shared" si="19"/>
        <v/>
      </c>
      <c r="F122" s="68">
        <f t="shared" si="20"/>
        <v>0.23026799748964311</v>
      </c>
      <c r="G122" s="67" t="str">
        <f t="shared" si="21"/>
        <v/>
      </c>
    </row>
    <row r="123" ht="15">
      <c r="B123" s="8"/>
      <c r="C123">
        <v>23</v>
      </c>
      <c r="D123" s="66">
        <f t="shared" si="18"/>
        <v>0.23000000000000001</v>
      </c>
      <c r="E123" s="67" t="str">
        <f t="shared" si="19"/>
        <v/>
      </c>
      <c r="F123" s="68">
        <f t="shared" si="20"/>
        <v>0.21657624926263769</v>
      </c>
      <c r="G123" s="67" t="str">
        <f t="shared" si="21"/>
        <v/>
      </c>
    </row>
    <row r="124" ht="15">
      <c r="B124" s="8"/>
      <c r="C124">
        <v>15</v>
      </c>
      <c r="D124" s="66">
        <f t="shared" si="18"/>
        <v>0.14999999999999999</v>
      </c>
      <c r="E124" s="67" t="str">
        <f t="shared" si="19"/>
        <v/>
      </c>
      <c r="F124" s="70">
        <f t="shared" si="20"/>
        <v>0.17490109952796337</v>
      </c>
      <c r="G124" s="67" t="str">
        <f t="shared" si="21"/>
        <v/>
      </c>
    </row>
    <row r="125" ht="15">
      <c r="B125" s="8"/>
      <c r="C125">
        <v>18</v>
      </c>
      <c r="D125" s="66">
        <f t="shared" si="18"/>
        <v>0.17999999999999999</v>
      </c>
      <c r="E125" s="67" t="str">
        <f t="shared" si="19"/>
        <v/>
      </c>
      <c r="F125" s="68">
        <f t="shared" si="20"/>
        <v>0.19159455508784337</v>
      </c>
      <c r="G125" s="67" t="str">
        <f t="shared" si="21"/>
        <v/>
      </c>
    </row>
    <row r="126" ht="15">
      <c r="B126" s="8"/>
      <c r="C126">
        <v>14</v>
      </c>
      <c r="D126" s="66">
        <f t="shared" si="18"/>
        <v>0.14000000000000001</v>
      </c>
      <c r="E126" s="67" t="str">
        <f t="shared" si="19"/>
        <v/>
      </c>
      <c r="F126" s="68">
        <f t="shared" si="20"/>
        <v>0.16897051510549954</v>
      </c>
      <c r="G126" s="67" t="str">
        <f t="shared" si="21"/>
        <v/>
      </c>
    </row>
    <row r="127" ht="15">
      <c r="B127" s="8"/>
      <c r="C127">
        <v>16</v>
      </c>
      <c r="D127" s="66">
        <f t="shared" si="18"/>
        <v>0.16</v>
      </c>
      <c r="E127" s="67" t="str">
        <f t="shared" si="19"/>
        <v/>
      </c>
      <c r="F127" s="68">
        <f t="shared" si="20"/>
        <v>0.18063707885471147</v>
      </c>
      <c r="G127" s="67" t="str">
        <f t="shared" si="21"/>
        <v/>
      </c>
    </row>
    <row r="128" ht="15">
      <c r="B128" s="8"/>
      <c r="C128">
        <v>2</v>
      </c>
      <c r="D128" s="66">
        <f t="shared" si="18"/>
        <v>0.02</v>
      </c>
      <c r="E128" s="67" t="str">
        <f t="shared" si="19"/>
        <v/>
      </c>
      <c r="F128" s="68">
        <f t="shared" si="20"/>
        <v>0.0638648516959478</v>
      </c>
      <c r="G128" s="67" t="str">
        <f t="shared" si="21"/>
        <v/>
      </c>
    </row>
    <row r="129" ht="15">
      <c r="B129" s="8"/>
      <c r="C129">
        <v>17</v>
      </c>
      <c r="D129" s="66">
        <f t="shared" si="18"/>
        <v>0.17000000000000001</v>
      </c>
      <c r="E129" s="67" t="str">
        <f t="shared" si="19"/>
        <v/>
      </c>
      <c r="F129" s="68">
        <f t="shared" si="20"/>
        <v>0.18619643900525046</v>
      </c>
      <c r="G129" s="67" t="str">
        <f t="shared" si="21"/>
        <v/>
      </c>
    </row>
    <row r="130" ht="15">
      <c r="B130" s="8"/>
      <c r="C130">
        <v>1</v>
      </c>
      <c r="D130" s="66">
        <f t="shared" si="18"/>
        <v>0.01</v>
      </c>
      <c r="E130" s="67" t="str">
        <f t="shared" si="19"/>
        <v/>
      </c>
      <c r="F130" s="69">
        <f t="shared" si="20"/>
        <v>0.045159269713677869</v>
      </c>
      <c r="G130" s="67" t="str">
        <f t="shared" si="21"/>
        <v/>
      </c>
    </row>
    <row r="131" ht="15">
      <c r="A131" s="2"/>
      <c r="B131" s="13"/>
      <c r="C131" s="2">
        <v>23</v>
      </c>
      <c r="D131" s="71">
        <f t="shared" si="18"/>
        <v>0.23000000000000001</v>
      </c>
      <c r="E131" s="67" t="str">
        <f t="shared" si="19"/>
        <v/>
      </c>
      <c r="F131" s="72">
        <f t="shared" si="20"/>
        <v>0.21657624926263769</v>
      </c>
      <c r="G131" s="73" t="str">
        <f t="shared" si="21"/>
        <v/>
      </c>
    </row>
    <row r="132" ht="15">
      <c r="A132" s="74" t="s">
        <v>62</v>
      </c>
      <c r="B132" s="8" t="s">
        <v>91</v>
      </c>
      <c r="C132" s="1"/>
      <c r="D132" s="8">
        <f t="shared" ref="D132:D136" si="22">AVERAGEIF(B$2:B$131,B132,D$2:D$131)</f>
        <v>0.246</v>
      </c>
      <c r="E132" s="11"/>
      <c r="F132" s="75">
        <f t="shared" si="20"/>
        <v>0.22398269390823144</v>
      </c>
    </row>
    <row r="133" ht="15">
      <c r="A133" s="74"/>
      <c r="B133" s="8" t="s">
        <v>92</v>
      </c>
      <c r="C133" s="1"/>
      <c r="D133" s="8">
        <f t="shared" si="22"/>
        <v>0.30680000000000007</v>
      </c>
      <c r="E133" s="11"/>
      <c r="F133" s="76">
        <f t="shared" si="20"/>
        <v>0.25013507108782357</v>
      </c>
    </row>
    <row r="134" ht="15">
      <c r="A134" s="74"/>
      <c r="B134" s="8" t="s">
        <v>93</v>
      </c>
      <c r="C134" s="1"/>
      <c r="D134" s="8">
        <f t="shared" si="22"/>
        <v>0.29350000000000004</v>
      </c>
      <c r="E134" s="11"/>
      <c r="F134" s="76">
        <f t="shared" si="20"/>
        <v>0.24465323514207582</v>
      </c>
    </row>
    <row r="135" ht="15">
      <c r="A135" s="74"/>
      <c r="B135" s="8" t="s">
        <v>94</v>
      </c>
      <c r="C135" s="1"/>
      <c r="D135" s="8">
        <f t="shared" si="22"/>
        <v>0.23830000000000001</v>
      </c>
      <c r="E135" s="11"/>
      <c r="F135" s="76">
        <f t="shared" si="20"/>
        <v>0.22044940518577619</v>
      </c>
    </row>
    <row r="136" ht="15">
      <c r="A136" s="74"/>
      <c r="B136" s="8" t="s">
        <v>95</v>
      </c>
      <c r="C136" s="1"/>
      <c r="D136" s="8">
        <f t="shared" si="22"/>
        <v>0.13100000000000003</v>
      </c>
      <c r="E136" s="11"/>
      <c r="F136" s="76">
        <f t="shared" si="20"/>
        <v>0.16344910919932362</v>
      </c>
    </row>
    <row r="137" ht="15">
      <c r="A137" s="77"/>
      <c r="B137" s="13" t="s">
        <v>96</v>
      </c>
      <c r="C137" s="2"/>
      <c r="D137" s="78">
        <f>AVERAGE(D$2:D$131)</f>
        <v>0.20828461538461537</v>
      </c>
      <c r="E137" s="79"/>
      <c r="F137" s="76">
        <f t="shared" si="20"/>
        <v>0.20609882058656601</v>
      </c>
    </row>
    <row r="138" ht="14.25">
      <c r="A138" s="74" t="s">
        <v>97</v>
      </c>
      <c r="B138" s="8" t="s">
        <v>91</v>
      </c>
      <c r="C138" s="11"/>
      <c r="D138" s="37">
        <f t="shared" ref="D138:D142" si="23">SQRT(SUMIF($B$2:$B$131,$B138,E$2:E$131)/(COUNTIF($B$2:$B$131,$B138)-1))</f>
        <v>0.027535835237417851</v>
      </c>
      <c r="E138" s="11"/>
      <c r="F138" s="37">
        <f t="shared" ref="F138:F142" si="24">SQRT(SUMIF($B$2:$B$131,$B138,G$2:G$131)/(COUNTIF($B$2:$B$131,$B138)-1))</f>
        <v>0.012782032862432497</v>
      </c>
    </row>
    <row r="139" ht="14.25">
      <c r="A139" s="74"/>
      <c r="B139" s="8" t="s">
        <v>92</v>
      </c>
      <c r="C139" s="11"/>
      <c r="D139" s="37">
        <f t="shared" si="23"/>
        <v>0.016982343772283026</v>
      </c>
      <c r="E139" s="11"/>
      <c r="F139" s="37">
        <f t="shared" si="24"/>
        <v>0.006944637902813796</v>
      </c>
    </row>
    <row r="140" ht="14.25">
      <c r="A140" s="74"/>
      <c r="B140" s="8" t="s">
        <v>93</v>
      </c>
      <c r="C140" s="11"/>
      <c r="D140" s="37">
        <f t="shared" si="23"/>
        <v>0.0333308332395763</v>
      </c>
      <c r="E140" s="11"/>
      <c r="F140" s="37">
        <f t="shared" si="24"/>
        <v>0.013750631194719757</v>
      </c>
    </row>
    <row r="141" ht="14.25">
      <c r="A141" s="74"/>
      <c r="B141" s="8" t="s">
        <v>94</v>
      </c>
      <c r="C141" s="11"/>
      <c r="D141" s="37">
        <f t="shared" si="23"/>
        <v>0.041676132258164279</v>
      </c>
      <c r="E141" s="11"/>
      <c r="F141" s="37">
        <f t="shared" si="24"/>
        <v>0.019275710735310196</v>
      </c>
    </row>
    <row r="142" ht="14.25">
      <c r="A142" s="74"/>
      <c r="B142" s="8" t="s">
        <v>95</v>
      </c>
      <c r="C142" s="11"/>
      <c r="D142" s="37">
        <f t="shared" si="23"/>
        <v>0.048407988321488148</v>
      </c>
      <c r="E142" s="11"/>
      <c r="F142" s="37">
        <f t="shared" si="24"/>
        <v>0.030898329375947862</v>
      </c>
    </row>
    <row r="143" ht="14.25">
      <c r="A143" s="77"/>
      <c r="B143" s="13" t="s">
        <v>96</v>
      </c>
      <c r="C143" s="12"/>
      <c r="D143" s="78">
        <f>STDEV(D$2:D$131)</f>
        <v>0.071808988081094496</v>
      </c>
      <c r="E143" s="79"/>
      <c r="F143" s="78">
        <f>STDEV(F$2:F$131)</f>
        <v>0.039139496562496011</v>
      </c>
    </row>
    <row r="144" ht="14.25">
      <c r="A144" s="80" t="s">
        <v>46</v>
      </c>
      <c r="B144" s="8" t="s">
        <v>91</v>
      </c>
      <c r="C144" s="11"/>
      <c r="D144" s="81">
        <f t="shared" ref="D144:D148" si="25">VLOOKUP($B144,$B138:D142,3,FALSE)/SQRT(COUNTIF($B$2:B$131,$B144))</f>
        <v>0.0087075956625363733</v>
      </c>
      <c r="E144" s="11"/>
      <c r="F144" s="81">
        <f t="shared" ref="F144:F148" si="26">VLOOKUP($B144,$B138:F142,5,FALSE)/SQRT(COUNTIF($B$2:D$131,$B144))</f>
        <v>0.0040420336972408367</v>
      </c>
    </row>
    <row r="145" ht="14.25">
      <c r="A145" s="80"/>
      <c r="B145" s="8" t="s">
        <v>92</v>
      </c>
      <c r="C145" s="11"/>
      <c r="D145" s="81">
        <f t="shared" si="25"/>
        <v>0.0053702886328390216</v>
      </c>
      <c r="E145" s="11"/>
      <c r="F145" s="81">
        <f t="shared" si="26"/>
        <v>0.002196087329802665</v>
      </c>
    </row>
    <row r="146" ht="14.25">
      <c r="A146" s="80"/>
      <c r="B146" s="8" t="s">
        <v>93</v>
      </c>
      <c r="C146" s="11"/>
      <c r="D146" s="81">
        <f t="shared" si="25"/>
        <v>0.010540134934830978</v>
      </c>
      <c r="E146" s="11"/>
      <c r="F146" s="81">
        <f t="shared" si="26"/>
        <v>0.0043483313840276721</v>
      </c>
    </row>
    <row r="147" ht="14.25">
      <c r="A147" s="80"/>
      <c r="B147" s="8" t="s">
        <v>94</v>
      </c>
      <c r="C147" s="11"/>
      <c r="D147" s="81">
        <f t="shared" si="25"/>
        <v>0.013179150200221564</v>
      </c>
      <c r="E147" s="11"/>
      <c r="F147" s="81">
        <f t="shared" si="26"/>
        <v>0.006095514944213923</v>
      </c>
    </row>
    <row r="148" ht="14.25">
      <c r="A148" s="80"/>
      <c r="B148" s="8" t="s">
        <v>95</v>
      </c>
      <c r="C148" s="11"/>
      <c r="D148" s="81">
        <f t="shared" si="25"/>
        <v>0.015307950004273376</v>
      </c>
      <c r="E148" s="11"/>
      <c r="F148" s="81">
        <f t="shared" si="26"/>
        <v>0.009770909672208429</v>
      </c>
    </row>
    <row r="149" ht="14.25">
      <c r="A149" s="82"/>
      <c r="B149" s="13" t="s">
        <v>96</v>
      </c>
      <c r="C149" s="12"/>
      <c r="D149" s="83">
        <f>D143/SQRT(COUNT(D2:D131))</f>
        <v>0.0062980648854846812</v>
      </c>
      <c r="E149" s="12"/>
      <c r="F149" s="83">
        <f>F143/SQRT(COUNT(F2:F131))</f>
        <v>0.0034327609331777031</v>
      </c>
    </row>
    <row r="150" ht="14.25">
      <c r="A150" s="80" t="s">
        <v>28</v>
      </c>
      <c r="B150" s="8" t="s">
        <v>91</v>
      </c>
      <c r="D150" s="84">
        <f t="shared" ref="D150:D155" si="27">2.262*VLOOKUP($B150,$B$144:D$149,3,FALSE)</f>
        <v>0.019696581388657278</v>
      </c>
      <c r="E150" s="8"/>
      <c r="F150" s="85">
        <f t="shared" ref="F150:F155" si="28">2.262*VLOOKUP($B150,$B$144:F$149,5,FALSE)</f>
        <v>0.0091430802231587723</v>
      </c>
    </row>
    <row r="151" ht="14.25">
      <c r="A151" s="80"/>
      <c r="B151" s="8" t="s">
        <v>92</v>
      </c>
      <c r="D151" s="84">
        <f t="shared" si="27"/>
        <v>0.012147592887481866</v>
      </c>
      <c r="E151" s="8"/>
      <c r="F151" s="86">
        <f t="shared" si="28"/>
        <v>0.0049675495400136284</v>
      </c>
    </row>
    <row r="152" ht="14.25">
      <c r="A152" s="80"/>
      <c r="B152" s="8" t="s">
        <v>93</v>
      </c>
      <c r="D152" s="84">
        <f t="shared" si="27"/>
        <v>0.023841785222587671</v>
      </c>
      <c r="E152" s="8"/>
      <c r="F152" s="86">
        <f t="shared" si="28"/>
        <v>0.0098359255906705946</v>
      </c>
    </row>
    <row r="153" ht="14.25">
      <c r="A153" s="80"/>
      <c r="B153" s="8" t="s">
        <v>94</v>
      </c>
      <c r="D153" s="84">
        <f t="shared" si="27"/>
        <v>0.029811237752901176</v>
      </c>
      <c r="E153" s="8"/>
      <c r="F153" s="86">
        <f t="shared" si="28"/>
        <v>0.013788054803811893</v>
      </c>
    </row>
    <row r="154" ht="14.25">
      <c r="A154" s="80"/>
      <c r="B154" s="8" t="s">
        <v>95</v>
      </c>
      <c r="D154" s="84">
        <f t="shared" si="27"/>
        <v>0.034626582909666373</v>
      </c>
      <c r="E154" s="8"/>
      <c r="F154" s="86">
        <f t="shared" si="28"/>
        <v>0.022101797678535467</v>
      </c>
    </row>
    <row r="155" ht="15">
      <c r="A155" s="82"/>
      <c r="B155" s="13" t="s">
        <v>96</v>
      </c>
      <c r="C155" s="2"/>
      <c r="D155" s="87">
        <f t="shared" si="27"/>
        <v>0.014246222770966349</v>
      </c>
      <c r="E155" s="13"/>
      <c r="F155" s="88">
        <f t="shared" si="28"/>
        <v>0.0077649052308479648</v>
      </c>
      <c r="G155" s="89" t="s">
        <v>98</v>
      </c>
    </row>
    <row r="156" ht="14.25">
      <c r="A156" s="80" t="s">
        <v>99</v>
      </c>
      <c r="B156" s="8" t="s">
        <v>91</v>
      </c>
      <c r="C156" s="8"/>
      <c r="D156" s="84">
        <f t="shared" ref="D156:D160" si="29">SQRT(VLOOKUP($B156,$B150:D155,3,FALSE)^2+$D$168^2)</f>
        <v>0.019702308072913698</v>
      </c>
      <c r="E156" s="8"/>
      <c r="F156" s="90">
        <f t="shared" ref="F156:F160" si="30">D156/SQRT(2*9.807*VLOOKUP(B156,B132:D136,3,FALSE))</f>
        <v>0.0089694634926445246</v>
      </c>
      <c r="G156" s="91">
        <f t="shared" ref="G156:G161" si="31">F156/VLOOKUP(B156,B150:F155,5,FALSE)</f>
        <v>0.98101113341710722</v>
      </c>
    </row>
    <row r="157" ht="14.25">
      <c r="A157" s="80"/>
      <c r="B157" s="8" t="s">
        <v>92</v>
      </c>
      <c r="C157" s="8"/>
      <c r="D157" s="84">
        <f t="shared" si="29"/>
        <v>0.012156876159606136</v>
      </c>
      <c r="E157" s="8"/>
      <c r="F157" s="90">
        <f t="shared" si="30"/>
        <v>0.0049557709947668643</v>
      </c>
      <c r="G157" s="92">
        <f t="shared" si="31"/>
        <v>0.99762890230849477</v>
      </c>
    </row>
    <row r="158" ht="14.25">
      <c r="A158" s="80"/>
      <c r="B158" s="8" t="s">
        <v>93</v>
      </c>
      <c r="C158" s="8"/>
      <c r="D158" s="84">
        <f t="shared" si="29"/>
        <v>0.023846516466771408</v>
      </c>
      <c r="E158" s="8"/>
      <c r="F158" s="90">
        <f t="shared" si="30"/>
        <v>0.0099388882461063175</v>
      </c>
      <c r="G158" s="92">
        <f t="shared" si="31"/>
        <v>1.0104680189461155</v>
      </c>
    </row>
    <row r="159" ht="14.25">
      <c r="A159" s="80"/>
      <c r="B159" s="8" t="s">
        <v>94</v>
      </c>
      <c r="C159" s="8"/>
      <c r="D159" s="84">
        <f t="shared" si="29"/>
        <v>0.029815021740055805</v>
      </c>
      <c r="E159" s="8"/>
      <c r="F159" s="90">
        <f t="shared" si="30"/>
        <v>0.013790817893823516</v>
      </c>
      <c r="G159" s="92">
        <f t="shared" si="31"/>
        <v>1.0002003973766378</v>
      </c>
    </row>
    <row r="160" ht="14.25">
      <c r="A160" s="80"/>
      <c r="B160" s="8" t="s">
        <v>95</v>
      </c>
      <c r="C160" s="8"/>
      <c r="D160" s="84">
        <f t="shared" si="29"/>
        <v>0.034629840730214162</v>
      </c>
      <c r="E160" s="8"/>
      <c r="F160" s="93">
        <f t="shared" si="30"/>
        <v>0.02160388022545022</v>
      </c>
      <c r="G160" s="92">
        <f t="shared" si="31"/>
        <v>0.97747163102624868</v>
      </c>
    </row>
    <row r="161" ht="14.25">
      <c r="A161" s="82"/>
      <c r="B161" s="13" t="s">
        <v>96</v>
      </c>
      <c r="C161" s="13"/>
      <c r="D161" s="87">
        <f>SQRT(D155^2+D168^2)</f>
        <v>0.014254139337048733</v>
      </c>
      <c r="E161" s="13"/>
      <c r="F161" s="90">
        <f>D$161/SQRT(2*9.807*D137)</f>
        <v>0.0070522762817059039</v>
      </c>
      <c r="G161" s="78">
        <f t="shared" si="31"/>
        <v>0.90822438549398266</v>
      </c>
    </row>
    <row r="162" ht="14.25">
      <c r="A162" s="80" t="s">
        <v>100</v>
      </c>
      <c r="B162" s="8" t="s">
        <v>91</v>
      </c>
      <c r="C162" s="8"/>
      <c r="D162" s="86"/>
      <c r="E162" s="8"/>
      <c r="F162" s="94" t="str">
        <f t="shared" ref="F162:F166" si="32">_xlfn.CONCAT("t=(",TEXT(VLOOKUP(B162,B132:D137,3,FALSE),"#.####")," +/- ",TEXT(VLOOKUP(B162,B156:F161,5,FALSE),"#.####"),") s")</f>
        <v xml:space="preserve">t=(.246 +/- .009) s</v>
      </c>
    </row>
    <row r="163" ht="14.25">
      <c r="A163" s="80"/>
      <c r="B163" s="8" t="s">
        <v>92</v>
      </c>
      <c r="C163" s="8"/>
      <c r="D163" s="86"/>
      <c r="E163" s="8"/>
      <c r="F163" s="94" t="str">
        <f t="shared" si="32"/>
        <v xml:space="preserve">t=(.3068 +/- .005) s</v>
      </c>
    </row>
    <row r="164" ht="14.25">
      <c r="A164" s="80"/>
      <c r="B164" s="8" t="s">
        <v>93</v>
      </c>
      <c r="C164" s="8"/>
      <c r="D164" s="86"/>
      <c r="E164" s="8"/>
      <c r="F164" s="94" t="str">
        <f t="shared" si="32"/>
        <v xml:space="preserve">t=(.2935 +/- .0099) s</v>
      </c>
    </row>
    <row r="165" ht="14.25">
      <c r="A165" s="80"/>
      <c r="B165" s="8" t="s">
        <v>94</v>
      </c>
      <c r="C165" s="8"/>
      <c r="D165" s="86"/>
      <c r="E165" s="8"/>
      <c r="F165" s="94" t="str">
        <f t="shared" si="32"/>
        <v xml:space="preserve">t=(.2383 +/- .0138) s</v>
      </c>
    </row>
    <row r="166" ht="14.25">
      <c r="A166" s="80"/>
      <c r="B166" s="8" t="s">
        <v>95</v>
      </c>
      <c r="C166" s="8"/>
      <c r="D166" s="86"/>
      <c r="E166" s="8"/>
      <c r="F166" s="94" t="str">
        <f t="shared" si="32"/>
        <v xml:space="preserve">t=(.131 +/- .0216) s</v>
      </c>
    </row>
    <row r="167" ht="14.25">
      <c r="A167" s="82"/>
      <c r="B167" s="13" t="s">
        <v>96</v>
      </c>
      <c r="C167" s="13"/>
      <c r="D167" s="88"/>
      <c r="E167" s="13"/>
      <c r="F167" s="94" t="str">
        <f>_xlfn.CONCAT("t=(",TEXT(F137,"#.####")," +/- ",TEXT(F161,"#.####"),") s")</f>
        <v xml:space="preserve">t=(.2061 +/- .0071) s</v>
      </c>
    </row>
    <row r="168" ht="14.25">
      <c r="A168" s="95" t="s">
        <v>101</v>
      </c>
      <c r="D168" s="96">
        <f>0.001/2*0.95</f>
        <v>0.000475</v>
      </c>
    </row>
    <row r="169" ht="14.25">
      <c r="A169" s="95" t="s">
        <v>102</v>
      </c>
      <c r="B169" s="13"/>
      <c r="C169" s="13"/>
      <c r="D169" s="88"/>
      <c r="E169" s="13"/>
      <c r="F169" s="97">
        <f>ROUND(SQRT(COUNT(F2:F131)),0)</f>
        <v>11</v>
      </c>
    </row>
    <row r="170" ht="14.25">
      <c r="A170" s="95" t="s">
        <v>103</v>
      </c>
      <c r="B170" s="98"/>
      <c r="C170" s="98"/>
      <c r="D170" s="99"/>
      <c r="E170" s="98"/>
      <c r="F170" s="100">
        <f>MIN(F2:F131)</f>
        <v>0.045159269713677869</v>
      </c>
    </row>
    <row r="171" ht="14.25">
      <c r="A171" s="95" t="s">
        <v>104</v>
      </c>
      <c r="B171" s="98"/>
      <c r="C171" s="98"/>
      <c r="D171" s="99"/>
      <c r="E171" s="98"/>
      <c r="F171" s="100">
        <f>MAX(F2:F131)</f>
        <v>0.27095561828206721</v>
      </c>
    </row>
    <row r="172" ht="14.25">
      <c r="A172" s="95" t="s">
        <v>105</v>
      </c>
      <c r="B172" s="98"/>
      <c r="C172" s="98"/>
      <c r="D172" s="99"/>
      <c r="E172" s="98"/>
      <c r="F172" s="100">
        <f>F171-F170</f>
        <v>0.22579634856838934</v>
      </c>
    </row>
    <row r="173" ht="14.25">
      <c r="A173" s="95" t="s">
        <v>106</v>
      </c>
      <c r="B173" s="98"/>
      <c r="C173" s="98"/>
      <c r="D173" s="99"/>
      <c r="E173" s="98"/>
      <c r="F173" s="100">
        <f>F172/F169</f>
        <v>0.020526940778944486</v>
      </c>
    </row>
    <row r="174" ht="14.25"/>
    <row r="175" ht="14.25">
      <c r="A175" s="95" t="s">
        <v>107</v>
      </c>
      <c r="B175" s="95" t="s">
        <v>108</v>
      </c>
      <c r="C175" s="95" t="s">
        <v>109</v>
      </c>
      <c r="D175" s="95" t="str">
        <f>F$1</f>
        <v xml:space="preserve">Kukkumise aeg t(s)</v>
      </c>
    </row>
    <row r="176" ht="14.25">
      <c r="A176" s="94" t="str">
        <f>_xlfn.CONCAT(TEXT(F170,"#.##")," - ",TEXT(B176,"#.##"))</f>
        <v xml:space="preserve">.05 - .07</v>
      </c>
      <c r="B176" s="92">
        <f>F$170+F173</f>
        <v>0.065686210492622354</v>
      </c>
      <c r="C176" s="8">
        <f t="shared" ref="C176:C199" si="33">FREQUENCY($F$2:$F$131,B176:B176)</f>
        <v>2</v>
      </c>
      <c r="D176" s="8">
        <f t="shared" ref="D176:D186" si="34">IF(ISNUMBER(C175),C176-C175,C176)</f>
        <v>2</v>
      </c>
    </row>
    <row r="177" ht="14.25">
      <c r="A177" s="94" t="str">
        <f t="shared" ref="A177:A186" si="35">_xlfn.CONCAT(TEXT(B176+0.01,"#.##")," - ",TEXT(B177,"#.##"))</f>
        <v xml:space="preserve">.08 - .09</v>
      </c>
      <c r="B177" s="92">
        <f t="shared" ref="B177:B186" si="36">B176+F$173</f>
        <v>0.08621315127156684</v>
      </c>
      <c r="C177" s="8">
        <f t="shared" si="33"/>
        <v>2</v>
      </c>
      <c r="D177" s="8">
        <f t="shared" si="34"/>
        <v>0</v>
      </c>
    </row>
    <row r="178" ht="14.25">
      <c r="A178" s="94" t="str">
        <f t="shared" si="35"/>
        <v xml:space="preserve">.1 - .11</v>
      </c>
      <c r="B178" s="92">
        <f t="shared" si="36"/>
        <v>0.10674009205051133</v>
      </c>
      <c r="C178" s="8">
        <f t="shared" si="33"/>
        <v>2</v>
      </c>
      <c r="D178" s="8">
        <f t="shared" si="34"/>
        <v>0</v>
      </c>
    </row>
    <row r="179" ht="14.25">
      <c r="A179" s="94" t="str">
        <f t="shared" si="35"/>
        <v xml:space="preserve">.12 - .13</v>
      </c>
      <c r="B179" s="92">
        <f t="shared" si="36"/>
        <v>0.12726703282945581</v>
      </c>
      <c r="C179" s="8">
        <f t="shared" si="33"/>
        <v>4</v>
      </c>
      <c r="D179" s="8">
        <f t="shared" si="34"/>
        <v>2</v>
      </c>
    </row>
    <row r="180" ht="14.25">
      <c r="A180" s="94" t="str">
        <f t="shared" si="35"/>
        <v xml:space="preserve">.14 - .15</v>
      </c>
      <c r="B180" s="92">
        <f t="shared" si="36"/>
        <v>0.1477939736084003</v>
      </c>
      <c r="C180" s="8">
        <f t="shared" si="33"/>
        <v>9</v>
      </c>
      <c r="D180" s="8">
        <f t="shared" si="34"/>
        <v>5</v>
      </c>
    </row>
    <row r="181" ht="14.25">
      <c r="A181" s="94" t="str">
        <f t="shared" si="35"/>
        <v xml:space="preserve">.16 - .17</v>
      </c>
      <c r="B181" s="92">
        <f t="shared" si="36"/>
        <v>0.16832091438734478</v>
      </c>
      <c r="C181" s="8">
        <f t="shared" si="33"/>
        <v>17</v>
      </c>
      <c r="D181" s="8">
        <f t="shared" si="34"/>
        <v>8</v>
      </c>
    </row>
    <row r="182" ht="14.25">
      <c r="A182" s="94" t="str">
        <f t="shared" si="35"/>
        <v xml:space="preserve">.18 - .19</v>
      </c>
      <c r="B182" s="92">
        <f t="shared" si="36"/>
        <v>0.18884785516628927</v>
      </c>
      <c r="C182" s="8">
        <f t="shared" si="33"/>
        <v>44</v>
      </c>
      <c r="D182" s="8">
        <f t="shared" si="34"/>
        <v>27</v>
      </c>
    </row>
    <row r="183" ht="14.25">
      <c r="A183" s="94" t="str">
        <f t="shared" si="35"/>
        <v xml:space="preserve">.2 - .21</v>
      </c>
      <c r="B183" s="92">
        <f t="shared" si="36"/>
        <v>0.20937479594523375</v>
      </c>
      <c r="C183" s="8">
        <f t="shared" si="33"/>
        <v>72</v>
      </c>
      <c r="D183" s="8">
        <f t="shared" si="34"/>
        <v>28</v>
      </c>
    </row>
    <row r="184" ht="14.25">
      <c r="A184" s="94" t="str">
        <f t="shared" si="35"/>
        <v xml:space="preserve">.22 - .23</v>
      </c>
      <c r="B184" s="92">
        <f t="shared" si="36"/>
        <v>0.22990173672417824</v>
      </c>
      <c r="C184" s="8">
        <f t="shared" si="33"/>
        <v>95</v>
      </c>
      <c r="D184" s="8">
        <f t="shared" si="34"/>
        <v>23</v>
      </c>
    </row>
    <row r="185" ht="14.25">
      <c r="A185" s="94" t="str">
        <f t="shared" si="35"/>
        <v xml:space="preserve">.24 - .25</v>
      </c>
      <c r="B185" s="92">
        <f t="shared" si="36"/>
        <v>0.2504286775031227</v>
      </c>
      <c r="C185" s="8">
        <f t="shared" si="33"/>
        <v>120</v>
      </c>
      <c r="D185" s="8">
        <f t="shared" si="34"/>
        <v>25</v>
      </c>
    </row>
    <row r="186" ht="14.25">
      <c r="A186" s="94" t="str">
        <f t="shared" si="35"/>
        <v xml:space="preserve">.26 - .27</v>
      </c>
      <c r="B186" s="78">
        <f t="shared" si="36"/>
        <v>0.27095561828206716</v>
      </c>
      <c r="C186" s="13">
        <f t="shared" si="33"/>
        <v>129</v>
      </c>
      <c r="D186" s="13">
        <f t="shared" si="34"/>
        <v>9</v>
      </c>
    </row>
    <row r="190" ht="14.25">
      <c r="A190" s="95" t="s">
        <v>102</v>
      </c>
      <c r="B190" s="13"/>
      <c r="C190" s="13"/>
      <c r="D190" s="88"/>
      <c r="E190" s="13"/>
      <c r="F190" s="97">
        <v>6</v>
      </c>
    </row>
    <row r="191" ht="14.25">
      <c r="A191" s="95" t="s">
        <v>106</v>
      </c>
      <c r="B191" s="98"/>
      <c r="C191" s="98"/>
      <c r="D191" s="99"/>
      <c r="E191" s="101"/>
      <c r="F191" s="100">
        <f>F$172/F190</f>
        <v>0.037632724761398222</v>
      </c>
    </row>
    <row r="193" ht="14.25">
      <c r="A193" s="95" t="s">
        <v>107</v>
      </c>
      <c r="B193" s="95" t="s">
        <v>108</v>
      </c>
      <c r="C193" s="95" t="s">
        <v>109</v>
      </c>
      <c r="D193" s="95" t="str">
        <f>F$1</f>
        <v xml:space="preserve">Kukkumise aeg t(s)</v>
      </c>
    </row>
    <row r="194" ht="14.25">
      <c r="A194" s="94" t="str">
        <f>_xlfn.CONCAT(TEXT(F188,"#.##")," - ",TEXT(B194,"#.##"))</f>
        <v xml:space="preserve">. - .08</v>
      </c>
      <c r="B194" s="91">
        <f>F$170+F191</f>
        <v>0.082791994475076097</v>
      </c>
      <c r="C194" s="102">
        <f t="shared" si="33"/>
        <v>2</v>
      </c>
      <c r="D194" s="102">
        <f t="shared" ref="D194:D199" si="37">IF(ISNUMBER(C193),C194-C193,C194)</f>
        <v>2</v>
      </c>
    </row>
    <row r="195" ht="14.25">
      <c r="A195" s="94" t="str">
        <f t="shared" ref="A195:A199" si="38">_xlfn.CONCAT(TEXT(B194+0.01,"#.##")," - ",TEXT(B195,"#.##"))</f>
        <v xml:space="preserve">.09 - .12</v>
      </c>
      <c r="B195" s="92">
        <f t="shared" ref="B195:B199" si="39">B194+F$191</f>
        <v>0.12042471923647433</v>
      </c>
      <c r="C195" s="8">
        <f t="shared" si="33"/>
        <v>4</v>
      </c>
      <c r="D195" s="8">
        <f t="shared" si="37"/>
        <v>2</v>
      </c>
    </row>
    <row r="196" ht="14.25">
      <c r="A196" s="94" t="str">
        <f t="shared" si="38"/>
        <v xml:space="preserve">.13 - .16</v>
      </c>
      <c r="B196" s="92">
        <f t="shared" si="39"/>
        <v>0.15805744399787255</v>
      </c>
      <c r="C196" s="8">
        <f t="shared" si="33"/>
        <v>13</v>
      </c>
      <c r="D196" s="8">
        <f t="shared" si="37"/>
        <v>9</v>
      </c>
    </row>
    <row r="197" ht="14.25">
      <c r="A197" s="94" t="str">
        <f t="shared" si="38"/>
        <v xml:space="preserve">.17 - .2</v>
      </c>
      <c r="B197" s="92">
        <f t="shared" si="39"/>
        <v>0.19569016875927078</v>
      </c>
      <c r="C197" s="8">
        <f t="shared" si="33"/>
        <v>55</v>
      </c>
      <c r="D197" s="8">
        <f t="shared" si="37"/>
        <v>42</v>
      </c>
    </row>
    <row r="198" ht="14.25">
      <c r="A198" s="94" t="str">
        <f t="shared" si="38"/>
        <v xml:space="preserve">.21 - .23</v>
      </c>
      <c r="B198" s="92">
        <f t="shared" si="39"/>
        <v>0.23332289352066901</v>
      </c>
      <c r="C198" s="8">
        <f t="shared" si="33"/>
        <v>99</v>
      </c>
      <c r="D198" s="8">
        <f t="shared" si="37"/>
        <v>44</v>
      </c>
    </row>
    <row r="199" ht="14.25">
      <c r="A199" s="94" t="str">
        <f t="shared" si="38"/>
        <v xml:space="preserve">.24 - .27</v>
      </c>
      <c r="B199" s="92">
        <f t="shared" si="39"/>
        <v>0.27095561828206721</v>
      </c>
      <c r="C199" s="8">
        <f t="shared" si="33"/>
        <v>130</v>
      </c>
      <c r="D199" s="8">
        <f t="shared" si="37"/>
        <v>31</v>
      </c>
    </row>
  </sheetData>
  <mergeCells count="6">
    <mergeCell ref="A132:A137"/>
    <mergeCell ref="A138:A143"/>
    <mergeCell ref="A144:A149"/>
    <mergeCell ref="A150:A155"/>
    <mergeCell ref="A156:A161"/>
    <mergeCell ref="A162:A167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22.7109375"/>
    <col bestFit="1" min="2" max="2" width="52.7109375"/>
    <col bestFit="1" min="3" max="3" width="29.28125"/>
    <col bestFit="1" min="4" max="4" width="26.57421875"/>
    <col bestFit="1" min="5" max="5" width="38.57421875"/>
  </cols>
  <sheetData>
    <row r="1">
      <c r="A1" s="9" t="s">
        <v>110</v>
      </c>
      <c r="B1" s="9" t="s">
        <v>111</v>
      </c>
      <c r="C1" s="9" t="s">
        <v>109</v>
      </c>
      <c r="D1" s="9" t="s">
        <v>112</v>
      </c>
      <c r="E1" s="17" t="s">
        <v>113</v>
      </c>
    </row>
    <row r="2">
      <c r="A2" s="11">
        <v>0</v>
      </c>
      <c r="B2" s="11">
        <v>47</v>
      </c>
      <c r="C2" s="11">
        <f>IF(ISNA(C1),C1+B2,B2)</f>
        <v>47</v>
      </c>
      <c r="D2" s="38">
        <f t="shared" ref="D2:D9" si="40">B2/C$14</f>
        <v>0.046766169154228855</v>
      </c>
      <c r="E2" s="38">
        <f t="shared" ref="E2:E9" si="41">C2/C$14</f>
        <v>0.046766169154228855</v>
      </c>
    </row>
    <row r="3">
      <c r="A3" s="11">
        <v>1</v>
      </c>
      <c r="B3" s="11">
        <v>152</v>
      </c>
      <c r="C3" s="11">
        <f>B2+B3</f>
        <v>199</v>
      </c>
      <c r="D3" s="38">
        <f t="shared" si="40"/>
        <v>0.15124378109452735</v>
      </c>
      <c r="E3" s="38">
        <f t="shared" si="41"/>
        <v>0.19800995024875623</v>
      </c>
    </row>
    <row r="4">
      <c r="A4" s="11">
        <v>2</v>
      </c>
      <c r="B4" s="11">
        <v>221</v>
      </c>
      <c r="C4" s="11">
        <f t="shared" ref="C4:C9" si="42">C3+B4</f>
        <v>420</v>
      </c>
      <c r="D4" s="38">
        <f t="shared" si="40"/>
        <v>0.21990049751243781</v>
      </c>
      <c r="E4" s="38">
        <f t="shared" si="41"/>
        <v>0.41791044776119401</v>
      </c>
    </row>
    <row r="5">
      <c r="A5" s="11">
        <v>3</v>
      </c>
      <c r="B5" s="11">
        <v>233</v>
      </c>
      <c r="C5" s="11">
        <f t="shared" si="42"/>
        <v>653</v>
      </c>
      <c r="D5" s="38">
        <f t="shared" si="40"/>
        <v>0.23184079601990049</v>
      </c>
      <c r="E5" s="38">
        <f t="shared" si="41"/>
        <v>0.6497512437810945</v>
      </c>
    </row>
    <row r="6">
      <c r="A6" s="11">
        <v>4</v>
      </c>
      <c r="B6" s="11">
        <v>160</v>
      </c>
      <c r="C6" s="11">
        <f t="shared" si="42"/>
        <v>813</v>
      </c>
      <c r="D6" s="38">
        <f t="shared" si="40"/>
        <v>0.15920398009950248</v>
      </c>
      <c r="E6" s="38">
        <f t="shared" si="41"/>
        <v>0.80895522388059704</v>
      </c>
    </row>
    <row r="7">
      <c r="A7" s="11">
        <v>5</v>
      </c>
      <c r="B7" s="11">
        <v>105</v>
      </c>
      <c r="C7" s="11">
        <f t="shared" si="42"/>
        <v>918</v>
      </c>
      <c r="D7" s="38">
        <f t="shared" si="40"/>
        <v>0.1044776119402985</v>
      </c>
      <c r="E7" s="38">
        <f t="shared" si="41"/>
        <v>0.91343283582089552</v>
      </c>
    </row>
    <row r="8">
      <c r="A8" s="11">
        <v>6</v>
      </c>
      <c r="B8" s="11">
        <v>51</v>
      </c>
      <c r="C8" s="11">
        <f t="shared" si="42"/>
        <v>969</v>
      </c>
      <c r="D8" s="38">
        <f t="shared" si="40"/>
        <v>0.050746268656716415</v>
      </c>
      <c r="E8" s="38">
        <f t="shared" si="41"/>
        <v>0.9641791044776119</v>
      </c>
    </row>
    <row r="9">
      <c r="A9" s="11">
        <v>7</v>
      </c>
      <c r="B9" s="11">
        <v>17</v>
      </c>
      <c r="C9" s="11">
        <f t="shared" si="42"/>
        <v>986</v>
      </c>
      <c r="D9" s="38">
        <f t="shared" si="40"/>
        <v>0.016915422885572139</v>
      </c>
      <c r="E9" s="38">
        <f t="shared" si="41"/>
        <v>0.98109452736318403</v>
      </c>
    </row>
    <row r="10">
      <c r="A10" s="11">
        <v>8</v>
      </c>
      <c r="B10" s="11">
        <v>10</v>
      </c>
      <c r="C10" s="11">
        <f>C9+B10</f>
        <v>996</v>
      </c>
      <c r="D10" s="38">
        <f t="shared" ref="D10:D14" si="43">B10/C$14</f>
        <v>0.0099502487562189053</v>
      </c>
      <c r="E10" s="38">
        <f t="shared" ref="E10:E14" si="44">C10/C$14</f>
        <v>0.991044776119403</v>
      </c>
    </row>
    <row r="11">
      <c r="A11" s="11">
        <v>9</v>
      </c>
      <c r="B11" s="11">
        <v>5</v>
      </c>
      <c r="C11" s="11">
        <f t="shared" ref="C11:C14" si="45">C10+B11</f>
        <v>1001</v>
      </c>
      <c r="D11" s="38">
        <f t="shared" si="43"/>
        <v>0.0049751243781094526</v>
      </c>
      <c r="E11" s="38">
        <f t="shared" si="44"/>
        <v>0.99601990049751243</v>
      </c>
    </row>
    <row r="12">
      <c r="A12" s="11">
        <v>10</v>
      </c>
      <c r="B12" s="11">
        <v>3</v>
      </c>
      <c r="C12" s="11">
        <f t="shared" si="45"/>
        <v>1004</v>
      </c>
      <c r="D12" s="38">
        <f t="shared" si="43"/>
        <v>0.0029850746268656717</v>
      </c>
      <c r="E12" s="38">
        <f t="shared" si="44"/>
        <v>0.99900497512437814</v>
      </c>
    </row>
    <row r="13">
      <c r="A13" s="11">
        <v>11</v>
      </c>
      <c r="B13" s="11">
        <v>1</v>
      </c>
      <c r="C13" s="11">
        <f t="shared" si="45"/>
        <v>1005</v>
      </c>
      <c r="D13" s="38">
        <f t="shared" si="43"/>
        <v>0.00099502487562189048</v>
      </c>
      <c r="E13" s="38">
        <f t="shared" si="44"/>
        <v>1</v>
      </c>
    </row>
    <row r="14">
      <c r="A14" s="11">
        <v>12</v>
      </c>
      <c r="B14" s="11">
        <v>0</v>
      </c>
      <c r="C14" s="11">
        <f t="shared" si="45"/>
        <v>1005</v>
      </c>
      <c r="D14" s="38">
        <f t="shared" si="43"/>
        <v>0</v>
      </c>
      <c r="E14" s="38">
        <f t="shared" si="44"/>
        <v>1</v>
      </c>
    </row>
    <row r="22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8.421875"/>
    <col bestFit="1" min="5" max="5" width="25.28125"/>
    <col bestFit="1" min="6" max="6" width="19.140625"/>
    <col bestFit="1" min="7" max="7" width="30.00390625"/>
    <col bestFit="1" min="8" max="8" width="12.28125"/>
  </cols>
  <sheetData>
    <row r="1" ht="14.25">
      <c r="E1" s="9" t="s">
        <v>107</v>
      </c>
      <c r="F1" s="9" t="s">
        <v>108</v>
      </c>
      <c r="G1" s="9" t="s">
        <v>109</v>
      </c>
      <c r="H1" s="9" t="s">
        <v>114</v>
      </c>
    </row>
    <row r="2" ht="14.25">
      <c r="B2" s="11">
        <v>7</v>
      </c>
      <c r="C2">
        <v>10.5</v>
      </c>
      <c r="E2" s="103" t="s">
        <v>115</v>
      </c>
      <c r="F2" s="11">
        <v>9</v>
      </c>
      <c r="G2" s="11">
        <f t="shared" ref="G2:G6" si="46">FREQUENCY($B$2:$C$18,F2:F2)</f>
        <v>7</v>
      </c>
      <c r="H2">
        <f>IF(ISNUMBER(G1),G2-G1,G2)</f>
        <v>7</v>
      </c>
    </row>
    <row r="3" ht="14.25">
      <c r="B3" s="11">
        <v>7.5</v>
      </c>
      <c r="C3">
        <v>7.5</v>
      </c>
      <c r="E3" s="104" t="s">
        <v>116</v>
      </c>
      <c r="F3" s="11">
        <v>11</v>
      </c>
      <c r="G3" s="11">
        <f t="shared" si="46"/>
        <v>14</v>
      </c>
      <c r="H3">
        <f t="shared" ref="H3:H6" si="47">IF(ISNA(G3),G3,G3-G2)</f>
        <v>7</v>
      </c>
    </row>
    <row r="4" ht="14.25">
      <c r="B4" s="11">
        <v>7</v>
      </c>
      <c r="C4">
        <v>15.5</v>
      </c>
      <c r="E4" s="103" t="s">
        <v>117</v>
      </c>
      <c r="F4" s="11">
        <v>13</v>
      </c>
      <c r="G4" s="11">
        <f t="shared" si="46"/>
        <v>22</v>
      </c>
      <c r="H4">
        <f t="shared" si="47"/>
        <v>8</v>
      </c>
    </row>
    <row r="5" ht="14.25">
      <c r="B5" s="11">
        <v>9</v>
      </c>
      <c r="C5">
        <v>14.4</v>
      </c>
      <c r="E5" s="103" t="s">
        <v>118</v>
      </c>
      <c r="F5" s="11">
        <v>15</v>
      </c>
      <c r="G5" s="11">
        <f t="shared" si="46"/>
        <v>30</v>
      </c>
      <c r="H5">
        <f t="shared" si="47"/>
        <v>8</v>
      </c>
    </row>
    <row r="6" ht="14.25">
      <c r="B6" s="11">
        <v>10.5</v>
      </c>
      <c r="C6">
        <v>13</v>
      </c>
      <c r="E6" s="103" t="s">
        <v>119</v>
      </c>
      <c r="F6" s="11">
        <v>17</v>
      </c>
      <c r="G6" s="11">
        <f t="shared" si="46"/>
        <v>34</v>
      </c>
      <c r="H6">
        <f t="shared" si="47"/>
        <v>4</v>
      </c>
    </row>
    <row r="7" ht="14.25">
      <c r="B7" s="11">
        <v>11.5</v>
      </c>
      <c r="C7">
        <v>12</v>
      </c>
    </row>
    <row r="8" ht="14.25">
      <c r="B8" s="11">
        <v>9.5</v>
      </c>
      <c r="C8">
        <v>14</v>
      </c>
    </row>
    <row r="9" ht="14.25">
      <c r="B9" s="11">
        <v>12.5</v>
      </c>
      <c r="C9">
        <v>8</v>
      </c>
    </row>
    <row r="10" ht="14.25">
      <c r="B10" s="11">
        <v>16</v>
      </c>
      <c r="C10">
        <v>10</v>
      </c>
    </row>
    <row r="11" ht="14.25">
      <c r="B11" s="11">
        <v>17</v>
      </c>
      <c r="C11">
        <v>15</v>
      </c>
    </row>
    <row r="12" ht="14.25">
      <c r="B12" s="11">
        <v>15</v>
      </c>
      <c r="C12">
        <v>12.5</v>
      </c>
    </row>
    <row r="13" ht="14.25">
      <c r="B13" s="11">
        <v>13.5</v>
      </c>
      <c r="C13">
        <v>13.5</v>
      </c>
    </row>
    <row r="14" ht="14.25">
      <c r="B14" s="11">
        <v>12.5</v>
      </c>
      <c r="C14">
        <v>14</v>
      </c>
    </row>
    <row r="15" ht="14.25">
      <c r="B15" s="11">
        <v>13</v>
      </c>
      <c r="C15">
        <v>12</v>
      </c>
    </row>
    <row r="16" ht="14.25">
      <c r="B16" s="11">
        <v>10.5</v>
      </c>
      <c r="C16">
        <v>11</v>
      </c>
    </row>
    <row r="17" ht="14.25">
      <c r="B17" s="11">
        <v>8.5</v>
      </c>
      <c r="C17">
        <v>17</v>
      </c>
    </row>
    <row r="18" ht="14.25">
      <c r="B18" s="12">
        <v>13.5</v>
      </c>
      <c r="C18" s="2">
        <v>10</v>
      </c>
    </row>
    <row r="19" ht="14.25">
      <c r="A19" s="5" t="s">
        <v>120</v>
      </c>
      <c r="B19" s="11">
        <f>COUNT(B2:B18)</f>
        <v>17</v>
      </c>
      <c r="C19" s="11">
        <f>COUNT(C2:C18)</f>
        <v>17</v>
      </c>
      <c r="D19" s="33">
        <f>SUM(B19:C19)</f>
        <v>34</v>
      </c>
    </row>
    <row r="20" ht="14.25">
      <c r="A20" s="5" t="s">
        <v>121</v>
      </c>
      <c r="B20" s="33">
        <f>SQRT(D19)</f>
        <v>5.8309518948453007</v>
      </c>
      <c r="C20" s="105" t="s">
        <v>122</v>
      </c>
      <c r="D20" s="33">
        <v>5</v>
      </c>
      <c r="E20" t="s">
        <v>123</v>
      </c>
    </row>
    <row r="21" ht="14.25"/>
    <row r="22" ht="14.25"/>
    <row r="23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30.28125"/>
    <col bestFit="1" min="2" max="2" width="51.140625"/>
  </cols>
  <sheetData>
    <row r="1" ht="14.25">
      <c r="A1" s="9" t="s">
        <v>124</v>
      </c>
      <c r="B1" s="17" t="s">
        <v>125</v>
      </c>
    </row>
    <row r="2" ht="14.25">
      <c r="A2" s="11">
        <v>8</v>
      </c>
      <c r="B2">
        <v>0.20799999999999999</v>
      </c>
    </row>
    <row r="3" ht="14.25">
      <c r="A3" s="11">
        <v>16.5</v>
      </c>
      <c r="B3">
        <v>0.21299999999999999</v>
      </c>
    </row>
    <row r="4" ht="14.25">
      <c r="A4" s="11">
        <v>23.5</v>
      </c>
      <c r="B4">
        <v>0.222</v>
      </c>
    </row>
    <row r="5" ht="14.25">
      <c r="A5" s="11">
        <v>32</v>
      </c>
      <c r="B5">
        <v>0.22900000000000001</v>
      </c>
    </row>
    <row r="6" ht="14.25">
      <c r="A6" s="11">
        <v>40.399999999999999</v>
      </c>
      <c r="B6">
        <v>0.23200000000000001</v>
      </c>
    </row>
    <row r="7" ht="14.25">
      <c r="A7" s="11">
        <v>54.5</v>
      </c>
      <c r="B7">
        <v>0.24299999999999999</v>
      </c>
    </row>
    <row r="9" ht="14.25">
      <c r="A9" s="5" t="s">
        <v>126</v>
      </c>
      <c r="B9" s="106">
        <f>SLOPE(B2:B7,A2:A7)</f>
        <v>0.00075869615092741326</v>
      </c>
    </row>
    <row r="10" ht="14.25">
      <c r="A10" s="5" t="s">
        <v>127</v>
      </c>
      <c r="B10" s="107">
        <f>INTERCEPT(B2:B7,A2:A7)</f>
        <v>0.2023840072004659</v>
      </c>
    </row>
    <row r="11" ht="14.25">
      <c r="A11" s="5" t="s">
        <v>128</v>
      </c>
      <c r="B11" s="108">
        <f>B9/B10</f>
        <v>0.0037487949834687662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lineWeight="0.75" type="column" dateAxis="0" displayEmptyCellsAs="zero" markers="0" high="0" low="0" first="0" last="0" negative="0" displayXAxis="0" displayHidden="0" minAxisType="individual" maxAxisType="individual" rightToLeft="0">
          <x14:colorSeries rgb="FF376092"/>
          <x14:colorNegative rgb="FFD00000"/>
          <x14:colorAxis rgb="FFD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Vaskjuhe!A2:A8</xm:f>
              <xm:sqref>$B$19</xm:sqref>
            </x14:sparkline>
          </x14:sparklines>
        </x14:sparklineGroup>
        <x14:sparklineGroup lineWeight="0.75" type="stacked" dateAxis="0" displayEmptyCellsAs="zero" markers="0" high="0" low="0" first="0" last="0" negative="0" displayXAxis="0" displayHidden="0" minAxisType="individual" maxAxisType="individual" rightToLeft="0">
          <x14:colorSeries rgb="FF376092"/>
          <x14:colorNegative rgb="FFD00000"/>
          <x14:colorAxis rgb="FFD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Vaskjuhe!A2:A7</xm:f>
              <xm:sqref>$B$21</xm:sqref>
            </x14:sparkline>
          </x14:sparklines>
        </x14:sparklineGroup>
        <x14:sparklineGroup lineWeight="0.75" type="line" dateAxis="0" displayEmptyCellsAs="zero" markers="0" high="0" low="0" first="0" last="0" negative="0" displayXAxis="0" displayHidden="0" minAxisType="individual" maxAxisType="individual" rightToLeft="0">
          <x14:colorSeries rgb="FF376092"/>
          <x14:colorNegative rgb="FFD00000"/>
          <x14:colorAxis rgb="FFD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Vaskjuhe!A2:A7</xm:f>
              <xm:sqref>$B$23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24.57421875"/>
    <col bestFit="1" min="4" max="4" width="14.140625"/>
  </cols>
  <sheetData>
    <row r="1" ht="14.25">
      <c r="B1" s="9" t="s">
        <v>129</v>
      </c>
      <c r="C1" s="9" t="s">
        <v>130</v>
      </c>
      <c r="D1" s="9" t="s">
        <v>131</v>
      </c>
      <c r="E1" s="36" t="s">
        <v>132</v>
      </c>
      <c r="F1" s="9" t="s">
        <v>133</v>
      </c>
    </row>
    <row r="2" ht="14.25">
      <c r="B2" s="11">
        <v>1</v>
      </c>
      <c r="C2" s="11">
        <v>2.1000000000000001</v>
      </c>
      <c r="D2">
        <f t="shared" ref="D2:D6" si="48">B2*C2</f>
        <v>2.1000000000000001</v>
      </c>
      <c r="E2" s="8">
        <f t="shared" ref="E2:E6" si="49">B2^2</f>
        <v>1</v>
      </c>
      <c r="F2">
        <f t="shared" ref="F2:F6" si="50">C2^2</f>
        <v>4.4100000000000001</v>
      </c>
    </row>
    <row r="3" ht="14.25">
      <c r="B3" s="11">
        <v>2</v>
      </c>
      <c r="C3" s="11">
        <v>3.5</v>
      </c>
      <c r="D3">
        <f t="shared" si="48"/>
        <v>7</v>
      </c>
      <c r="E3" s="8">
        <f t="shared" si="49"/>
        <v>4</v>
      </c>
      <c r="F3">
        <f t="shared" si="50"/>
        <v>12.25</v>
      </c>
    </row>
    <row r="4" ht="14.25">
      <c r="B4" s="11">
        <v>3</v>
      </c>
      <c r="C4" s="11">
        <v>5.4000000000000004</v>
      </c>
      <c r="D4">
        <f t="shared" si="48"/>
        <v>16.200000000000003</v>
      </c>
      <c r="E4" s="8">
        <f t="shared" si="49"/>
        <v>9</v>
      </c>
      <c r="F4">
        <f t="shared" si="50"/>
        <v>29.160000000000004</v>
      </c>
    </row>
    <row r="5" ht="14.25">
      <c r="B5" s="11">
        <v>4</v>
      </c>
      <c r="C5" s="11">
        <v>6.2000000000000002</v>
      </c>
      <c r="D5">
        <f t="shared" si="48"/>
        <v>24.800000000000001</v>
      </c>
      <c r="E5" s="8">
        <f t="shared" si="49"/>
        <v>16</v>
      </c>
      <c r="F5">
        <f t="shared" si="50"/>
        <v>38.440000000000005</v>
      </c>
    </row>
    <row r="6" ht="14.25">
      <c r="B6" s="12">
        <v>5</v>
      </c>
      <c r="C6" s="12">
        <v>8.0999999999999996</v>
      </c>
      <c r="D6" s="2">
        <f t="shared" si="48"/>
        <v>40.5</v>
      </c>
      <c r="E6" s="13">
        <f t="shared" si="49"/>
        <v>25</v>
      </c>
      <c r="F6" s="2">
        <f t="shared" si="50"/>
        <v>65.609999999999999</v>
      </c>
    </row>
    <row r="7" ht="14.25">
      <c r="A7" s="34" t="s">
        <v>134</v>
      </c>
      <c r="B7">
        <f>SUM(B2:B6)</f>
        <v>15</v>
      </c>
      <c r="C7" s="8">
        <f>SUM(C2:C6)</f>
        <v>25.299999999999997</v>
      </c>
      <c r="D7">
        <f>SUM(D2:D6)</f>
        <v>90.600000000000009</v>
      </c>
      <c r="E7" s="8">
        <f>SUM(E2:E6)</f>
        <v>55</v>
      </c>
    </row>
    <row r="9" ht="14.25">
      <c r="A9" s="5" t="s">
        <v>135</v>
      </c>
      <c r="B9">
        <f>COUNT(B2:B6)</f>
        <v>5</v>
      </c>
    </row>
    <row r="10" ht="14.25">
      <c r="A10" s="5" t="s">
        <v>136</v>
      </c>
      <c r="B10">
        <f>(B9*D7-B7*C7)/(B9*E7-B7^2)</f>
        <v>1.4700000000000022</v>
      </c>
      <c r="C10">
        <f>SLOPE(C2:C6,B2:B6)</f>
        <v>1.47</v>
      </c>
    </row>
    <row r="11" ht="14.25">
      <c r="A11" s="5" t="s">
        <v>137</v>
      </c>
      <c r="B11">
        <f>(E7*C7-B7*D7)/(B9*E7-B7^2)</f>
        <v>0.64999999999999092</v>
      </c>
      <c r="C11">
        <f>INTERCEPT(C2:C6,B2:B6)</f>
        <v>0.64999999999999947</v>
      </c>
    </row>
    <row r="12" ht="14.25">
      <c r="A12" s="5" t="s">
        <v>138</v>
      </c>
      <c r="C12" s="4">
        <f>PEARSON(B2:B6,C2:C6)</f>
        <v>0.99442432412354365</v>
      </c>
      <c r="D12" t="s">
        <v>139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77.140625"/>
    <col bestFit="1" min="2" max="2" width="24.8515625"/>
  </cols>
  <sheetData>
    <row r="1" ht="14.25">
      <c r="A1" s="9" t="s">
        <v>140</v>
      </c>
      <c r="B1" s="17" t="s">
        <v>141</v>
      </c>
    </row>
    <row r="2" ht="14.25">
      <c r="A2" s="11">
        <v>195</v>
      </c>
      <c r="B2">
        <v>150</v>
      </c>
    </row>
    <row r="3" ht="14.25">
      <c r="A3" s="11">
        <v>196</v>
      </c>
      <c r="B3">
        <v>150</v>
      </c>
    </row>
    <row r="4" ht="14.25">
      <c r="A4" s="11">
        <v>197</v>
      </c>
      <c r="B4">
        <v>150</v>
      </c>
    </row>
    <row r="5" ht="14.25">
      <c r="A5" s="11">
        <v>198</v>
      </c>
      <c r="B5">
        <v>118</v>
      </c>
    </row>
    <row r="6" ht="14.25">
      <c r="A6" s="11">
        <v>199</v>
      </c>
      <c r="B6">
        <v>109</v>
      </c>
    </row>
    <row r="7" ht="14.25">
      <c r="A7" s="11">
        <v>200</v>
      </c>
      <c r="B7">
        <v>95</v>
      </c>
    </row>
    <row r="8" ht="14.25">
      <c r="A8" s="11">
        <v>201</v>
      </c>
      <c r="B8">
        <v>63</v>
      </c>
    </row>
    <row r="9" ht="14.25">
      <c r="A9" s="11">
        <v>202</v>
      </c>
      <c r="B9">
        <v>66</v>
      </c>
    </row>
    <row r="10" ht="14.25">
      <c r="A10" s="11">
        <v>203</v>
      </c>
      <c r="B10">
        <v>44</v>
      </c>
    </row>
    <row r="11" ht="14.25">
      <c r="A11" s="11">
        <v>204</v>
      </c>
      <c r="B11">
        <v>29</v>
      </c>
    </row>
    <row r="12" ht="14.25">
      <c r="A12" s="11">
        <v>205</v>
      </c>
      <c r="B12">
        <v>29</v>
      </c>
    </row>
    <row r="13" ht="14.25">
      <c r="A13" s="11">
        <v>206</v>
      </c>
      <c r="B13">
        <v>35</v>
      </c>
    </row>
    <row r="14" ht="14.25">
      <c r="A14" s="11">
        <v>207</v>
      </c>
      <c r="B14">
        <v>38</v>
      </c>
    </row>
    <row r="15" ht="14.25">
      <c r="A15" s="11">
        <v>208</v>
      </c>
      <c r="B15">
        <v>31</v>
      </c>
    </row>
    <row r="16" ht="14.25">
      <c r="A16" s="11">
        <v>209</v>
      </c>
      <c r="B16">
        <v>20</v>
      </c>
    </row>
    <row r="17" ht="14.25">
      <c r="A17" s="11">
        <v>210</v>
      </c>
      <c r="B17">
        <v>24</v>
      </c>
    </row>
    <row r="19" ht="14.25">
      <c r="A19" t="s">
        <v>142</v>
      </c>
    </row>
    <row r="21" ht="14.25">
      <c r="A21" t="s">
        <v>143</v>
      </c>
    </row>
    <row r="23" ht="14.25">
      <c r="A23" t="s">
        <v>144</v>
      </c>
    </row>
    <row r="24" ht="14.25">
      <c r="A24" t="s">
        <v>145</v>
      </c>
    </row>
    <row r="25" ht="14.25">
      <c r="A25" t="s">
        <v>146</v>
      </c>
    </row>
    <row r="27" ht="14.25">
      <c r="A27" s="34" t="s">
        <v>147</v>
      </c>
      <c r="B27">
        <f>SLOPE(B2:B17,A2:A17)</f>
        <v>-9.677941176470588</v>
      </c>
    </row>
    <row r="28" ht="14.25">
      <c r="A28" s="34" t="s">
        <v>148</v>
      </c>
      <c r="B28">
        <f>INTERCEPT(B2:B17,A2:A17)</f>
        <v>2031.7205882352941</v>
      </c>
    </row>
    <row r="29" ht="14.25">
      <c r="A29" t="s">
        <v>138</v>
      </c>
      <c r="B29">
        <f>PEARSON(A2:A17,B2:B17)</f>
        <v>-0.93949736618323731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2" width="46.421875"/>
    <col bestFit="1" min="3" max="3" width="43.140625"/>
  </cols>
  <sheetData>
    <row r="1" ht="14.25">
      <c r="B1" s="36" t="s">
        <v>149</v>
      </c>
      <c r="C1" s="17" t="s">
        <v>150</v>
      </c>
      <c r="D1" s="2"/>
    </row>
    <row r="2" ht="14.25">
      <c r="B2" s="11">
        <v>0</v>
      </c>
      <c r="C2">
        <v>0.02</v>
      </c>
    </row>
    <row r="3" ht="14.25">
      <c r="B3" s="11">
        <v>5</v>
      </c>
      <c r="C3">
        <v>0.13</v>
      </c>
    </row>
    <row r="4" ht="14.25">
      <c r="B4" s="11">
        <v>10</v>
      </c>
      <c r="C4">
        <v>0.25</v>
      </c>
    </row>
    <row r="5" ht="14.25">
      <c r="B5" s="11">
        <v>15</v>
      </c>
      <c r="C5">
        <v>0.39000000000000001</v>
      </c>
    </row>
    <row r="6" ht="14.25">
      <c r="B6" s="11">
        <v>20</v>
      </c>
      <c r="C6">
        <v>0.5</v>
      </c>
    </row>
    <row r="7" ht="14.25">
      <c r="B7" s="11">
        <v>25</v>
      </c>
      <c r="C7">
        <v>0.62</v>
      </c>
    </row>
    <row r="8" ht="14.25">
      <c r="A8" s="2"/>
      <c r="B8" s="12">
        <v>30</v>
      </c>
      <c r="C8" s="2">
        <v>0.76000000000000001</v>
      </c>
    </row>
    <row r="12" ht="14.25">
      <c r="B12" t="s">
        <v>151</v>
      </c>
    </row>
    <row r="13" ht="14.25">
      <c r="B13" t="s">
        <v>152</v>
      </c>
    </row>
    <row r="15" ht="14.25">
      <c r="B15" t="s">
        <v>153</v>
      </c>
    </row>
    <row r="17" ht="14.25">
      <c r="B17" t="s">
        <v>154</v>
      </c>
    </row>
    <row r="18" ht="14.25">
      <c r="B18" t="s">
        <v>155</v>
      </c>
    </row>
    <row r="20" ht="14.25">
      <c r="B20" t="s">
        <v>156</v>
      </c>
    </row>
    <row r="21" ht="14.25">
      <c r="B21" t="s">
        <v>157</v>
      </c>
    </row>
    <row r="22" ht="14.25"/>
    <row r="23" ht="14.25">
      <c r="B23" t="s">
        <v>158</v>
      </c>
      <c r="C23">
        <f>SLOPE(C2:C8,B2:B8)</f>
        <v>0.024642857142857143</v>
      </c>
    </row>
    <row r="24" ht="14.25">
      <c r="B24" t="s">
        <v>159</v>
      </c>
      <c r="C24">
        <f>INTERCEPT(C2:C8,B2:B8)</f>
        <v>0.011785714285714233</v>
      </c>
    </row>
    <row r="25" ht="14.25">
      <c r="B25" t="s">
        <v>160</v>
      </c>
      <c r="C25">
        <f t="array" ref="C25:D31">LINEST(C2:C8,B2:B8,1,1)</f>
        <v>0.024642857142857143</v>
      </c>
      <c r="D25">
        <f/>
        <v>0.011785714285714233</v>
      </c>
      <c r="F25" t="s">
        <v>161</v>
      </c>
    </row>
    <row r="26" ht="14.25">
      <c r="B26" t="s">
        <v>162</v>
      </c>
      <c r="C26">
        <f/>
        <v>0.00033654911398256455</v>
      </c>
      <c r="D26">
        <f/>
        <v>0.0060672254358805555</v>
      </c>
      <c r="F26" t="s">
        <v>163</v>
      </c>
    </row>
    <row r="27" ht="14.25">
      <c r="B27" t="s">
        <v>164</v>
      </c>
      <c r="C27">
        <f/>
        <v>0.9990682917002417</v>
      </c>
      <c r="D27">
        <f/>
        <v>0.0089042525955699645</v>
      </c>
    </row>
    <row r="28" ht="14.25">
      <c r="C28">
        <f/>
        <v>5361.4864864864776</v>
      </c>
      <c r="D28">
        <f/>
        <v>5</v>
      </c>
    </row>
    <row r="29" ht="14.25">
      <c r="C29">
        <f/>
        <v>0.42508928571428578</v>
      </c>
      <c r="D29">
        <f/>
        <v>0.00039642857142857215</v>
      </c>
    </row>
    <row r="30" ht="14.25">
      <c r="C30" t="e">
        <f/>
        <v>#N/A</v>
      </c>
      <c r="D30" t="e">
        <f/>
        <v>#N/A</v>
      </c>
    </row>
    <row r="31" ht="14.25">
      <c r="C31" t="e">
        <f/>
        <v>#N/A</v>
      </c>
      <c r="D31" t="e">
        <f/>
        <v>#N/A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lineWeight="0.75" type="line" dateAxis="0" displayEmptyCellsAs="zero" markers="0" high="0" low="0" first="0" last="0" negative="0" displayXAxis="0" displayHidden="0" minAxisType="individual" maxAxisType="individual" rightToLeft="0">
          <x14:colorSeries rgb="FF376092"/>
          <x14:colorNegative rgb="FFD00000"/>
          <x14:colorAxis rgb="FFD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Hõbedalahus!C2:C8</xm:f>
              <xm:sqref>$C$10</xm:sqref>
            </x14:sparkline>
          </x14:sparklines>
        </x14:sparklineGroup>
      </x14:sparklineGroup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165</v>
      </c>
    </row>
    <row r="2" ht="14.25">
      <c r="A2" t="s">
        <v>166</v>
      </c>
    </row>
    <row r="3" ht="14.25">
      <c r="A3" t="s">
        <v>167</v>
      </c>
    </row>
    <row r="4" ht="14.25">
      <c r="A4" t="s">
        <v>168</v>
      </c>
    </row>
    <row r="6" ht="14.25">
      <c r="A6" s="17" t="s">
        <v>169</v>
      </c>
      <c r="B6" s="17" t="s">
        <v>35</v>
      </c>
      <c r="F6" t="s">
        <v>156</v>
      </c>
      <c r="G6" t="s">
        <v>170</v>
      </c>
    </row>
    <row r="7" ht="14.25">
      <c r="A7">
        <v>2</v>
      </c>
      <c r="B7">
        <v>0.68600000000000005</v>
      </c>
      <c r="E7" t="s">
        <v>158</v>
      </c>
      <c r="F7">
        <f>SLOPE(B7:B17,A7:A17)</f>
        <v>-0.0025046009643549189</v>
      </c>
    </row>
    <row r="8" ht="14.25">
      <c r="A8">
        <v>10</v>
      </c>
      <c r="B8">
        <v>0.66200000000000003</v>
      </c>
      <c r="E8" t="s">
        <v>159</v>
      </c>
      <c r="F8">
        <f>INTERCEPT(B7:B17,A7:A17)</f>
        <v>0.68108683864465946</v>
      </c>
    </row>
    <row r="9" ht="14.25">
      <c r="A9">
        <v>19</v>
      </c>
      <c r="B9">
        <v>0.63749999999999996</v>
      </c>
      <c r="E9" t="s">
        <v>157</v>
      </c>
    </row>
    <row r="10" ht="14.25">
      <c r="A10">
        <v>26.5</v>
      </c>
      <c r="B10">
        <v>0.61399999999999999</v>
      </c>
      <c r="E10" t="s">
        <v>171</v>
      </c>
    </row>
    <row r="11" ht="14.25">
      <c r="A11">
        <v>40.5</v>
      </c>
      <c r="B11">
        <v>0.58999999999999997</v>
      </c>
      <c r="E11" t="s">
        <v>160</v>
      </c>
      <c r="F11">
        <f t="array" ref="F11:G15">LINEST(B7:B17,A7:A17,1,1)</f>
        <v>-0.0025046009643549189</v>
      </c>
      <c r="G11">
        <f/>
        <v>0.68108683864465946</v>
      </c>
    </row>
    <row r="12" ht="14.25">
      <c r="A12">
        <v>49</v>
      </c>
      <c r="B12">
        <v>0.54149999999999998</v>
      </c>
      <c r="E12" t="s">
        <v>172</v>
      </c>
      <c r="F12">
        <f/>
        <v>0.00014683522989509406</v>
      </c>
      <c r="G12">
        <f/>
        <v>0.0086357739994784057</v>
      </c>
    </row>
    <row r="13" ht="14.25">
      <c r="A13">
        <v>59.5</v>
      </c>
      <c r="B13">
        <v>0.51749999999999996</v>
      </c>
      <c r="E13" t="s">
        <v>164</v>
      </c>
      <c r="F13">
        <f/>
        <v>0.96999487789062044</v>
      </c>
      <c r="G13">
        <f/>
        <v>0.015466915269836722</v>
      </c>
    </row>
    <row r="14" ht="14.25">
      <c r="A14">
        <v>65</v>
      </c>
      <c r="B14">
        <v>0.49399999999999999</v>
      </c>
      <c r="F14">
        <f/>
        <v>290.94878765004557</v>
      </c>
      <c r="G14">
        <f/>
        <v>9</v>
      </c>
    </row>
    <row r="15" ht="14.25">
      <c r="A15">
        <v>80</v>
      </c>
      <c r="B15">
        <v>0.4698</v>
      </c>
      <c r="F15">
        <f/>
        <v>0.06960235987923033</v>
      </c>
      <c r="G15">
        <f/>
        <v>0.0021530292116787751</v>
      </c>
    </row>
    <row r="16" ht="14.25">
      <c r="A16">
        <v>91.5</v>
      </c>
      <c r="B16">
        <v>0.46970000000000001</v>
      </c>
    </row>
    <row r="17" ht="14.25">
      <c r="A17">
        <v>101.5</v>
      </c>
      <c r="B17">
        <v>0.44619999999999999</v>
      </c>
    </row>
    <row r="21" ht="14.25">
      <c r="A21" t="s">
        <v>173</v>
      </c>
    </row>
    <row r="22" ht="14.25">
      <c r="A22" t="s">
        <v>174</v>
      </c>
    </row>
    <row r="26" ht="14.25">
      <c r="J26" t="s">
        <v>175</v>
      </c>
    </row>
    <row r="27" ht="14.25">
      <c r="J27" t="s">
        <v>176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lineWeight="0.75" type="line" dateAxis="0" displayEmptyCellsAs="zero" markers="0" high="0" low="0" first="0" last="0" negative="0" displayXAxis="0" displayHidden="0" minAxisType="individual" maxAxisType="individual" rightToLeft="0">
          <x14:colorSeries rgb="FF376092"/>
          <x14:colorNegative rgb="FFD00000"/>
          <x14:colorAxis rgb="FFD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Sheet1!B7:B17</xm:f>
              <xm:sqref>$B$19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peacecop kalmer:</cp:lastModifiedBy>
  <cp:revision>12</cp:revision>
  <dcterms:modified xsi:type="dcterms:W3CDTF">2021-10-19T19:40:00Z</dcterms:modified>
</cp:coreProperties>
</file>