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ell1\OneDrive\00 UOC\10 Gestio_Projectes\2022-1S\PRA2\CAST\"/>
    </mc:Choice>
  </mc:AlternateContent>
  <xr:revisionPtr revIDLastSave="0" documentId="13_ncr:1_{E746A845-C3AB-4204-94DF-87A615A71A8A}" xr6:coauthVersionLast="47" xr6:coauthVersionMax="47" xr10:uidLastSave="{00000000-0000-0000-0000-000000000000}"/>
  <bookViews>
    <workbookView xWindow="195" yWindow="0" windowWidth="20415" windowHeight="10920" activeTab="3" xr2:uid="{00000000-000D-0000-FFFF-FFFF00000000}"/>
  </bookViews>
  <sheets>
    <sheet name="1- EvolucionPresupuesto" sheetId="2" r:id="rId1"/>
    <sheet name="2-PlantillaSeguimiento" sheetId="3" r:id="rId2"/>
    <sheet name="3-IndicadoresEV" sheetId="4" r:id="rId3"/>
    <sheet name="4-NuevaEstimacionCos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J2I+4+wBxNmVbE8mZnvV4GYSINw=="/>
    </ext>
  </extLst>
</workbook>
</file>

<file path=xl/calcChain.xml><?xml version="1.0" encoding="utf-8"?>
<calcChain xmlns="http://schemas.openxmlformats.org/spreadsheetml/2006/main">
  <c r="K8" i="3" l="1"/>
  <c r="I11" i="5"/>
  <c r="H11" i="5"/>
  <c r="H9" i="5"/>
  <c r="J14" i="5"/>
  <c r="G11" i="5"/>
  <c r="F11" i="5"/>
  <c r="C11" i="5"/>
  <c r="B11" i="5"/>
  <c r="G10" i="5"/>
  <c r="F10" i="5"/>
  <c r="C10" i="5"/>
  <c r="B10" i="5"/>
  <c r="G9" i="5"/>
  <c r="F9" i="5"/>
  <c r="C9" i="5"/>
  <c r="G8" i="5"/>
  <c r="F8" i="5"/>
  <c r="C7" i="5"/>
  <c r="C6" i="5"/>
  <c r="C5" i="5"/>
  <c r="C4" i="5"/>
  <c r="E11" i="4"/>
  <c r="D11" i="5" s="1"/>
  <c r="D11" i="4"/>
  <c r="C11" i="4"/>
  <c r="B11" i="4"/>
  <c r="E10" i="4"/>
  <c r="D10" i="5" s="1"/>
  <c r="D10" i="4"/>
  <c r="C10" i="4"/>
  <c r="B10" i="4"/>
  <c r="E9" i="4"/>
  <c r="D9" i="5" s="1"/>
  <c r="D9" i="4"/>
  <c r="C9" i="4"/>
  <c r="B9" i="4"/>
  <c r="B9" i="5" s="1"/>
  <c r="E8" i="4"/>
  <c r="D8" i="5" s="1"/>
  <c r="D8" i="4"/>
  <c r="B8" i="4"/>
  <c r="B8" i="5" s="1"/>
  <c r="C7" i="4"/>
  <c r="B7" i="4"/>
  <c r="B7" i="5" s="1"/>
  <c r="C6" i="4"/>
  <c r="B6" i="4"/>
  <c r="B6" i="5" s="1"/>
  <c r="D5" i="4"/>
  <c r="C5" i="4"/>
  <c r="B5" i="4"/>
  <c r="B5" i="5" s="1"/>
  <c r="C4" i="4"/>
  <c r="B4" i="4"/>
  <c r="B4" i="5" s="1"/>
  <c r="E12" i="3"/>
  <c r="D12" i="3"/>
  <c r="F12" i="3" s="1"/>
  <c r="F5" i="3" s="1"/>
  <c r="C12" i="3"/>
  <c r="E11" i="3"/>
  <c r="D11" i="3"/>
  <c r="F11" i="3" s="1"/>
  <c r="C11" i="3"/>
  <c r="E10" i="3"/>
  <c r="D10" i="3"/>
  <c r="F10" i="3" s="1"/>
  <c r="C10" i="3"/>
  <c r="E9" i="3"/>
  <c r="D9" i="3"/>
  <c r="F9" i="3" s="1"/>
  <c r="C9" i="3"/>
  <c r="I8" i="3"/>
  <c r="E7" i="4" s="1"/>
  <c r="F8" i="3"/>
  <c r="E8" i="3"/>
  <c r="D8" i="3"/>
  <c r="C8" i="3"/>
  <c r="I7" i="3"/>
  <c r="E6" i="4" s="1"/>
  <c r="F7" i="3"/>
  <c r="D7" i="3"/>
  <c r="C7" i="3"/>
  <c r="E7" i="3" s="1"/>
  <c r="J6" i="3"/>
  <c r="I6" i="3"/>
  <c r="E5" i="4" s="1"/>
  <c r="E6" i="3"/>
  <c r="D6" i="3"/>
  <c r="F6" i="3" s="1"/>
  <c r="C6" i="3"/>
  <c r="J5" i="3"/>
  <c r="I5" i="3"/>
  <c r="E4" i="4" s="1"/>
  <c r="D5" i="3"/>
  <c r="C5" i="3"/>
  <c r="E5" i="3" s="1"/>
  <c r="M14" i="2"/>
  <c r="L14" i="2"/>
  <c r="M13" i="2"/>
  <c r="L13" i="2"/>
  <c r="K12" i="2"/>
  <c r="L12" i="2" s="1"/>
  <c r="M12" i="2" s="1"/>
  <c r="L11" i="2"/>
  <c r="M11" i="2" s="1"/>
  <c r="K11" i="2"/>
  <c r="K10" i="2"/>
  <c r="L10" i="2" s="1"/>
  <c r="M10" i="2" s="1"/>
  <c r="C9" i="2"/>
  <c r="C15" i="2" s="1"/>
  <c r="L8" i="2"/>
  <c r="M8" i="2" s="1"/>
  <c r="I8" i="2"/>
  <c r="D7" i="4" s="1"/>
  <c r="I7" i="2"/>
  <c r="H7" i="2"/>
  <c r="G7" i="2"/>
  <c r="L7" i="2" s="1"/>
  <c r="M7" i="2" s="1"/>
  <c r="L6" i="2"/>
  <c r="M6" i="2" s="1"/>
  <c r="H5" i="2"/>
  <c r="I5" i="2" s="1"/>
  <c r="G5" i="2"/>
  <c r="D4" i="4" s="1"/>
  <c r="D7" i="5" l="1"/>
  <c r="F7" i="4"/>
  <c r="D4" i="5"/>
  <c r="F4" i="4"/>
  <c r="D5" i="5"/>
  <c r="F5" i="4"/>
  <c r="I15" i="2"/>
  <c r="J5" i="2"/>
  <c r="D6" i="5"/>
  <c r="F6" i="4"/>
  <c r="G15" i="2"/>
  <c r="G16" i="2" s="1"/>
  <c r="G20" i="2" s="1"/>
  <c r="D6" i="4"/>
  <c r="D13" i="4" s="1"/>
  <c r="H15" i="2"/>
  <c r="C8" i="4"/>
  <c r="F8" i="4" s="1"/>
  <c r="E8" i="5" s="1"/>
  <c r="F9" i="4"/>
  <c r="E9" i="5" s="1"/>
  <c r="I9" i="5" s="1"/>
  <c r="F10" i="4"/>
  <c r="E10" i="5" s="1"/>
  <c r="H10" i="5" s="1"/>
  <c r="I10" i="5" s="1"/>
  <c r="C8" i="5"/>
  <c r="J9" i="2"/>
  <c r="L9" i="2" s="1"/>
  <c r="M9" i="2" s="1"/>
  <c r="F11" i="4"/>
  <c r="E11" i="5" s="1"/>
  <c r="G4" i="4" l="1"/>
  <c r="F13" i="4"/>
  <c r="I4" i="4"/>
  <c r="E4" i="5"/>
  <c r="H4" i="5" s="1"/>
  <c r="H4" i="4"/>
  <c r="J4" i="4"/>
  <c r="H16" i="2"/>
  <c r="G21" i="2" s="1"/>
  <c r="J15" i="2"/>
  <c r="K5" i="2"/>
  <c r="I5" i="4"/>
  <c r="K5" i="4"/>
  <c r="G5" i="5" s="1"/>
  <c r="G5" i="4"/>
  <c r="F5" i="5" s="1"/>
  <c r="E5" i="5"/>
  <c r="H5" i="5" s="1"/>
  <c r="H5" i="4"/>
  <c r="H7" i="4"/>
  <c r="E7" i="5"/>
  <c r="H7" i="5" s="1"/>
  <c r="I7" i="4"/>
  <c r="G7" i="4"/>
  <c r="F7" i="5" s="1"/>
  <c r="I7" i="5" s="1"/>
  <c r="G6" i="4"/>
  <c r="F6" i="5" s="1"/>
  <c r="I6" i="5" s="1"/>
  <c r="I6" i="4"/>
  <c r="E6" i="5"/>
  <c r="H6" i="5" s="1"/>
  <c r="H6" i="4"/>
  <c r="H8" i="5"/>
  <c r="I8" i="5" s="1"/>
  <c r="C13" i="5"/>
  <c r="I16" i="2" l="1"/>
  <c r="G22" i="2" s="1"/>
  <c r="K6" i="4"/>
  <c r="G6" i="5" s="1"/>
  <c r="J5" i="4"/>
  <c r="H13" i="4"/>
  <c r="N6" i="4" s="1"/>
  <c r="I13" i="4"/>
  <c r="N7" i="4" s="1"/>
  <c r="J6" i="4"/>
  <c r="J7" i="4"/>
  <c r="G13" i="4"/>
  <c r="J13" i="4" s="1"/>
  <c r="N13" i="4" s="1"/>
  <c r="F4" i="5"/>
  <c r="I4" i="5" s="1"/>
  <c r="K15" i="2"/>
  <c r="L5" i="2"/>
  <c r="M5" i="2" s="1"/>
  <c r="K7" i="4"/>
  <c r="G7" i="5" s="1"/>
  <c r="I5" i="5"/>
  <c r="J16" i="2"/>
  <c r="G23" i="2" s="1"/>
  <c r="K4" i="4"/>
  <c r="G4" i="5" s="1"/>
  <c r="K13" i="4" l="1"/>
  <c r="N14" i="4" s="1"/>
  <c r="I13" i="5"/>
  <c r="K16" i="2"/>
  <c r="G24" i="2" s="1"/>
</calcChain>
</file>

<file path=xl/sharedStrings.xml><?xml version="1.0" encoding="utf-8"?>
<sst xmlns="http://schemas.openxmlformats.org/spreadsheetml/2006/main" count="85" uniqueCount="72">
  <si>
    <t>Incurrido</t>
  </si>
  <si>
    <t>Pendiente</t>
  </si>
  <si>
    <t>Coordinación General del Proyecto</t>
  </si>
  <si>
    <t>Fase I - Desarrollo Aplicacion</t>
  </si>
  <si>
    <t>Fase II - Integración Domótica</t>
  </si>
  <si>
    <t>Fase II - Integración ICS</t>
  </si>
  <si>
    <t>Datos a efectos PRA2</t>
  </si>
  <si>
    <t>Coste Estimados (V0)</t>
  </si>
  <si>
    <t>Dias</t>
  </si>
  <si>
    <t>Fechas</t>
  </si>
  <si>
    <t>LINIA BASE V0 PLANIFICACIÓN COSTES (PV)</t>
  </si>
  <si>
    <t>Inicio</t>
  </si>
  <si>
    <t>Fin</t>
  </si>
  <si>
    <t>Fase I - Desarrollo Aplicacion (1)</t>
  </si>
  <si>
    <t>Fasse III - Obras Planta 1 y 2</t>
  </si>
  <si>
    <t>Fase III - Obras Planta 3</t>
  </si>
  <si>
    <t>Fase III -  Infraestructura de RED</t>
  </si>
  <si>
    <t>Fase IV - Puesta en Producción</t>
  </si>
  <si>
    <t>BAC (v0)</t>
  </si>
  <si>
    <t>Costes del Mes</t>
  </si>
  <si>
    <t>Costes Acumulados</t>
  </si>
  <si>
    <t>(1): A diferencia de la PRA1, y para facilitar los cálculos, se indica que la fecha fin de la Fase 1 se havia planificado para le 30/06.</t>
  </si>
  <si>
    <t>Cuadro seguimiento a 30/Junio/2021</t>
  </si>
  <si>
    <t>Fechas Planificadas</t>
  </si>
  <si>
    <t>Nuevas fechas previstas</t>
  </si>
  <si>
    <t>Horas Esfuerzo Periodo</t>
  </si>
  <si>
    <t>Grado avance</t>
  </si>
  <si>
    <t>Sobrecostes</t>
  </si>
  <si>
    <t>Ahorros</t>
  </si>
  <si>
    <t>20 hores Freelance + Semana allarment que afecta hores Antonio (10h)</t>
  </si>
  <si>
    <t>Seguimiento a 30/Junio/2021</t>
  </si>
  <si>
    <t>Tareas Autopunt</t>
  </si>
  <si>
    <t>Costes Estimados (V0)</t>
  </si>
  <si>
    <t>PV</t>
  </si>
  <si>
    <t>% Grado Avance</t>
  </si>
  <si>
    <t>EV</t>
  </si>
  <si>
    <t>AC</t>
  </si>
  <si>
    <t>SV = EV-PV</t>
  </si>
  <si>
    <t>SPI = EV/PV</t>
  </si>
  <si>
    <t>CV = EV-AC</t>
  </si>
  <si>
    <t>CPI = EV/AC</t>
  </si>
  <si>
    <t>Grado cumplimiento Cronograma del Proyecto</t>
  </si>
  <si>
    <t xml:space="preserve"> (trabajo esperado vs trabajo realizado a fecha seguimiento)</t>
  </si>
  <si>
    <t>SV</t>
  </si>
  <si>
    <t>SPI</t>
  </si>
  <si>
    <t>Grado cumplimiento Costes del Proyecto</t>
  </si>
  <si>
    <t xml:space="preserve"> (costes esperados del trabajo realizado vs costes reales a fecha seguimiento)</t>
  </si>
  <si>
    <t>Subtotales a 30/06/21</t>
  </si>
  <si>
    <t>CV</t>
  </si>
  <si>
    <t>CPI</t>
  </si>
  <si>
    <t>CONCLUCIONES INDICADORES</t>
  </si>
  <si>
    <t>Nueva Línea base de COSTES</t>
  </si>
  <si>
    <t>BAC (V0)</t>
  </si>
  <si>
    <r>
      <rPr>
        <b/>
        <sz val="11"/>
        <color theme="1"/>
        <rFont val="Arial"/>
      </rPr>
      <t xml:space="preserve">%Grado Avance </t>
    </r>
    <r>
      <rPr>
        <b/>
        <sz val="9"/>
        <color theme="1"/>
        <rFont val="Arial"/>
      </rPr>
      <t>(valores pestaña 2.2)</t>
    </r>
  </si>
  <si>
    <r>
      <rPr>
        <b/>
        <sz val="16"/>
        <color theme="1"/>
        <rFont val="Arial"/>
      </rPr>
      <t xml:space="preserve">EV </t>
    </r>
    <r>
      <rPr>
        <b/>
        <sz val="10"/>
        <color theme="1"/>
        <rFont val="Arial"/>
      </rPr>
      <t>(valores pestaña 2.2)</t>
    </r>
  </si>
  <si>
    <r>
      <rPr>
        <b/>
        <sz val="16"/>
        <color theme="1"/>
        <rFont val="Arial"/>
      </rPr>
      <t xml:space="preserve">AC </t>
    </r>
    <r>
      <rPr>
        <b/>
        <sz val="10"/>
        <color theme="1"/>
        <rFont val="Arial"/>
      </rPr>
      <t>(valores pestaña 2.2</t>
    </r>
    <r>
      <rPr>
        <b/>
        <sz val="16"/>
        <color theme="1"/>
        <rFont val="Arial"/>
      </rPr>
      <t>)</t>
    </r>
  </si>
  <si>
    <r>
      <rPr>
        <b/>
        <sz val="16"/>
        <color theme="1"/>
        <rFont val="Arial"/>
      </rPr>
      <t xml:space="preserve">CPI </t>
    </r>
    <r>
      <rPr>
        <b/>
        <sz val="11"/>
        <color theme="1"/>
        <rFont val="Arial"/>
      </rPr>
      <t>(Idem 2.2)</t>
    </r>
  </si>
  <si>
    <t>ETC (1)</t>
  </si>
  <si>
    <t>Nuevo coste estimado (EAC=AC+ETC)</t>
  </si>
  <si>
    <t>Justificación cálculo  ETC (1)</t>
  </si>
  <si>
    <t>Provisió 4000 €</t>
  </si>
  <si>
    <t>Ahorro de un 30% por ajuste tarifa estimada a tarifa real</t>
  </si>
  <si>
    <t>BAC (v1)</t>
  </si>
  <si>
    <t>(*) Para este ejercicio el ETC lo limitaremos a una de estas  posibilidades:</t>
  </si>
  <si>
    <r>
      <rPr>
        <b/>
        <sz val="14"/>
        <color theme="1"/>
        <rFont val="Arial"/>
      </rPr>
      <t xml:space="preserve">ETC = (BAC - EV) - </t>
    </r>
    <r>
      <rPr>
        <b/>
        <sz val="11"/>
        <color theme="1"/>
        <rFont val="Arial"/>
      </rPr>
      <t>Para tareas iniciadas pero donde no se prevean desviaciones futuras</t>
    </r>
  </si>
  <si>
    <r>
      <rPr>
        <b/>
        <sz val="14"/>
        <color theme="1"/>
        <rFont val="Arial"/>
      </rPr>
      <t xml:space="preserve">ETC = (BAC - EV) / CPI - </t>
    </r>
    <r>
      <rPr>
        <b/>
        <sz val="11"/>
        <color theme="1"/>
        <rFont val="Arial"/>
      </rPr>
      <t>Para tareas iniciadas donde se prevea que se continuaran dando las mismas desviaciones</t>
    </r>
  </si>
  <si>
    <r>
      <rPr>
        <b/>
        <sz val="14"/>
        <color theme="1"/>
        <rFont val="Arial"/>
      </rPr>
      <t xml:space="preserve">ETC = Nueva estimación costes  trabajo pendiente - </t>
    </r>
    <r>
      <rPr>
        <b/>
        <sz val="11"/>
        <color theme="1"/>
        <rFont val="Arial"/>
      </rPr>
      <t>Para tareas donde el "pasado" no sirva de referencia para el futuro, o tareas no iniciadas pero con nuevas valoraciones</t>
    </r>
  </si>
  <si>
    <r>
      <rPr>
        <b/>
        <sz val="14"/>
        <color theme="1"/>
        <rFont val="Arial"/>
      </rPr>
      <t xml:space="preserve">ETC = BAC  - </t>
    </r>
    <r>
      <rPr>
        <b/>
        <sz val="11"/>
        <color theme="1"/>
        <rFont val="Arial"/>
      </rPr>
      <t>Para tareas no iniciadas y sin nuevas valoraciones</t>
    </r>
  </si>
  <si>
    <t>CONCLUSIONES  EVOLUCIÓN DEL PROYECTO</t>
  </si>
  <si>
    <t>Horas extras administrativo</t>
  </si>
  <si>
    <t>NOTA: a 30/06 aún no se saben los sobrecostes BH</t>
  </si>
  <si>
    <t>Una semana menos a pagar al Freelance Integración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</si>
</sst>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C0A]d\-mmm"/>
    <numFmt numFmtId="165" formatCode="_-* #,##0\ [$€-C0A]_-;\-* #,##0\ [$€-C0A]_-;_-* &quot;-&quot;??\ [$€-C0A]_-;_-@"/>
    <numFmt numFmtId="166" formatCode="_-* #,##0.00\ [$€-C0A]_-;\-* #,##0.00\ [$€-C0A]_-;_-* &quot;-&quot;??\ [$€-C0A]_-;_-@"/>
    <numFmt numFmtId="167" formatCode="_-* #,##0.00_-;\-* #,##0.00_-;_-* &quot;-&quot;??_-;_-@"/>
    <numFmt numFmtId="168" formatCode="_-* #,##0.00\ [$€-C0A]_-;\-* #,##0.00\ [$€-C0A]_-;_-* &quot;-&quot;??\ [$€-C0A]_-;_-@_-"/>
  </numFmts>
  <fonts count="38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color rgb="FFFF0000"/>
      <name val="Arial"/>
    </font>
    <font>
      <b/>
      <sz val="12"/>
      <color theme="1"/>
      <name val="Arial"/>
    </font>
    <font>
      <b/>
      <sz val="10"/>
      <color rgb="FF000000"/>
      <name val="Arial"/>
    </font>
    <font>
      <sz val="8"/>
      <color theme="1"/>
      <name val="Arial"/>
    </font>
    <font>
      <b/>
      <sz val="10"/>
      <color rgb="FFFF0000"/>
      <name val="Arial"/>
    </font>
    <font>
      <b/>
      <sz val="14"/>
      <color theme="1"/>
      <name val="Arial"/>
    </font>
    <font>
      <sz val="9"/>
      <color theme="1"/>
      <name val="Arial"/>
    </font>
    <font>
      <sz val="11"/>
      <color rgb="FF000078"/>
      <name val="Arial"/>
    </font>
    <font>
      <sz val="11"/>
      <color theme="1"/>
      <name val="Calibri"/>
      <scheme val="minor"/>
    </font>
    <font>
      <b/>
      <sz val="22"/>
      <color theme="0"/>
      <name val="Arial"/>
    </font>
    <font>
      <b/>
      <sz val="16"/>
      <color theme="1"/>
      <name val="Arial"/>
    </font>
    <font>
      <b/>
      <sz val="12"/>
      <color rgb="FF7F7F7F"/>
      <name val="Arial"/>
    </font>
    <font>
      <b/>
      <sz val="12"/>
      <color rgb="FFA5A5A5"/>
      <name val="Arial"/>
    </font>
    <font>
      <b/>
      <sz val="9"/>
      <color theme="1"/>
      <name val="Arial"/>
    </font>
    <font>
      <sz val="8"/>
      <color rgb="FF000000"/>
      <name val="Arial"/>
    </font>
    <font>
      <b/>
      <i/>
      <sz val="11"/>
      <color theme="1"/>
      <name val="Arial"/>
    </font>
    <font>
      <sz val="14"/>
      <color theme="1"/>
      <name val="Arial"/>
    </font>
    <font>
      <b/>
      <sz val="10"/>
      <color rgb="FF7F7F7F"/>
      <name val="Arial"/>
    </font>
    <font>
      <b/>
      <sz val="9"/>
      <color rgb="FF7F7F7F"/>
      <name val="Arial"/>
    </font>
    <font>
      <sz val="10"/>
      <color rgb="FFBFBFBF"/>
      <name val="Arial"/>
    </font>
    <font>
      <sz val="8"/>
      <color rgb="FFBFBFBF"/>
      <name val="Arial"/>
    </font>
    <font>
      <b/>
      <sz val="9"/>
      <color rgb="FFBFBFBF"/>
      <name val="Arial"/>
    </font>
    <font>
      <b/>
      <i/>
      <sz val="12"/>
      <color theme="1"/>
      <name val="Arial"/>
    </font>
    <font>
      <sz val="12"/>
      <color theme="1"/>
      <name val="Arial"/>
    </font>
    <font>
      <sz val="14"/>
      <color rgb="FFFF0000"/>
      <name val="Arial"/>
    </font>
    <font>
      <b/>
      <sz val="16"/>
      <color rgb="FFFFFF00"/>
      <name val="Arial"/>
    </font>
    <font>
      <b/>
      <sz val="12"/>
      <color rgb="FFFFFF00"/>
      <name val="Arial"/>
    </font>
    <font>
      <sz val="11"/>
      <color theme="1"/>
      <name val="Arial"/>
    </font>
    <font>
      <b/>
      <sz val="9"/>
      <color rgb="FF757070"/>
      <name val="Arial"/>
    </font>
    <font>
      <b/>
      <i/>
      <sz val="9"/>
      <color theme="1"/>
      <name val="Arial"/>
    </font>
    <font>
      <sz val="14"/>
      <color rgb="FFFFFF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rgb="FFFBE4D5"/>
        <bgColor rgb="FFFBE4D5"/>
      </patternFill>
    </fill>
    <fill>
      <patternFill patternType="solid">
        <fgColor rgb="FF2E75B5"/>
        <bgColor rgb="FF2E75B5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4" fillId="0" borderId="2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3" fillId="2" borderId="2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4" fillId="3" borderId="21" xfId="0" applyNumberFormat="1" applyFont="1" applyFill="1" applyBorder="1"/>
    <xf numFmtId="0" fontId="9" fillId="3" borderId="22" xfId="0" applyFont="1" applyFill="1" applyBorder="1" applyAlignment="1">
      <alignment horizontal="right" vertical="center" wrapText="1"/>
    </xf>
    <xf numFmtId="14" fontId="9" fillId="3" borderId="23" xfId="0" applyNumberFormat="1" applyFont="1" applyFill="1" applyBorder="1" applyAlignment="1">
      <alignment horizontal="right" vertical="center" wrapText="1"/>
    </xf>
    <xf numFmtId="14" fontId="9" fillId="3" borderId="24" xfId="0" applyNumberFormat="1" applyFont="1" applyFill="1" applyBorder="1" applyAlignment="1">
      <alignment horizontal="right" vertical="center" wrapText="1"/>
    </xf>
    <xf numFmtId="166" fontId="10" fillId="0" borderId="0" xfId="0" applyNumberFormat="1" applyFont="1"/>
    <xf numFmtId="165" fontId="4" fillId="3" borderId="25" xfId="0" applyNumberFormat="1" applyFont="1" applyFill="1" applyBorder="1"/>
    <xf numFmtId="0" fontId="11" fillId="3" borderId="26" xfId="0" applyFont="1" applyFill="1" applyBorder="1" applyAlignment="1">
      <alignment horizontal="right" vertical="center" wrapText="1"/>
    </xf>
    <xf numFmtId="14" fontId="9" fillId="3" borderId="3" xfId="0" applyNumberFormat="1" applyFont="1" applyFill="1" applyBorder="1" applyAlignment="1">
      <alignment horizontal="right" vertical="center" wrapText="1"/>
    </xf>
    <xf numFmtId="14" fontId="11" fillId="3" borderId="7" xfId="0" applyNumberFormat="1" applyFont="1" applyFill="1" applyBorder="1" applyAlignment="1">
      <alignment horizontal="right" vertical="center" wrapText="1"/>
    </xf>
    <xf numFmtId="0" fontId="9" fillId="3" borderId="26" xfId="0" applyFont="1" applyFill="1" applyBorder="1" applyAlignment="1">
      <alignment horizontal="right" vertical="center" wrapText="1"/>
    </xf>
    <xf numFmtId="14" fontId="9" fillId="3" borderId="7" xfId="0" applyNumberFormat="1" applyFont="1" applyFill="1" applyBorder="1" applyAlignment="1">
      <alignment horizontal="right" vertical="center" wrapText="1"/>
    </xf>
    <xf numFmtId="165" fontId="4" fillId="3" borderId="27" xfId="0" applyNumberFormat="1" applyFont="1" applyFill="1" applyBorder="1"/>
    <xf numFmtId="0" fontId="9" fillId="3" borderId="28" xfId="0" applyFont="1" applyFill="1" applyBorder="1" applyAlignment="1">
      <alignment horizontal="right" vertical="center" wrapText="1"/>
    </xf>
    <xf numFmtId="14" fontId="9" fillId="3" borderId="20" xfId="0" applyNumberFormat="1" applyFont="1" applyFill="1" applyBorder="1" applyAlignment="1">
      <alignment horizontal="right" vertical="center" wrapText="1"/>
    </xf>
    <xf numFmtId="14" fontId="9" fillId="3" borderId="9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/>
    </xf>
    <xf numFmtId="165" fontId="12" fillId="0" borderId="0" xfId="0" applyNumberFormat="1" applyFont="1"/>
    <xf numFmtId="4" fontId="4" fillId="0" borderId="0" xfId="0" applyNumberFormat="1" applyFont="1"/>
    <xf numFmtId="0" fontId="8" fillId="0" borderId="0" xfId="0" applyFont="1" applyAlignment="1">
      <alignment horizontal="right"/>
    </xf>
    <xf numFmtId="166" fontId="10" fillId="4" borderId="1" xfId="0" applyNumberFormat="1" applyFont="1" applyFill="1" applyBorder="1"/>
    <xf numFmtId="0" fontId="13" fillId="0" borderId="0" xfId="0" applyFont="1"/>
    <xf numFmtId="165" fontId="13" fillId="0" borderId="0" xfId="0" applyNumberFormat="1" applyFont="1"/>
    <xf numFmtId="166" fontId="13" fillId="5" borderId="1" xfId="0" applyNumberFormat="1" applyFont="1" applyFill="1" applyBorder="1"/>
    <xf numFmtId="0" fontId="6" fillId="0" borderId="0" xfId="0" applyFont="1" applyAlignment="1">
      <alignment horizontal="left"/>
    </xf>
    <xf numFmtId="166" fontId="6" fillId="0" borderId="0" xfId="0" applyNumberFormat="1" applyFont="1"/>
    <xf numFmtId="0" fontId="5" fillId="6" borderId="32" xfId="0" applyFont="1" applyFill="1" applyBorder="1"/>
    <xf numFmtId="0" fontId="5" fillId="6" borderId="1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0" fontId="4" fillId="0" borderId="42" xfId="0" applyFont="1" applyBorder="1" applyAlignment="1">
      <alignment horizontal="right" vertical="center"/>
    </xf>
    <xf numFmtId="14" fontId="9" fillId="9" borderId="3" xfId="0" applyNumberFormat="1" applyFont="1" applyFill="1" applyBorder="1" applyAlignment="1">
      <alignment horizontal="right" vertical="center" wrapText="1"/>
    </xf>
    <xf numFmtId="14" fontId="9" fillId="0" borderId="3" xfId="0" applyNumberFormat="1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top"/>
    </xf>
    <xf numFmtId="9" fontId="5" fillId="0" borderId="3" xfId="0" applyNumberFormat="1" applyFont="1" applyBorder="1"/>
    <xf numFmtId="166" fontId="5" fillId="0" borderId="3" xfId="0" applyNumberFormat="1" applyFont="1" applyBorder="1"/>
    <xf numFmtId="0" fontId="5" fillId="0" borderId="3" xfId="0" applyFont="1" applyBorder="1"/>
    <xf numFmtId="0" fontId="4" fillId="0" borderId="43" xfId="0" applyFont="1" applyBorder="1" applyAlignment="1">
      <alignment horizontal="right" vertical="center"/>
    </xf>
    <xf numFmtId="14" fontId="11" fillId="9" borderId="3" xfId="0" applyNumberFormat="1" applyFont="1" applyFill="1" applyBorder="1" applyAlignment="1">
      <alignment horizontal="right" vertical="center" wrapText="1"/>
    </xf>
    <xf numFmtId="0" fontId="15" fillId="0" borderId="0" xfId="0" applyFont="1"/>
    <xf numFmtId="0" fontId="4" fillId="10" borderId="43" xfId="0" applyFont="1" applyFill="1" applyBorder="1" applyAlignment="1">
      <alignment horizontal="right" vertical="center"/>
    </xf>
    <xf numFmtId="14" fontId="9" fillId="10" borderId="3" xfId="0" applyNumberFormat="1" applyFont="1" applyFill="1" applyBorder="1" applyAlignment="1">
      <alignment horizontal="right" vertical="center" wrapText="1"/>
    </xf>
    <xf numFmtId="9" fontId="5" fillId="10" borderId="3" xfId="0" applyNumberFormat="1" applyFont="1" applyFill="1" applyBorder="1"/>
    <xf numFmtId="166" fontId="5" fillId="10" borderId="3" xfId="0" applyNumberFormat="1" applyFont="1" applyFill="1" applyBorder="1"/>
    <xf numFmtId="0" fontId="5" fillId="10" borderId="3" xfId="0" applyFont="1" applyFill="1" applyBorder="1"/>
    <xf numFmtId="0" fontId="4" fillId="10" borderId="44" xfId="0" applyFont="1" applyFill="1" applyBorder="1" applyAlignment="1">
      <alignment horizontal="right" vertical="center"/>
    </xf>
    <xf numFmtId="4" fontId="12" fillId="2" borderId="45" xfId="0" applyNumberFormat="1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 wrapText="1"/>
    </xf>
    <xf numFmtId="0" fontId="12" fillId="2" borderId="47" xfId="0" applyFont="1" applyFill="1" applyBorder="1" applyAlignment="1">
      <alignment horizontal="center"/>
    </xf>
    <xf numFmtId="0" fontId="4" fillId="11" borderId="48" xfId="0" applyFont="1" applyFill="1" applyBorder="1" applyAlignment="1">
      <alignment horizontal="center" wrapText="1"/>
    </xf>
    <xf numFmtId="0" fontId="17" fillId="11" borderId="4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4" fillId="0" borderId="0" xfId="0" applyFont="1"/>
    <xf numFmtId="0" fontId="12" fillId="0" borderId="0" xfId="0" applyFont="1"/>
    <xf numFmtId="0" fontId="4" fillId="0" borderId="53" xfId="0" applyFont="1" applyBorder="1" applyAlignment="1">
      <alignment horizontal="right"/>
    </xf>
    <xf numFmtId="165" fontId="20" fillId="0" borderId="54" xfId="0" applyNumberFormat="1" applyFont="1" applyBorder="1"/>
    <xf numFmtId="166" fontId="6" fillId="0" borderId="55" xfId="0" applyNumberFormat="1" applyFont="1" applyBorder="1"/>
    <xf numFmtId="9" fontId="21" fillId="11" borderId="56" xfId="0" applyNumberFormat="1" applyFont="1" applyFill="1" applyBorder="1" applyAlignment="1">
      <alignment horizontal="right" vertical="center" wrapText="1"/>
    </xf>
    <xf numFmtId="165" fontId="20" fillId="11" borderId="57" xfId="0" applyNumberFormat="1" applyFont="1" applyFill="1" applyBorder="1"/>
    <xf numFmtId="166" fontId="10" fillId="12" borderId="58" xfId="0" applyNumberFormat="1" applyFont="1" applyFill="1" applyBorder="1"/>
    <xf numFmtId="166" fontId="10" fillId="4" borderId="59" xfId="0" applyNumberFormat="1" applyFont="1" applyFill="1" applyBorder="1"/>
    <xf numFmtId="2" fontId="10" fillId="4" borderId="60" xfId="0" applyNumberFormat="1" applyFont="1" applyFill="1" applyBorder="1"/>
    <xf numFmtId="166" fontId="10" fillId="5" borderId="60" xfId="0" applyNumberFormat="1" applyFont="1" applyFill="1" applyBorder="1"/>
    <xf numFmtId="2" fontId="10" fillId="5" borderId="5" xfId="0" applyNumberFormat="1" applyFont="1" applyFill="1" applyBorder="1"/>
    <xf numFmtId="0" fontId="22" fillId="0" borderId="0" xfId="0" applyFont="1"/>
    <xf numFmtId="0" fontId="4" fillId="0" borderId="26" xfId="0" applyFont="1" applyBorder="1" applyAlignment="1">
      <alignment horizontal="right"/>
    </xf>
    <xf numFmtId="165" fontId="20" fillId="0" borderId="34" xfId="0" applyNumberFormat="1" applyFont="1" applyBorder="1"/>
    <xf numFmtId="166" fontId="6" fillId="0" borderId="6" xfId="0" applyNumberFormat="1" applyFont="1" applyBorder="1"/>
    <xf numFmtId="9" fontId="21" fillId="11" borderId="61" xfId="0" applyNumberFormat="1" applyFont="1" applyFill="1" applyBorder="1" applyAlignment="1">
      <alignment horizontal="right" vertical="center" wrapText="1"/>
    </xf>
    <xf numFmtId="165" fontId="20" fillId="11" borderId="62" xfId="0" applyNumberFormat="1" applyFont="1" applyFill="1" applyBorder="1"/>
    <xf numFmtId="166" fontId="10" fillId="12" borderId="63" xfId="0" applyNumberFormat="1" applyFont="1" applyFill="1" applyBorder="1"/>
    <xf numFmtId="166" fontId="10" fillId="4" borderId="26" xfId="0" applyNumberFormat="1" applyFont="1" applyFill="1" applyBorder="1"/>
    <xf numFmtId="2" fontId="10" fillId="4" borderId="3" xfId="0" applyNumberFormat="1" applyFont="1" applyFill="1" applyBorder="1"/>
    <xf numFmtId="166" fontId="10" fillId="5" borderId="3" xfId="0" applyNumberFormat="1" applyFont="1" applyFill="1" applyBorder="1"/>
    <xf numFmtId="2" fontId="10" fillId="5" borderId="7" xfId="0" applyNumberFormat="1" applyFont="1" applyFill="1" applyBorder="1"/>
    <xf numFmtId="166" fontId="12" fillId="0" borderId="0" xfId="0" applyNumberFormat="1" applyFont="1" applyAlignment="1">
      <alignment horizontal="center"/>
    </xf>
    <xf numFmtId="166" fontId="23" fillId="4" borderId="1" xfId="0" applyNumberFormat="1" applyFont="1" applyFill="1" applyBorder="1"/>
    <xf numFmtId="166" fontId="4" fillId="0" borderId="0" xfId="0" applyNumberFormat="1" applyFont="1"/>
    <xf numFmtId="165" fontId="20" fillId="0" borderId="34" xfId="0" applyNumberFormat="1" applyFont="1" applyBorder="1" applyAlignment="1">
      <alignment horizontal="right"/>
    </xf>
    <xf numFmtId="166" fontId="6" fillId="13" borderId="6" xfId="0" applyNumberFormat="1" applyFont="1" applyFill="1" applyBorder="1"/>
    <xf numFmtId="9" fontId="21" fillId="13" borderId="61" xfId="0" applyNumberFormat="1" applyFont="1" applyFill="1" applyBorder="1" applyAlignment="1">
      <alignment horizontal="right" vertical="center" wrapText="1"/>
    </xf>
    <xf numFmtId="165" fontId="20" fillId="13" borderId="62" xfId="0" applyNumberFormat="1" applyFont="1" applyFill="1" applyBorder="1"/>
    <xf numFmtId="166" fontId="10" fillId="13" borderId="63" xfId="0" applyNumberFormat="1" applyFont="1" applyFill="1" applyBorder="1"/>
    <xf numFmtId="0" fontId="6" fillId="13" borderId="26" xfId="0" applyFont="1" applyFill="1" applyBorder="1"/>
    <xf numFmtId="2" fontId="6" fillId="13" borderId="3" xfId="0" applyNumberFormat="1" applyFont="1" applyFill="1" applyBorder="1"/>
    <xf numFmtId="166" fontId="10" fillId="13" borderId="3" xfId="0" applyNumberFormat="1" applyFont="1" applyFill="1" applyBorder="1"/>
    <xf numFmtId="2" fontId="6" fillId="13" borderId="7" xfId="0" applyNumberFormat="1" applyFont="1" applyFill="1" applyBorder="1"/>
    <xf numFmtId="0" fontId="24" fillId="3" borderId="28" xfId="0" applyFont="1" applyFill="1" applyBorder="1" applyAlignment="1">
      <alignment horizontal="right"/>
    </xf>
    <xf numFmtId="165" fontId="25" fillId="3" borderId="64" xfId="0" applyNumberFormat="1" applyFont="1" applyFill="1" applyBorder="1"/>
    <xf numFmtId="166" fontId="26" fillId="14" borderId="8" xfId="0" applyNumberFormat="1" applyFont="1" applyFill="1" applyBorder="1"/>
    <xf numFmtId="9" fontId="27" fillId="14" borderId="65" xfId="0" applyNumberFormat="1" applyFont="1" applyFill="1" applyBorder="1" applyAlignment="1">
      <alignment horizontal="right" vertical="center" wrapText="1"/>
    </xf>
    <xf numFmtId="165" fontId="28" fillId="14" borderId="64" xfId="0" applyNumberFormat="1" applyFont="1" applyFill="1" applyBorder="1"/>
    <xf numFmtId="166" fontId="27" fillId="14" borderId="66" xfId="0" applyNumberFormat="1" applyFont="1" applyFill="1" applyBorder="1"/>
    <xf numFmtId="0" fontId="6" fillId="14" borderId="28" xfId="0" applyFont="1" applyFill="1" applyBorder="1"/>
    <xf numFmtId="0" fontId="6" fillId="14" borderId="20" xfId="0" applyFont="1" applyFill="1" applyBorder="1"/>
    <xf numFmtId="0" fontId="6" fillId="14" borderId="9" xfId="0" applyFont="1" applyFill="1" applyBorder="1"/>
    <xf numFmtId="0" fontId="8" fillId="0" borderId="0" xfId="0" applyFont="1" applyAlignment="1">
      <alignment horizontal="right" vertical="center"/>
    </xf>
    <xf numFmtId="166" fontId="29" fillId="0" borderId="0" xfId="0" applyNumberFormat="1" applyFont="1" applyAlignment="1">
      <alignment horizontal="right" vertical="center"/>
    </xf>
    <xf numFmtId="4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66" fontId="6" fillId="4" borderId="48" xfId="0" applyNumberFormat="1" applyFont="1" applyFill="1" applyBorder="1" applyAlignment="1">
      <alignment vertical="center"/>
    </xf>
    <xf numFmtId="0" fontId="30" fillId="4" borderId="67" xfId="0" applyFont="1" applyFill="1" applyBorder="1" applyAlignment="1">
      <alignment vertical="center"/>
    </xf>
    <xf numFmtId="166" fontId="6" fillId="5" borderId="67" xfId="0" applyNumberFormat="1" applyFont="1" applyFill="1" applyBorder="1" applyAlignment="1">
      <alignment vertical="center"/>
    </xf>
    <xf numFmtId="0" fontId="30" fillId="5" borderId="68" xfId="0" applyFont="1" applyFill="1" applyBorder="1"/>
    <xf numFmtId="166" fontId="31" fillId="15" borderId="1" xfId="0" applyNumberFormat="1" applyFont="1" applyFill="1" applyBorder="1"/>
    <xf numFmtId="166" fontId="13" fillId="0" borderId="0" xfId="0" applyNumberFormat="1" applyFont="1"/>
    <xf numFmtId="0" fontId="4" fillId="0" borderId="0" xfId="0" applyFont="1" applyAlignment="1">
      <alignment horizontal="right"/>
    </xf>
    <xf numFmtId="2" fontId="6" fillId="0" borderId="0" xfId="0" applyNumberFormat="1" applyFont="1" applyAlignment="1">
      <alignment horizontal="center"/>
    </xf>
    <xf numFmtId="166" fontId="17" fillId="0" borderId="0" xfId="0" applyNumberFormat="1" applyFont="1"/>
    <xf numFmtId="0" fontId="12" fillId="2" borderId="72" xfId="0" applyFont="1" applyFill="1" applyBorder="1" applyAlignment="1">
      <alignment horizontal="center" wrapText="1"/>
    </xf>
    <xf numFmtId="0" fontId="3" fillId="14" borderId="47" xfId="0" applyFont="1" applyFill="1" applyBorder="1" applyAlignment="1">
      <alignment horizontal="center" vertical="center" wrapText="1"/>
    </xf>
    <xf numFmtId="0" fontId="17" fillId="14" borderId="47" xfId="0" applyFont="1" applyFill="1" applyBorder="1" applyAlignment="1">
      <alignment horizontal="center" wrapText="1"/>
    </xf>
    <xf numFmtId="0" fontId="32" fillId="16" borderId="47" xfId="0" applyFont="1" applyFill="1" applyBorder="1" applyAlignment="1">
      <alignment horizontal="center"/>
    </xf>
    <xf numFmtId="0" fontId="33" fillId="16" borderId="72" xfId="0" applyFont="1" applyFill="1" applyBorder="1" applyAlignment="1">
      <alignment horizontal="center" wrapText="1"/>
    </xf>
    <xf numFmtId="0" fontId="12" fillId="0" borderId="73" xfId="0" applyFont="1" applyBorder="1" applyAlignment="1">
      <alignment horizontal="center" vertical="center"/>
    </xf>
    <xf numFmtId="0" fontId="4" fillId="3" borderId="22" xfId="0" applyFont="1" applyFill="1" applyBorder="1" applyAlignment="1">
      <alignment horizontal="right"/>
    </xf>
    <xf numFmtId="165" fontId="20" fillId="3" borderId="57" xfId="0" applyNumberFormat="1" applyFont="1" applyFill="1" applyBorder="1"/>
    <xf numFmtId="9" fontId="20" fillId="14" borderId="74" xfId="0" applyNumberFormat="1" applyFont="1" applyFill="1" applyBorder="1"/>
    <xf numFmtId="165" fontId="20" fillId="14" borderId="74" xfId="0" applyNumberFormat="1" applyFont="1" applyFill="1" applyBorder="1"/>
    <xf numFmtId="166" fontId="10" fillId="14" borderId="58" xfId="0" applyNumberFormat="1" applyFont="1" applyFill="1" applyBorder="1"/>
    <xf numFmtId="167" fontId="34" fillId="14" borderId="58" xfId="0" applyNumberFormat="1" applyFont="1" applyFill="1" applyBorder="1"/>
    <xf numFmtId="166" fontId="35" fillId="0" borderId="55" xfId="0" applyNumberFormat="1" applyFont="1" applyBorder="1"/>
    <xf numFmtId="166" fontId="10" fillId="2" borderId="74" xfId="0" applyNumberFormat="1" applyFont="1" applyFill="1" applyBorder="1"/>
    <xf numFmtId="166" fontId="10" fillId="0" borderId="2" xfId="0" applyNumberFormat="1" applyFont="1" applyBorder="1"/>
    <xf numFmtId="0" fontId="4" fillId="3" borderId="26" xfId="0" applyFont="1" applyFill="1" applyBorder="1" applyAlignment="1">
      <alignment horizontal="right"/>
    </xf>
    <xf numFmtId="165" fontId="20" fillId="3" borderId="62" xfId="0" applyNumberFormat="1" applyFont="1" applyFill="1" applyBorder="1"/>
    <xf numFmtId="9" fontId="20" fillId="14" borderId="6" xfId="0" applyNumberFormat="1" applyFont="1" applyFill="1" applyBorder="1"/>
    <xf numFmtId="165" fontId="20" fillId="14" borderId="6" xfId="0" applyNumberFormat="1" applyFont="1" applyFill="1" applyBorder="1"/>
    <xf numFmtId="166" fontId="10" fillId="14" borderId="63" xfId="0" applyNumberFormat="1" applyFont="1" applyFill="1" applyBorder="1"/>
    <xf numFmtId="167" fontId="34" fillId="14" borderId="63" xfId="0" applyNumberFormat="1" applyFont="1" applyFill="1" applyBorder="1"/>
    <xf numFmtId="166" fontId="10" fillId="2" borderId="6" xfId="0" applyNumberFormat="1" applyFont="1" applyFill="1" applyBorder="1"/>
    <xf numFmtId="166" fontId="10" fillId="0" borderId="6" xfId="0" applyNumberFormat="1" applyFont="1" applyBorder="1"/>
    <xf numFmtId="165" fontId="20" fillId="3" borderId="62" xfId="0" applyNumberFormat="1" applyFont="1" applyFill="1" applyBorder="1" applyAlignment="1">
      <alignment horizontal="right"/>
    </xf>
    <xf numFmtId="9" fontId="20" fillId="14" borderId="6" xfId="0" applyNumberFormat="1" applyFont="1" applyFill="1" applyBorder="1" applyAlignment="1">
      <alignment horizontal="right"/>
    </xf>
    <xf numFmtId="165" fontId="20" fillId="14" borderId="6" xfId="0" applyNumberFormat="1" applyFont="1" applyFill="1" applyBorder="1" applyAlignment="1">
      <alignment horizontal="right"/>
    </xf>
    <xf numFmtId="0" fontId="6" fillId="0" borderId="6" xfId="0" applyFont="1" applyBorder="1"/>
    <xf numFmtId="166" fontId="6" fillId="14" borderId="63" xfId="0" applyNumberFormat="1" applyFont="1" applyFill="1" applyBorder="1"/>
    <xf numFmtId="0" fontId="4" fillId="3" borderId="28" xfId="0" applyFont="1" applyFill="1" applyBorder="1" applyAlignment="1">
      <alignment horizontal="right"/>
    </xf>
    <xf numFmtId="165" fontId="20" fillId="3" borderId="64" xfId="0" applyNumberFormat="1" applyFont="1" applyFill="1" applyBorder="1"/>
    <xf numFmtId="9" fontId="20" fillId="14" borderId="8" xfId="0" applyNumberFormat="1" applyFont="1" applyFill="1" applyBorder="1"/>
    <xf numFmtId="165" fontId="20" fillId="14" borderId="8" xfId="0" applyNumberFormat="1" applyFont="1" applyFill="1" applyBorder="1"/>
    <xf numFmtId="166" fontId="10" fillId="14" borderId="66" xfId="0" applyNumberFormat="1" applyFont="1" applyFill="1" applyBorder="1"/>
    <xf numFmtId="167" fontId="34" fillId="14" borderId="66" xfId="0" applyNumberFormat="1" applyFont="1" applyFill="1" applyBorder="1"/>
    <xf numFmtId="166" fontId="27" fillId="0" borderId="8" xfId="0" applyNumberFormat="1" applyFont="1" applyBorder="1"/>
    <xf numFmtId="166" fontId="10" fillId="0" borderId="8" xfId="0" applyNumberFormat="1" applyFont="1" applyBorder="1"/>
    <xf numFmtId="0" fontId="17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166" fontId="36" fillId="0" borderId="0" xfId="0" applyNumberFormat="1" applyFont="1" applyAlignment="1">
      <alignment horizontal="right"/>
    </xf>
    <xf numFmtId="166" fontId="37" fillId="16" borderId="1" xfId="0" applyNumberFormat="1" applyFont="1" applyFill="1" applyBorder="1"/>
    <xf numFmtId="0" fontId="3" fillId="0" borderId="0" xfId="0" applyFont="1" applyAlignment="1">
      <alignment horizontal="right"/>
    </xf>
    <xf numFmtId="0" fontId="8" fillId="0" borderId="16" xfId="0" applyFont="1" applyBorder="1" applyAlignment="1">
      <alignment horizontal="center"/>
    </xf>
    <xf numFmtId="0" fontId="0" fillId="0" borderId="0" xfId="0"/>
    <xf numFmtId="0" fontId="4" fillId="0" borderId="10" xfId="0" applyFont="1" applyBorder="1" applyAlignment="1">
      <alignment horizontal="center"/>
    </xf>
    <xf numFmtId="0" fontId="2" fillId="0" borderId="10" xfId="0" applyFont="1" applyBorder="1"/>
    <xf numFmtId="4" fontId="3" fillId="2" borderId="11" xfId="0" applyNumberFormat="1" applyFont="1" applyFill="1" applyBorder="1" applyAlignment="1">
      <alignment horizontal="center" vertical="center"/>
    </xf>
    <xf numFmtId="0" fontId="2" fillId="0" borderId="17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2" borderId="13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3" fillId="2" borderId="14" xfId="0" applyFont="1" applyFill="1" applyBorder="1" applyAlignment="1">
      <alignment horizontal="center"/>
    </xf>
    <xf numFmtId="0" fontId="2" fillId="0" borderId="15" xfId="0" applyFont="1" applyBorder="1"/>
    <xf numFmtId="0" fontId="1" fillId="6" borderId="29" xfId="0" applyFont="1" applyFill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4" fontId="3" fillId="2" borderId="33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3" fillId="2" borderId="34" xfId="0" applyFont="1" applyFill="1" applyBorder="1" applyAlignment="1">
      <alignment horizontal="center"/>
    </xf>
    <xf numFmtId="0" fontId="2" fillId="0" borderId="4" xfId="0" applyFont="1" applyBorder="1"/>
    <xf numFmtId="0" fontId="1" fillId="6" borderId="36" xfId="0" applyFont="1" applyFill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3" fillId="2" borderId="35" xfId="0" applyFont="1" applyFill="1" applyBorder="1" applyAlignment="1">
      <alignment horizontal="center"/>
    </xf>
    <xf numFmtId="0" fontId="16" fillId="7" borderId="29" xfId="0" applyFont="1" applyFill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2" fillId="0" borderId="69" xfId="0" applyFont="1" applyBorder="1"/>
    <xf numFmtId="0" fontId="2" fillId="0" borderId="40" xfId="0" applyFont="1" applyBorder="1"/>
    <xf numFmtId="0" fontId="2" fillId="0" borderId="16" xfId="0" applyFont="1" applyBorder="1"/>
    <xf numFmtId="0" fontId="2" fillId="0" borderId="70" xfId="0" applyFont="1" applyBorder="1"/>
    <xf numFmtId="0" fontId="2" fillId="0" borderId="71" xfId="0" applyFont="1" applyBorder="1"/>
    <xf numFmtId="0" fontId="12" fillId="0" borderId="10" xfId="0" applyFont="1" applyBorder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ca-ES" sz="1400" b="0" i="0">
                <a:solidFill>
                  <a:srgbClr val="757575"/>
                </a:solidFill>
                <a:latin typeface="+mn-lt"/>
              </a:rPr>
              <a:t>PV proyecto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'1- EvolucionPresupuesto'!$F$20:$F$24</c:f>
              <c:numCache>
                <c:formatCode>[$-C0A]d\-mmm</c:formatCode>
                <c:ptCount val="5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</c:numCache>
            </c:numRef>
          </c:cat>
          <c:val>
            <c:numRef>
              <c:f>'1- EvolucionPresupuesto'!$G$20:$G$24</c:f>
              <c:numCache>
                <c:formatCode>_-* #,##0.00\ [$€-C0A]_-;\-* #,##0.00\ [$€-C0A]_-;_-* "-"??\ [$€-C0A]_-;_-@</c:formatCode>
                <c:ptCount val="5"/>
                <c:pt idx="0">
                  <c:v>35341.449999999997</c:v>
                </c:pt>
                <c:pt idx="1">
                  <c:v>92928.722727272718</c:v>
                </c:pt>
                <c:pt idx="2">
                  <c:v>173315.99545454545</c:v>
                </c:pt>
                <c:pt idx="3">
                  <c:v>222207.99545454545</c:v>
                </c:pt>
                <c:pt idx="4">
                  <c:v>372999.99545454548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57C-AF17-B2999B64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668247"/>
        <c:axId val="1605988791"/>
      </c:lineChart>
      <c:dateAx>
        <c:axId val="1824668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ca-ES"/>
              </a:p>
            </c:rich>
          </c:tx>
          <c:overlay val="0"/>
        </c:title>
        <c:numFmt formatCode="[$-C0A]d\-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ca-ES"/>
          </a:p>
        </c:txPr>
        <c:crossAx val="1605988791"/>
        <c:crosses val="autoZero"/>
        <c:auto val="1"/>
        <c:lblOffset val="100"/>
        <c:baseTimeUnit val="months"/>
      </c:dateAx>
      <c:valAx>
        <c:axId val="1605988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ca-ES"/>
              </a:p>
            </c:rich>
          </c:tx>
          <c:overlay val="0"/>
        </c:title>
        <c:numFmt formatCode="_-* #,##0.00\ [$€-C0A]_-;\-* #,##0.00\ [$€-C0A]_-;_-* &quot;-&quot;??\ [$€-C0A]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ca-ES"/>
          </a:p>
        </c:txPr>
        <c:crossAx val="182466824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18</xdr:row>
      <xdr:rowOff>152400</xdr:rowOff>
    </xdr:from>
    <xdr:ext cx="4657725" cy="2600325"/>
    <xdr:graphicFrame macro="">
      <xdr:nvGraphicFramePr>
        <xdr:cNvPr id="149087845" name="Chart 1" title="Chart">
          <a:extLst>
            <a:ext uri="{FF2B5EF4-FFF2-40B4-BE49-F238E27FC236}">
              <a16:creationId xmlns:a16="http://schemas.microsoft.com/office/drawing/2014/main" id="{00000000-0008-0000-0100-000065E6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defaultColWidth="14.42578125" defaultRowHeight="15" customHeight="1"/>
  <cols>
    <col min="1" max="1" width="5.7109375" customWidth="1"/>
    <col min="2" max="2" width="33.85546875" customWidth="1"/>
    <col min="3" max="3" width="17" customWidth="1"/>
    <col min="4" max="4" width="9.5703125" customWidth="1"/>
    <col min="5" max="5" width="11.140625" customWidth="1"/>
    <col min="6" max="6" width="12.42578125" customWidth="1"/>
    <col min="7" max="7" width="12.85546875" customWidth="1"/>
    <col min="8" max="9" width="12.42578125" customWidth="1"/>
    <col min="10" max="10" width="12.5703125" customWidth="1"/>
    <col min="11" max="11" width="12.42578125" customWidth="1"/>
    <col min="12" max="12" width="11.85546875" customWidth="1"/>
    <col min="13" max="13" width="11.42578125" customWidth="1"/>
    <col min="14" max="26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/>
      <c r="B2" s="5"/>
      <c r="C2" s="4"/>
      <c r="D2" s="4"/>
      <c r="E2" s="166" t="s">
        <v>6</v>
      </c>
      <c r="F2" s="16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4"/>
      <c r="B3" s="168"/>
      <c r="C3" s="170" t="s">
        <v>7</v>
      </c>
      <c r="D3" s="172" t="s">
        <v>8</v>
      </c>
      <c r="E3" s="174" t="s">
        <v>9</v>
      </c>
      <c r="F3" s="175"/>
      <c r="G3" s="164" t="s">
        <v>10</v>
      </c>
      <c r="H3" s="165"/>
      <c r="I3" s="165"/>
      <c r="J3" s="165"/>
      <c r="K3" s="16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169"/>
      <c r="C4" s="171"/>
      <c r="D4" s="173"/>
      <c r="E4" s="6" t="s">
        <v>11</v>
      </c>
      <c r="F4" s="7" t="s">
        <v>12</v>
      </c>
      <c r="G4" s="8">
        <v>44287</v>
      </c>
      <c r="H4" s="8">
        <v>44317</v>
      </c>
      <c r="I4" s="8">
        <v>44348</v>
      </c>
      <c r="J4" s="8">
        <v>44378</v>
      </c>
      <c r="K4" s="8">
        <v>44409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" t="s">
        <v>2</v>
      </c>
      <c r="C5" s="9">
        <v>53360</v>
      </c>
      <c r="D5" s="10">
        <v>101</v>
      </c>
      <c r="E5" s="11">
        <v>44291</v>
      </c>
      <c r="F5" s="12">
        <v>44434</v>
      </c>
      <c r="G5" s="13">
        <f>C5/5</f>
        <v>10672</v>
      </c>
      <c r="H5" s="13">
        <f t="shared" ref="H5:K5" si="0">G5</f>
        <v>10672</v>
      </c>
      <c r="I5" s="13">
        <f t="shared" si="0"/>
        <v>10672</v>
      </c>
      <c r="J5" s="13">
        <f t="shared" si="0"/>
        <v>10672</v>
      </c>
      <c r="K5" s="13">
        <f t="shared" si="0"/>
        <v>10672</v>
      </c>
      <c r="L5" s="13">
        <f t="shared" ref="L5:L14" si="1">SUM(G5:K5)</f>
        <v>53360</v>
      </c>
      <c r="M5" s="13">
        <f t="shared" ref="M5:M14" si="2">C5-L5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2" t="s">
        <v>13</v>
      </c>
      <c r="C6" s="14">
        <v>96000</v>
      </c>
      <c r="D6" s="15">
        <v>65</v>
      </c>
      <c r="E6" s="16">
        <v>44292</v>
      </c>
      <c r="F6" s="17">
        <v>44377</v>
      </c>
      <c r="G6" s="13">
        <v>22169.45</v>
      </c>
      <c r="H6" s="13">
        <v>36915.272727272728</v>
      </c>
      <c r="I6" s="13">
        <v>36915.272727272728</v>
      </c>
      <c r="J6" s="13"/>
      <c r="K6" s="13"/>
      <c r="L6" s="13">
        <f t="shared" si="1"/>
        <v>95999.995454545453</v>
      </c>
      <c r="M6" s="13">
        <f t="shared" si="2"/>
        <v>4.5454545470420271E-3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2" t="s">
        <v>4</v>
      </c>
      <c r="C7" s="14">
        <v>30000</v>
      </c>
      <c r="D7" s="18">
        <v>60</v>
      </c>
      <c r="E7" s="16">
        <v>44313</v>
      </c>
      <c r="F7" s="19">
        <v>44398</v>
      </c>
      <c r="G7" s="13">
        <f>C7/12</f>
        <v>2500</v>
      </c>
      <c r="H7" s="13">
        <f>C7*4/12</f>
        <v>10000</v>
      </c>
      <c r="I7" s="13">
        <f>H7</f>
        <v>10000</v>
      </c>
      <c r="J7" s="13">
        <v>7500</v>
      </c>
      <c r="K7" s="13"/>
      <c r="L7" s="13">
        <f t="shared" si="1"/>
        <v>30000</v>
      </c>
      <c r="M7" s="13">
        <f t="shared" si="2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/>
      <c r="B8" s="2" t="s">
        <v>5</v>
      </c>
      <c r="C8" s="14">
        <v>30400</v>
      </c>
      <c r="D8" s="18">
        <v>15</v>
      </c>
      <c r="E8" s="16">
        <v>44356</v>
      </c>
      <c r="F8" s="19">
        <v>44384</v>
      </c>
      <c r="G8" s="13"/>
      <c r="H8" s="13"/>
      <c r="I8" s="13">
        <f>C8*3/4</f>
        <v>22800</v>
      </c>
      <c r="J8" s="13">
        <v>7600</v>
      </c>
      <c r="K8" s="13"/>
      <c r="L8" s="13">
        <f t="shared" si="1"/>
        <v>30400</v>
      </c>
      <c r="M8" s="13">
        <f t="shared" si="2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/>
      <c r="B9" s="2" t="s">
        <v>14</v>
      </c>
      <c r="C9" s="14">
        <f>15000+16240/2</f>
        <v>23120</v>
      </c>
      <c r="D9" s="18">
        <v>14</v>
      </c>
      <c r="E9" s="16">
        <v>44389</v>
      </c>
      <c r="F9" s="19">
        <v>44406</v>
      </c>
      <c r="G9" s="4"/>
      <c r="H9" s="4"/>
      <c r="I9" s="13"/>
      <c r="J9" s="13">
        <f>C9</f>
        <v>23120</v>
      </c>
      <c r="K9" s="13"/>
      <c r="L9" s="13">
        <f t="shared" si="1"/>
        <v>23120</v>
      </c>
      <c r="M9" s="13">
        <f t="shared" si="2"/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2" t="s">
        <v>15</v>
      </c>
      <c r="C10" s="14">
        <v>23120</v>
      </c>
      <c r="D10" s="18">
        <v>14</v>
      </c>
      <c r="E10" s="16">
        <v>44410</v>
      </c>
      <c r="F10" s="19">
        <v>44427</v>
      </c>
      <c r="G10" s="4"/>
      <c r="H10" s="4"/>
      <c r="I10" s="13"/>
      <c r="J10" s="13"/>
      <c r="K10" s="13">
        <f t="shared" ref="K10:K12" si="3">C10</f>
        <v>23120</v>
      </c>
      <c r="L10" s="13">
        <f t="shared" si="1"/>
        <v>23120</v>
      </c>
      <c r="M10" s="13">
        <f t="shared" si="2"/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/>
      <c r="B11" s="2" t="s">
        <v>16</v>
      </c>
      <c r="C11" s="14">
        <v>75000</v>
      </c>
      <c r="D11" s="18">
        <v>5</v>
      </c>
      <c r="E11" s="16">
        <v>44421</v>
      </c>
      <c r="F11" s="19">
        <v>44427</v>
      </c>
      <c r="G11" s="13"/>
      <c r="H11" s="13"/>
      <c r="I11" s="13"/>
      <c r="J11" s="13"/>
      <c r="K11" s="13">
        <f t="shared" si="3"/>
        <v>75000</v>
      </c>
      <c r="L11" s="13">
        <f t="shared" si="1"/>
        <v>75000</v>
      </c>
      <c r="M11" s="13">
        <f t="shared" si="2"/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2" t="s">
        <v>17</v>
      </c>
      <c r="C12" s="14">
        <v>42000</v>
      </c>
      <c r="D12" s="18">
        <v>10</v>
      </c>
      <c r="E12" s="16">
        <v>44421</v>
      </c>
      <c r="F12" s="19">
        <v>44434</v>
      </c>
      <c r="G12" s="4"/>
      <c r="H12" s="4"/>
      <c r="I12" s="13"/>
      <c r="J12" s="13"/>
      <c r="K12" s="13">
        <f t="shared" si="3"/>
        <v>42000</v>
      </c>
      <c r="L12" s="13">
        <f t="shared" si="1"/>
        <v>42000</v>
      </c>
      <c r="M12" s="13">
        <f t="shared" si="2"/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2"/>
      <c r="C13" s="14"/>
      <c r="D13" s="18"/>
      <c r="E13" s="16"/>
      <c r="F13" s="19"/>
      <c r="G13" s="4"/>
      <c r="H13" s="4"/>
      <c r="I13" s="13"/>
      <c r="J13" s="13"/>
      <c r="K13" s="13"/>
      <c r="L13" s="13">
        <f t="shared" si="1"/>
        <v>0</v>
      </c>
      <c r="M13" s="13">
        <f t="shared" si="2"/>
        <v>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3"/>
      <c r="C14" s="20"/>
      <c r="D14" s="21"/>
      <c r="E14" s="22"/>
      <c r="F14" s="23"/>
      <c r="G14" s="13"/>
      <c r="H14" s="13"/>
      <c r="I14" s="13"/>
      <c r="J14" s="13"/>
      <c r="K14" s="13"/>
      <c r="L14" s="13">
        <f t="shared" si="1"/>
        <v>0</v>
      </c>
      <c r="M14" s="13">
        <f t="shared" si="2"/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/>
      <c r="B15" s="24" t="s">
        <v>18</v>
      </c>
      <c r="C15" s="25">
        <f>SUM(C5:C14)</f>
        <v>373000</v>
      </c>
      <c r="D15" s="26"/>
      <c r="E15" s="4"/>
      <c r="F15" s="27" t="s">
        <v>19</v>
      </c>
      <c r="G15" s="28">
        <f t="shared" ref="G15:K15" si="4">SUM(G5:G14)</f>
        <v>35341.449999999997</v>
      </c>
      <c r="H15" s="28">
        <f t="shared" si="4"/>
        <v>57587.272727272728</v>
      </c>
      <c r="I15" s="28">
        <f t="shared" si="4"/>
        <v>80387.272727272735</v>
      </c>
      <c r="J15" s="28">
        <f t="shared" si="4"/>
        <v>48892</v>
      </c>
      <c r="K15" s="28">
        <f t="shared" si="4"/>
        <v>150792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29"/>
      <c r="B16" s="29"/>
      <c r="C16" s="30"/>
      <c r="D16" s="29"/>
      <c r="E16" s="29"/>
      <c r="F16" s="27" t="s">
        <v>20</v>
      </c>
      <c r="G16" s="31">
        <f>G15</f>
        <v>35341.449999999997</v>
      </c>
      <c r="H16" s="31">
        <f t="shared" ref="H16:K16" si="5">H15+G16</f>
        <v>92928.722727272718</v>
      </c>
      <c r="I16" s="31">
        <f t="shared" si="5"/>
        <v>173315.99545454545</v>
      </c>
      <c r="J16" s="31">
        <f t="shared" si="5"/>
        <v>222207.99545454545</v>
      </c>
      <c r="K16" s="31">
        <f t="shared" si="5"/>
        <v>372999.99545454548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32" t="s">
        <v>21</v>
      </c>
      <c r="C18" s="3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32"/>
      <c r="C19" s="3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32"/>
      <c r="C20" s="32"/>
      <c r="D20" s="4"/>
      <c r="E20" s="4"/>
      <c r="F20" s="8">
        <v>44287</v>
      </c>
      <c r="G20" s="33">
        <f>G16</f>
        <v>35341.449999999997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4"/>
      <c r="F21" s="8">
        <v>44317</v>
      </c>
      <c r="G21" s="33">
        <f>H16</f>
        <v>92928.722727272718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4"/>
      <c r="F22" s="8">
        <v>44348</v>
      </c>
      <c r="G22" s="33">
        <f>I16</f>
        <v>173315.99545454545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4"/>
      <c r="F23" s="8">
        <v>44378</v>
      </c>
      <c r="G23" s="33">
        <f>J16</f>
        <v>222207.99545454545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4"/>
      <c r="F24" s="8">
        <v>44409</v>
      </c>
      <c r="G24" s="33">
        <f>K16</f>
        <v>372999.99545454548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G3:K3"/>
    <mergeCell ref="E2:F2"/>
    <mergeCell ref="B3:B4"/>
    <mergeCell ref="C3:C4"/>
    <mergeCell ref="D3:D4"/>
    <mergeCell ref="E3:F3"/>
  </mergeCells>
  <pageMargins left="0.25" right="0.25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000"/>
  <sheetViews>
    <sheetView workbookViewId="0">
      <selection activeCell="I8" sqref="I8"/>
    </sheetView>
  </sheetViews>
  <sheetFormatPr defaultColWidth="14.42578125" defaultRowHeight="15" customHeight="1"/>
  <cols>
    <col min="1" max="1" width="2.5703125" customWidth="1"/>
    <col min="2" max="2" width="33.85546875" customWidth="1"/>
    <col min="3" max="3" width="13.28515625" customWidth="1"/>
    <col min="4" max="4" width="12.7109375" customWidth="1"/>
    <col min="5" max="5" width="14.42578125" customWidth="1"/>
    <col min="6" max="6" width="14.140625" customWidth="1"/>
    <col min="7" max="9" width="15.28515625" customWidth="1"/>
    <col min="10" max="11" width="14.42578125" customWidth="1"/>
    <col min="12" max="28" width="8.7109375" customWidth="1"/>
  </cols>
  <sheetData>
    <row r="2" spans="2:13" ht="18.75">
      <c r="B2" s="176" t="s">
        <v>22</v>
      </c>
      <c r="C2" s="177"/>
      <c r="D2" s="177"/>
      <c r="E2" s="177"/>
      <c r="F2" s="178"/>
      <c r="G2" s="34"/>
      <c r="H2" s="34"/>
      <c r="I2" s="35"/>
      <c r="J2" s="35"/>
      <c r="K2" s="35"/>
    </row>
    <row r="3" spans="2:13" ht="18.75">
      <c r="B3" s="179"/>
      <c r="C3" s="181" t="s">
        <v>23</v>
      </c>
      <c r="D3" s="182"/>
      <c r="E3" s="181" t="s">
        <v>24</v>
      </c>
      <c r="F3" s="182"/>
      <c r="G3" s="186" t="s">
        <v>25</v>
      </c>
      <c r="H3" s="175"/>
      <c r="I3" s="183"/>
      <c r="J3" s="184"/>
      <c r="K3" s="185"/>
    </row>
    <row r="4" spans="2:13">
      <c r="B4" s="180"/>
      <c r="C4" s="36" t="s">
        <v>11</v>
      </c>
      <c r="D4" s="36" t="s">
        <v>12</v>
      </c>
      <c r="E4" s="36" t="s">
        <v>11</v>
      </c>
      <c r="F4" s="36" t="s">
        <v>12</v>
      </c>
      <c r="G4" s="37" t="s">
        <v>0</v>
      </c>
      <c r="H4" s="37" t="s">
        <v>1</v>
      </c>
      <c r="I4" s="36" t="s">
        <v>26</v>
      </c>
      <c r="J4" s="38" t="s">
        <v>27</v>
      </c>
      <c r="K4" s="39" t="s">
        <v>28</v>
      </c>
    </row>
    <row r="5" spans="2:13">
      <c r="B5" s="40" t="s">
        <v>2</v>
      </c>
      <c r="C5" s="41">
        <f>'1- EvolucionPresupuesto'!E5</f>
        <v>44291</v>
      </c>
      <c r="D5" s="41">
        <f>'1- EvolucionPresupuesto'!F5</f>
        <v>44434</v>
      </c>
      <c r="E5" s="42">
        <f t="shared" ref="E5:E6" si="0">C5</f>
        <v>44291</v>
      </c>
      <c r="F5" s="42">
        <f>F12</f>
        <v>44434</v>
      </c>
      <c r="G5" s="43">
        <v>266</v>
      </c>
      <c r="H5" s="43">
        <v>178</v>
      </c>
      <c r="I5" s="44">
        <f t="shared" ref="I5:I8" si="1">G5/(G5+H5)</f>
        <v>0.59909909909909909</v>
      </c>
      <c r="J5" s="45">
        <f>2*8*40</f>
        <v>640</v>
      </c>
      <c r="K5" s="46"/>
      <c r="L5" t="s">
        <v>69</v>
      </c>
    </row>
    <row r="6" spans="2:13">
      <c r="B6" s="47" t="s">
        <v>3</v>
      </c>
      <c r="C6" s="41">
        <f>'1- EvolucionPresupuesto'!E6</f>
        <v>44292</v>
      </c>
      <c r="D6" s="48">
        <f>'1- EvolucionPresupuesto'!F6</f>
        <v>44377</v>
      </c>
      <c r="E6" s="42">
        <f t="shared" si="0"/>
        <v>44292</v>
      </c>
      <c r="F6" s="42">
        <f>D6+7</f>
        <v>44384</v>
      </c>
      <c r="G6" s="43">
        <v>1256</v>
      </c>
      <c r="H6" s="43">
        <v>80</v>
      </c>
      <c r="I6" s="44">
        <f t="shared" si="1"/>
        <v>0.94011976047904189</v>
      </c>
      <c r="J6" s="45">
        <f>20*70+10*80</f>
        <v>2200</v>
      </c>
      <c r="K6" s="46"/>
      <c r="L6" s="49" t="s">
        <v>29</v>
      </c>
    </row>
    <row r="7" spans="2:13">
      <c r="B7" s="47" t="s">
        <v>4</v>
      </c>
      <c r="C7" s="41">
        <f>'1- EvolucionPresupuesto'!E7</f>
        <v>44313</v>
      </c>
      <c r="D7" s="41">
        <f>'1- EvolucionPresupuesto'!F7</f>
        <v>44398</v>
      </c>
      <c r="E7" s="42">
        <f t="shared" ref="E7:F7" si="2">C7+7</f>
        <v>44320</v>
      </c>
      <c r="F7" s="42">
        <f t="shared" si="2"/>
        <v>44405</v>
      </c>
      <c r="G7" s="43">
        <v>420</v>
      </c>
      <c r="H7" s="43">
        <v>180</v>
      </c>
      <c r="I7" s="44">
        <f t="shared" si="1"/>
        <v>0.7</v>
      </c>
      <c r="J7" s="46"/>
      <c r="K7" s="46"/>
    </row>
    <row r="8" spans="2:13">
      <c r="B8" s="47" t="s">
        <v>5</v>
      </c>
      <c r="C8" s="41">
        <f>'1- EvolucionPresupuesto'!E8</f>
        <v>44356</v>
      </c>
      <c r="D8" s="41">
        <f>'1- EvolucionPresupuesto'!F8</f>
        <v>44384</v>
      </c>
      <c r="E8" s="42">
        <f>C8+7</f>
        <v>44363</v>
      </c>
      <c r="F8" s="42">
        <f>D8</f>
        <v>44384</v>
      </c>
      <c r="G8" s="43">
        <v>132</v>
      </c>
      <c r="H8" s="43">
        <v>48</v>
      </c>
      <c r="I8" s="44">
        <f t="shared" si="1"/>
        <v>0.73333333333333328</v>
      </c>
      <c r="J8" s="46"/>
      <c r="K8" s="45">
        <f>40*90</f>
        <v>3600</v>
      </c>
      <c r="L8" t="s">
        <v>71</v>
      </c>
    </row>
    <row r="9" spans="2:13">
      <c r="B9" s="50" t="s">
        <v>14</v>
      </c>
      <c r="C9" s="51">
        <f>'1- EvolucionPresupuesto'!E9</f>
        <v>44389</v>
      </c>
      <c r="D9" s="51">
        <f>'1- EvolucionPresupuesto'!F9</f>
        <v>44406</v>
      </c>
      <c r="E9" s="51">
        <f t="shared" ref="E9:F9" si="3">C9</f>
        <v>44389</v>
      </c>
      <c r="F9" s="51">
        <f t="shared" si="3"/>
        <v>44406</v>
      </c>
      <c r="G9" s="52"/>
      <c r="H9" s="52"/>
      <c r="I9" s="52">
        <v>0</v>
      </c>
      <c r="J9" s="53"/>
      <c r="K9" s="54"/>
    </row>
    <row r="10" spans="2:13">
      <c r="B10" s="50" t="s">
        <v>15</v>
      </c>
      <c r="C10" s="51">
        <f>'1- EvolucionPresupuesto'!E10</f>
        <v>44410</v>
      </c>
      <c r="D10" s="51">
        <f>'1- EvolucionPresupuesto'!F10</f>
        <v>44427</v>
      </c>
      <c r="E10" s="51">
        <f t="shared" ref="E10:F10" si="4">C10</f>
        <v>44410</v>
      </c>
      <c r="F10" s="51">
        <f t="shared" si="4"/>
        <v>44427</v>
      </c>
      <c r="G10" s="52"/>
      <c r="H10" s="52"/>
      <c r="I10" s="52">
        <v>0</v>
      </c>
      <c r="J10" s="53"/>
      <c r="K10" s="54"/>
      <c r="M10" s="195"/>
    </row>
    <row r="11" spans="2:13">
      <c r="B11" s="50" t="s">
        <v>16</v>
      </c>
      <c r="C11" s="51">
        <f>'1- EvolucionPresupuesto'!E11</f>
        <v>44421</v>
      </c>
      <c r="D11" s="51">
        <f>'1- EvolucionPresupuesto'!F11</f>
        <v>44427</v>
      </c>
      <c r="E11" s="51">
        <f t="shared" ref="E11:F11" si="5">C11</f>
        <v>44421</v>
      </c>
      <c r="F11" s="51">
        <f t="shared" si="5"/>
        <v>44427</v>
      </c>
      <c r="G11" s="52"/>
      <c r="H11" s="52"/>
      <c r="I11" s="52">
        <v>0</v>
      </c>
      <c r="J11" s="53"/>
      <c r="K11" s="54"/>
    </row>
    <row r="12" spans="2:13">
      <c r="B12" s="55" t="s">
        <v>17</v>
      </c>
      <c r="C12" s="51">
        <f>'1- EvolucionPresupuesto'!E12</f>
        <v>44421</v>
      </c>
      <c r="D12" s="51">
        <f>'1- EvolucionPresupuesto'!F12</f>
        <v>44434</v>
      </c>
      <c r="E12" s="51">
        <f t="shared" ref="E12:F12" si="6">C12</f>
        <v>44421</v>
      </c>
      <c r="F12" s="51">
        <f t="shared" si="6"/>
        <v>44434</v>
      </c>
      <c r="G12" s="52"/>
      <c r="H12" s="52"/>
      <c r="I12" s="52">
        <v>0</v>
      </c>
      <c r="J12" s="53"/>
      <c r="K12" s="53"/>
    </row>
    <row r="15" spans="2:13">
      <c r="K15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F2"/>
    <mergeCell ref="B3:B4"/>
    <mergeCell ref="C3:D3"/>
    <mergeCell ref="E3:F3"/>
    <mergeCell ref="I3:K3"/>
    <mergeCell ref="G3:H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workbookViewId="0">
      <selection activeCell="K13" sqref="K13"/>
    </sheetView>
  </sheetViews>
  <sheetFormatPr defaultColWidth="14.42578125" defaultRowHeight="15" customHeight="1"/>
  <cols>
    <col min="1" max="1" width="5.7109375" customWidth="1"/>
    <col min="2" max="2" width="37.7109375" customWidth="1"/>
    <col min="3" max="3" width="14.140625" customWidth="1"/>
    <col min="4" max="4" width="14.7109375" customWidth="1"/>
    <col min="5" max="5" width="11.140625" customWidth="1"/>
    <col min="6" max="6" width="12.42578125" customWidth="1"/>
    <col min="7" max="7" width="12.7109375" customWidth="1"/>
    <col min="8" max="8" width="14" customWidth="1"/>
    <col min="9" max="9" width="9.42578125" customWidth="1"/>
    <col min="10" max="10" width="10.85546875" customWidth="1"/>
    <col min="11" max="11" width="9.42578125" customWidth="1"/>
    <col min="12" max="12" width="11.140625" customWidth="1"/>
    <col min="13" max="13" width="11.85546875" customWidth="1"/>
    <col min="14" max="14" width="18" customWidth="1"/>
    <col min="15" max="22" width="12.42578125" customWidth="1"/>
    <col min="23" max="23" width="11.140625" customWidth="1"/>
    <col min="24" max="24" width="11.42578125" customWidth="1"/>
    <col min="25" max="26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/>
      <c r="B2" s="187" t="s">
        <v>30</v>
      </c>
      <c r="C2" s="177"/>
      <c r="D2" s="177"/>
      <c r="E2" s="177"/>
      <c r="F2" s="177"/>
      <c r="G2" s="177"/>
      <c r="H2" s="177"/>
      <c r="I2" s="177"/>
      <c r="J2" s="177"/>
      <c r="K2" s="17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0.25" customHeight="1">
      <c r="A3" s="4"/>
      <c r="B3" s="56" t="s">
        <v>31</v>
      </c>
      <c r="C3" s="57" t="s">
        <v>32</v>
      </c>
      <c r="D3" s="58" t="s">
        <v>33</v>
      </c>
      <c r="E3" s="59" t="s">
        <v>34</v>
      </c>
      <c r="F3" s="60" t="s">
        <v>35</v>
      </c>
      <c r="G3" s="61" t="s">
        <v>36</v>
      </c>
      <c r="H3" s="62" t="s">
        <v>37</v>
      </c>
      <c r="I3" s="63" t="s">
        <v>38</v>
      </c>
      <c r="J3" s="64" t="s">
        <v>39</v>
      </c>
      <c r="K3" s="65" t="s">
        <v>40</v>
      </c>
      <c r="L3" s="66"/>
      <c r="M3" s="67" t="s">
        <v>41</v>
      </c>
      <c r="N3" s="66"/>
      <c r="O3" s="66"/>
      <c r="P3" s="66"/>
      <c r="Q3" s="66"/>
      <c r="R3" s="66"/>
      <c r="S3" s="66"/>
      <c r="T3" s="66"/>
      <c r="U3" s="66"/>
      <c r="V3" s="66"/>
      <c r="W3" s="4"/>
      <c r="X3" s="4"/>
      <c r="Y3" s="4"/>
      <c r="Z3" s="4"/>
    </row>
    <row r="4" spans="1:26" ht="12.75" customHeight="1">
      <c r="A4" s="4"/>
      <c r="B4" s="68" t="str">
        <f>'1- EvolucionPresupuesto'!B5</f>
        <v>Coordinación General del Proyecto</v>
      </c>
      <c r="C4" s="69">
        <f>'1- EvolucionPresupuesto'!C5</f>
        <v>53360</v>
      </c>
      <c r="D4" s="70">
        <f>SUM('1- EvolucionPresupuesto'!G5:I5)</f>
        <v>32016</v>
      </c>
      <c r="E4" s="71">
        <f>'2-PlantillaSeguimiento'!I5</f>
        <v>0.59909909909909909</v>
      </c>
      <c r="F4" s="72">
        <f t="shared" ref="F4:F11" si="0">E4*C4</f>
        <v>31967.927927927929</v>
      </c>
      <c r="G4" s="73">
        <f>F4+'2-PlantillaSeguimiento'!J5-'2-PlantillaSeguimiento'!K5</f>
        <v>32607.927927927929</v>
      </c>
      <c r="H4" s="74">
        <f t="shared" ref="H4:H7" si="1">F4-D4</f>
        <v>-48.072072072071023</v>
      </c>
      <c r="I4" s="75">
        <f t="shared" ref="I4:I7" si="2">F4/D4</f>
        <v>0.99849849849849848</v>
      </c>
      <c r="J4" s="76">
        <f t="shared" ref="J4:J7" si="3">F4-G4</f>
        <v>-640</v>
      </c>
      <c r="K4" s="77">
        <f t="shared" ref="K4:K7" si="4">F4/G4</f>
        <v>0.98037287124117278</v>
      </c>
      <c r="L4" s="13"/>
      <c r="M4" s="78" t="s">
        <v>42</v>
      </c>
      <c r="N4" s="4"/>
      <c r="O4" s="4"/>
      <c r="P4" s="13"/>
      <c r="Q4" s="13"/>
      <c r="R4" s="13"/>
      <c r="S4" s="13"/>
      <c r="T4" s="13"/>
      <c r="U4" s="13"/>
      <c r="V4" s="13"/>
      <c r="W4" s="13"/>
      <c r="X4" s="33"/>
      <c r="Y4" s="4"/>
      <c r="Z4" s="4"/>
    </row>
    <row r="5" spans="1:26" ht="12.75" customHeight="1">
      <c r="A5" s="4"/>
      <c r="B5" s="79" t="str">
        <f>'1- EvolucionPresupuesto'!B6</f>
        <v>Fase I - Desarrollo Aplicacion (1)</v>
      </c>
      <c r="C5" s="80">
        <f>'1- EvolucionPresupuesto'!C6</f>
        <v>96000</v>
      </c>
      <c r="D5" s="81">
        <f>SUM('1- EvolucionPresupuesto'!G6:I6)</f>
        <v>95999.995454545453</v>
      </c>
      <c r="E5" s="82">
        <f>'2-PlantillaSeguimiento'!I6</f>
        <v>0.94011976047904189</v>
      </c>
      <c r="F5" s="83">
        <f t="shared" si="0"/>
        <v>90251.497005988014</v>
      </c>
      <c r="G5" s="84">
        <f>F5+'2-PlantillaSeguimiento'!J6-'2-PlantillaSeguimiento'!K6</f>
        <v>92451.497005988014</v>
      </c>
      <c r="H5" s="85">
        <f t="shared" si="1"/>
        <v>-5748.4984485574387</v>
      </c>
      <c r="I5" s="86">
        <f t="shared" si="2"/>
        <v>0.9401198049922902</v>
      </c>
      <c r="J5" s="87">
        <f t="shared" si="3"/>
        <v>-2200</v>
      </c>
      <c r="K5" s="88">
        <f t="shared" si="4"/>
        <v>0.97620373848724695</v>
      </c>
      <c r="L5" s="13"/>
      <c r="M5" s="4"/>
      <c r="N5" s="4"/>
      <c r="O5" s="4"/>
      <c r="P5" s="13"/>
      <c r="Q5" s="13"/>
      <c r="R5" s="13"/>
      <c r="S5" s="13"/>
      <c r="T5" s="13"/>
      <c r="U5" s="13"/>
      <c r="V5" s="13"/>
      <c r="W5" s="13"/>
      <c r="X5" s="33"/>
      <c r="Y5" s="4"/>
      <c r="Z5" s="4"/>
    </row>
    <row r="6" spans="1:26" ht="12.75" customHeight="1">
      <c r="A6" s="4"/>
      <c r="B6" s="79" t="str">
        <f>'1- EvolucionPresupuesto'!B7</f>
        <v>Fase II - Integración Domótica</v>
      </c>
      <c r="C6" s="80">
        <f>'1- EvolucionPresupuesto'!C7</f>
        <v>30000</v>
      </c>
      <c r="D6" s="81">
        <f>SUM('1- EvolucionPresupuesto'!G7:I7)</f>
        <v>22500</v>
      </c>
      <c r="E6" s="82">
        <f>'2-PlantillaSeguimiento'!I7</f>
        <v>0.7</v>
      </c>
      <c r="F6" s="83">
        <f t="shared" si="0"/>
        <v>21000</v>
      </c>
      <c r="G6" s="84">
        <f>F6+'2-PlantillaSeguimiento'!J7-'2-PlantillaSeguimiento'!K7</f>
        <v>21000</v>
      </c>
      <c r="H6" s="85">
        <f t="shared" si="1"/>
        <v>-1500</v>
      </c>
      <c r="I6" s="86">
        <f t="shared" si="2"/>
        <v>0.93333333333333335</v>
      </c>
      <c r="J6" s="87">
        <f t="shared" si="3"/>
        <v>0</v>
      </c>
      <c r="K6" s="88">
        <f t="shared" si="4"/>
        <v>1</v>
      </c>
      <c r="L6" s="13"/>
      <c r="M6" s="89" t="s">
        <v>43</v>
      </c>
      <c r="N6" s="90">
        <f>H13</f>
        <v>-7803.2371872961521</v>
      </c>
      <c r="O6" s="91"/>
      <c r="P6" s="13"/>
      <c r="Q6" s="13"/>
      <c r="R6" s="13"/>
      <c r="S6" s="13"/>
      <c r="T6" s="13"/>
      <c r="U6" s="13"/>
      <c r="V6" s="13"/>
      <c r="W6" s="13"/>
      <c r="X6" s="33"/>
      <c r="Y6" s="4"/>
      <c r="Z6" s="4"/>
    </row>
    <row r="7" spans="1:26" ht="12.75" customHeight="1">
      <c r="A7" s="4"/>
      <c r="B7" s="79" t="str">
        <f>'1- EvolucionPresupuesto'!B8</f>
        <v>Fase II - Integración ICS</v>
      </c>
      <c r="C7" s="80">
        <f>'1- EvolucionPresupuesto'!C8</f>
        <v>30400</v>
      </c>
      <c r="D7" s="81">
        <f>SUM('1- EvolucionPresupuesto'!G8:I8)</f>
        <v>22800</v>
      </c>
      <c r="E7" s="82">
        <f>'2-PlantillaSeguimiento'!I8</f>
        <v>0.73333333333333328</v>
      </c>
      <c r="F7" s="83">
        <f t="shared" si="0"/>
        <v>22293.333333333332</v>
      </c>
      <c r="G7" s="84">
        <f>F7+'2-PlantillaSeguimiento'!J8-'2-PlantillaSeguimiento'!K8</f>
        <v>18693.333333333332</v>
      </c>
      <c r="H7" s="85">
        <f t="shared" si="1"/>
        <v>-506.66666666666788</v>
      </c>
      <c r="I7" s="86">
        <f t="shared" si="2"/>
        <v>0.97777777777777775</v>
      </c>
      <c r="J7" s="87">
        <f t="shared" si="3"/>
        <v>3600</v>
      </c>
      <c r="K7" s="88">
        <f t="shared" si="4"/>
        <v>1.1925820256776034</v>
      </c>
      <c r="L7" s="13"/>
      <c r="M7" s="89" t="s">
        <v>44</v>
      </c>
      <c r="N7" s="90">
        <f>I13</f>
        <v>0.95497682042080956</v>
      </c>
      <c r="O7" s="91"/>
      <c r="P7" s="13"/>
      <c r="Q7" s="13"/>
      <c r="R7" s="13"/>
      <c r="S7" s="13"/>
      <c r="T7" s="13"/>
      <c r="U7" s="13"/>
      <c r="V7" s="13"/>
      <c r="W7" s="13"/>
      <c r="X7" s="33"/>
      <c r="Y7" s="4"/>
      <c r="Z7" s="4"/>
    </row>
    <row r="8" spans="1:26" ht="12.75" customHeight="1">
      <c r="A8" s="4"/>
      <c r="B8" s="79" t="str">
        <f>'1- EvolucionPresupuesto'!B9</f>
        <v>Fasse III - Obras Planta 1 y 2</v>
      </c>
      <c r="C8" s="92">
        <f>'1- EvolucionPresupuesto'!C9</f>
        <v>23120</v>
      </c>
      <c r="D8" s="93">
        <f>SUM('1- EvolucionPresupuesto'!G9:I9)</f>
        <v>0</v>
      </c>
      <c r="E8" s="94">
        <f>'2-PlantillaSeguimiento'!I9</f>
        <v>0</v>
      </c>
      <c r="F8" s="95">
        <f t="shared" si="0"/>
        <v>0</v>
      </c>
      <c r="G8" s="96"/>
      <c r="H8" s="97"/>
      <c r="I8" s="98"/>
      <c r="J8" s="99"/>
      <c r="K8" s="100"/>
      <c r="L8" s="4"/>
      <c r="M8" s="13"/>
      <c r="N8" s="13"/>
      <c r="O8" s="13"/>
      <c r="P8" s="13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/>
      <c r="B9" s="79" t="str">
        <f>'1- EvolucionPresupuesto'!B10</f>
        <v>Fase III - Obras Planta 3</v>
      </c>
      <c r="C9" s="92">
        <f>'1- EvolucionPresupuesto'!C10</f>
        <v>23120</v>
      </c>
      <c r="D9" s="93">
        <f>SUM('1- EvolucionPresupuesto'!G10:I10)</f>
        <v>0</v>
      </c>
      <c r="E9" s="94">
        <f>'2-PlantillaSeguimiento'!I10</f>
        <v>0</v>
      </c>
      <c r="F9" s="95">
        <f t="shared" si="0"/>
        <v>0</v>
      </c>
      <c r="G9" s="96"/>
      <c r="H9" s="97"/>
      <c r="I9" s="98"/>
      <c r="J9" s="99"/>
      <c r="K9" s="100"/>
      <c r="L9" s="4"/>
      <c r="M9" s="13"/>
      <c r="N9" s="13"/>
      <c r="O9" s="13"/>
      <c r="P9" s="13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79" t="str">
        <f>'1- EvolucionPresupuesto'!B11</f>
        <v>Fase III -  Infraestructura de RED</v>
      </c>
      <c r="C10" s="92">
        <f>'1- EvolucionPresupuesto'!C11</f>
        <v>75000</v>
      </c>
      <c r="D10" s="93">
        <f>SUM('1- EvolucionPresupuesto'!G11:I11)</f>
        <v>0</v>
      </c>
      <c r="E10" s="94">
        <f>'2-PlantillaSeguimiento'!I11</f>
        <v>0</v>
      </c>
      <c r="F10" s="95">
        <f t="shared" si="0"/>
        <v>0</v>
      </c>
      <c r="G10" s="96"/>
      <c r="H10" s="97"/>
      <c r="I10" s="98"/>
      <c r="J10" s="99"/>
      <c r="K10" s="100"/>
      <c r="L10" s="13"/>
      <c r="M10" s="67" t="s">
        <v>45</v>
      </c>
      <c r="N10" s="66"/>
      <c r="O10" s="66"/>
      <c r="P10" s="13"/>
      <c r="Q10" s="13"/>
      <c r="R10" s="13"/>
      <c r="S10" s="13"/>
      <c r="T10" s="13"/>
      <c r="U10" s="13"/>
      <c r="V10" s="13"/>
      <c r="W10" s="13"/>
      <c r="X10" s="33"/>
      <c r="Y10" s="4"/>
      <c r="Z10" s="4"/>
    </row>
    <row r="11" spans="1:26" ht="12.75" customHeight="1">
      <c r="A11" s="4"/>
      <c r="B11" s="79" t="str">
        <f>'1- EvolucionPresupuesto'!B12</f>
        <v>Fase IV - Puesta en Producción</v>
      </c>
      <c r="C11" s="92">
        <f>'1- EvolucionPresupuesto'!C12</f>
        <v>42000</v>
      </c>
      <c r="D11" s="93">
        <f>SUM('1- EvolucionPresupuesto'!G12:I12)</f>
        <v>0</v>
      </c>
      <c r="E11" s="94">
        <f>'2-PlantillaSeguimiento'!I12</f>
        <v>0</v>
      </c>
      <c r="F11" s="95">
        <f t="shared" si="0"/>
        <v>0</v>
      </c>
      <c r="G11" s="96"/>
      <c r="H11" s="97"/>
      <c r="I11" s="98"/>
      <c r="J11" s="99"/>
      <c r="K11" s="100"/>
      <c r="L11" s="4"/>
      <c r="M11" s="78" t="s">
        <v>46</v>
      </c>
      <c r="N11" s="4"/>
      <c r="O11" s="4"/>
      <c r="P11" s="13"/>
      <c r="Q11" s="13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101"/>
      <c r="C12" s="102"/>
      <c r="D12" s="103"/>
      <c r="E12" s="104"/>
      <c r="F12" s="105"/>
      <c r="G12" s="106"/>
      <c r="H12" s="107"/>
      <c r="I12" s="108"/>
      <c r="J12" s="108"/>
      <c r="K12" s="109"/>
      <c r="L12" s="4"/>
      <c r="M12" s="4"/>
      <c r="N12" s="4"/>
      <c r="O12" s="4"/>
      <c r="P12" s="13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110"/>
      <c r="C13" s="111" t="s">
        <v>47</v>
      </c>
      <c r="D13" s="112">
        <f>SUM(D4:D9)</f>
        <v>173315.99545454545</v>
      </c>
      <c r="E13" s="113"/>
      <c r="F13" s="112">
        <f t="shared" ref="F13:G13" si="5">SUM(F4:F9)</f>
        <v>165512.7582672493</v>
      </c>
      <c r="G13" s="112">
        <f t="shared" si="5"/>
        <v>164752.7582672493</v>
      </c>
      <c r="H13" s="114">
        <f>F13-D13</f>
        <v>-7803.2371872961521</v>
      </c>
      <c r="I13" s="115">
        <f>F13/D13</f>
        <v>0.95497682042080956</v>
      </c>
      <c r="J13" s="116">
        <f>F13-G13</f>
        <v>760</v>
      </c>
      <c r="K13" s="117">
        <f>F13/G13</f>
        <v>1.0046129728448443</v>
      </c>
      <c r="L13" s="4"/>
      <c r="M13" s="89" t="s">
        <v>48</v>
      </c>
      <c r="N13" s="118">
        <f>J13</f>
        <v>760</v>
      </c>
      <c r="O13" s="91"/>
      <c r="P13" s="13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29"/>
      <c r="C14" s="29"/>
      <c r="D14" s="29"/>
      <c r="E14" s="29"/>
      <c r="F14" s="4"/>
      <c r="G14" s="119"/>
      <c r="H14" s="119"/>
      <c r="I14" s="119"/>
      <c r="J14" s="119"/>
      <c r="K14" s="119"/>
      <c r="L14" s="13"/>
      <c r="M14" s="89" t="s">
        <v>49</v>
      </c>
      <c r="N14" s="118">
        <f>K13</f>
        <v>1.0046129728448443</v>
      </c>
      <c r="O14" s="91"/>
      <c r="P14" s="13"/>
      <c r="Q14" s="13"/>
      <c r="R14" s="13"/>
      <c r="S14" s="13"/>
      <c r="T14" s="13"/>
      <c r="U14" s="13"/>
      <c r="V14" s="13"/>
      <c r="W14" s="13"/>
      <c r="X14" s="33"/>
      <c r="Y14" s="4"/>
      <c r="Z14" s="4"/>
    </row>
    <row r="15" spans="1:26" ht="12.75" customHeight="1">
      <c r="A15" s="4"/>
      <c r="B15" s="4"/>
      <c r="C15" s="120"/>
      <c r="D15" s="121"/>
      <c r="E15" s="4"/>
      <c r="F15" s="29"/>
      <c r="G15" s="4"/>
      <c r="H15" s="4"/>
      <c r="I15" s="4"/>
      <c r="J15" s="4"/>
      <c r="K15" s="4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33"/>
      <c r="Y15" s="4"/>
      <c r="Z15" s="4"/>
    </row>
    <row r="16" spans="1:26" ht="12.75" customHeight="1">
      <c r="A16" s="4"/>
      <c r="B16" s="122" t="s">
        <v>50</v>
      </c>
      <c r="C16" s="120"/>
      <c r="D16" s="121"/>
      <c r="E16" s="4"/>
      <c r="F16" s="4"/>
      <c r="G16" s="4"/>
      <c r="H16" s="4"/>
      <c r="I16" s="4"/>
      <c r="J16" s="4"/>
      <c r="K16" s="4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4"/>
      <c r="Z16" s="4"/>
    </row>
    <row r="17" spans="1:26" ht="12.75" customHeight="1">
      <c r="A17" s="4"/>
      <c r="B17" s="188"/>
      <c r="C17" s="189"/>
      <c r="D17" s="189"/>
      <c r="E17" s="189"/>
      <c r="F17" s="189"/>
      <c r="G17" s="189"/>
      <c r="H17" s="189"/>
      <c r="I17" s="189"/>
      <c r="J17" s="189"/>
      <c r="K17" s="190"/>
      <c r="L17" s="13"/>
      <c r="M17" s="4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4"/>
      <c r="Z17" s="4"/>
    </row>
    <row r="18" spans="1:26" ht="12.75" customHeight="1">
      <c r="A18" s="4"/>
      <c r="B18" s="191"/>
      <c r="C18" s="165"/>
      <c r="D18" s="165"/>
      <c r="E18" s="165"/>
      <c r="F18" s="165"/>
      <c r="G18" s="165"/>
      <c r="H18" s="165"/>
      <c r="I18" s="165"/>
      <c r="J18" s="165"/>
      <c r="K18" s="19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4"/>
      <c r="Z18" s="4"/>
    </row>
    <row r="19" spans="1:26" ht="12.75" customHeight="1">
      <c r="A19" s="4"/>
      <c r="B19" s="191"/>
      <c r="C19" s="165"/>
      <c r="D19" s="165"/>
      <c r="E19" s="165"/>
      <c r="F19" s="165"/>
      <c r="G19" s="165"/>
      <c r="H19" s="165"/>
      <c r="I19" s="165"/>
      <c r="J19" s="165"/>
      <c r="K19" s="19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4"/>
      <c r="Z19" s="4"/>
    </row>
    <row r="20" spans="1:26" ht="26.25" customHeight="1">
      <c r="A20" s="4"/>
      <c r="B20" s="191"/>
      <c r="C20" s="165"/>
      <c r="D20" s="165"/>
      <c r="E20" s="165"/>
      <c r="F20" s="165"/>
      <c r="G20" s="165"/>
      <c r="H20" s="165"/>
      <c r="I20" s="165"/>
      <c r="J20" s="165"/>
      <c r="K20" s="19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33"/>
      <c r="Y20" s="4"/>
      <c r="Z20" s="4"/>
    </row>
    <row r="21" spans="1:26" ht="12.75" customHeight="1">
      <c r="A21" s="29"/>
      <c r="B21" s="191"/>
      <c r="C21" s="165"/>
      <c r="D21" s="165"/>
      <c r="E21" s="165"/>
      <c r="F21" s="165"/>
      <c r="G21" s="165"/>
      <c r="H21" s="165"/>
      <c r="I21" s="165"/>
      <c r="J21" s="165"/>
      <c r="K21" s="192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29"/>
      <c r="X21" s="29"/>
      <c r="Y21" s="29"/>
      <c r="Z21" s="29"/>
    </row>
    <row r="22" spans="1:26" ht="12.75" customHeight="1">
      <c r="A22" s="4"/>
      <c r="B22" s="191"/>
      <c r="C22" s="165"/>
      <c r="D22" s="165"/>
      <c r="E22" s="165"/>
      <c r="F22" s="165"/>
      <c r="G22" s="165"/>
      <c r="H22" s="165"/>
      <c r="I22" s="165"/>
      <c r="J22" s="165"/>
      <c r="K22" s="19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191"/>
      <c r="C23" s="165"/>
      <c r="D23" s="165"/>
      <c r="E23" s="165"/>
      <c r="F23" s="165"/>
      <c r="G23" s="165"/>
      <c r="H23" s="165"/>
      <c r="I23" s="165"/>
      <c r="J23" s="165"/>
      <c r="K23" s="19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191"/>
      <c r="C24" s="165"/>
      <c r="D24" s="165"/>
      <c r="E24" s="165"/>
      <c r="F24" s="165"/>
      <c r="G24" s="165"/>
      <c r="H24" s="165"/>
      <c r="I24" s="165"/>
      <c r="J24" s="165"/>
      <c r="K24" s="19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191"/>
      <c r="C25" s="165"/>
      <c r="D25" s="165"/>
      <c r="E25" s="165"/>
      <c r="F25" s="165"/>
      <c r="G25" s="165"/>
      <c r="H25" s="165"/>
      <c r="I25" s="165"/>
      <c r="J25" s="165"/>
      <c r="K25" s="19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191"/>
      <c r="C26" s="165"/>
      <c r="D26" s="165"/>
      <c r="E26" s="165"/>
      <c r="F26" s="165"/>
      <c r="G26" s="165"/>
      <c r="H26" s="165"/>
      <c r="I26" s="165"/>
      <c r="J26" s="165"/>
      <c r="K26" s="19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191"/>
      <c r="C27" s="165"/>
      <c r="D27" s="165"/>
      <c r="E27" s="165"/>
      <c r="F27" s="165"/>
      <c r="G27" s="165"/>
      <c r="H27" s="165"/>
      <c r="I27" s="165"/>
      <c r="J27" s="165"/>
      <c r="K27" s="19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191"/>
      <c r="C28" s="165"/>
      <c r="D28" s="165"/>
      <c r="E28" s="165"/>
      <c r="F28" s="165"/>
      <c r="G28" s="165"/>
      <c r="H28" s="165"/>
      <c r="I28" s="165"/>
      <c r="J28" s="165"/>
      <c r="K28" s="19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191"/>
      <c r="C29" s="165"/>
      <c r="D29" s="165"/>
      <c r="E29" s="165"/>
      <c r="F29" s="165"/>
      <c r="G29" s="165"/>
      <c r="H29" s="165"/>
      <c r="I29" s="165"/>
      <c r="J29" s="165"/>
      <c r="K29" s="19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191"/>
      <c r="C30" s="165"/>
      <c r="D30" s="165"/>
      <c r="E30" s="165"/>
      <c r="F30" s="165"/>
      <c r="G30" s="165"/>
      <c r="H30" s="165"/>
      <c r="I30" s="165"/>
      <c r="J30" s="165"/>
      <c r="K30" s="19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191"/>
      <c r="C31" s="165"/>
      <c r="D31" s="165"/>
      <c r="E31" s="165"/>
      <c r="F31" s="165"/>
      <c r="G31" s="165"/>
      <c r="H31" s="165"/>
      <c r="I31" s="165"/>
      <c r="J31" s="165"/>
      <c r="K31" s="192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191"/>
      <c r="C32" s="165"/>
      <c r="D32" s="165"/>
      <c r="E32" s="165"/>
      <c r="F32" s="165"/>
      <c r="G32" s="165"/>
      <c r="H32" s="165"/>
      <c r="I32" s="165"/>
      <c r="J32" s="165"/>
      <c r="K32" s="192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191"/>
      <c r="C33" s="165"/>
      <c r="D33" s="165"/>
      <c r="E33" s="165"/>
      <c r="F33" s="165"/>
      <c r="G33" s="165"/>
      <c r="H33" s="165"/>
      <c r="I33" s="165"/>
      <c r="J33" s="165"/>
      <c r="K33" s="192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180"/>
      <c r="C34" s="167"/>
      <c r="D34" s="167"/>
      <c r="E34" s="167"/>
      <c r="F34" s="167"/>
      <c r="G34" s="167"/>
      <c r="H34" s="167"/>
      <c r="I34" s="167"/>
      <c r="J34" s="167"/>
      <c r="K34" s="19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2:K2"/>
    <mergeCell ref="B17:K34"/>
  </mergeCells>
  <pageMargins left="0.25" right="0.25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0"/>
  <sheetViews>
    <sheetView tabSelected="1" topLeftCell="E1" workbookViewId="0">
      <selection activeCell="I19" sqref="I19"/>
    </sheetView>
  </sheetViews>
  <sheetFormatPr defaultColWidth="14.42578125" defaultRowHeight="15" customHeight="1"/>
  <cols>
    <col min="1" max="1" width="5.7109375" customWidth="1"/>
    <col min="2" max="2" width="34.42578125" customWidth="1"/>
    <col min="3" max="3" width="15.5703125" customWidth="1"/>
    <col min="4" max="4" width="13.5703125" customWidth="1"/>
    <col min="5" max="5" width="14.85546875" customWidth="1"/>
    <col min="6" max="6" width="18.85546875" customWidth="1"/>
    <col min="7" max="7" width="9" customWidth="1"/>
    <col min="8" max="8" width="23" customWidth="1"/>
    <col min="9" max="9" width="19" customWidth="1"/>
    <col min="10" max="10" width="70.140625" customWidth="1"/>
    <col min="11" max="11" width="11.140625" customWidth="1"/>
    <col min="12" max="15" width="11.42578125" customWidth="1"/>
    <col min="16" max="26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/>
      <c r="B2" s="194" t="s">
        <v>51</v>
      </c>
      <c r="C2" s="167"/>
      <c r="D2" s="167"/>
      <c r="E2" s="167"/>
      <c r="F2" s="16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5" customHeight="1">
      <c r="A3" s="4"/>
      <c r="B3" s="56" t="s">
        <v>31</v>
      </c>
      <c r="C3" s="123" t="s">
        <v>52</v>
      </c>
      <c r="D3" s="124" t="s">
        <v>53</v>
      </c>
      <c r="E3" s="125" t="s">
        <v>54</v>
      </c>
      <c r="F3" s="125" t="s">
        <v>55</v>
      </c>
      <c r="G3" s="125" t="s">
        <v>56</v>
      </c>
      <c r="H3" s="126" t="s">
        <v>57</v>
      </c>
      <c r="I3" s="127" t="s">
        <v>58</v>
      </c>
      <c r="J3" s="128" t="s">
        <v>59</v>
      </c>
      <c r="K3" s="66"/>
      <c r="L3" s="66"/>
      <c r="M3" s="6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129" t="str">
        <f>'3-IndicadoresEV'!B4</f>
        <v>Coordinación General del Proyecto</v>
      </c>
      <c r="C4" s="130">
        <f>'1- EvolucionPresupuesto'!C5</f>
        <v>53360</v>
      </c>
      <c r="D4" s="131">
        <f>'3-IndicadoresEV'!E4</f>
        <v>0.59909909909909909</v>
      </c>
      <c r="E4" s="132">
        <f>'3-IndicadoresEV'!F4</f>
        <v>31967.927927927929</v>
      </c>
      <c r="F4" s="133">
        <f>'3-IndicadoresEV'!G4</f>
        <v>32607.927927927929</v>
      </c>
      <c r="G4" s="134">
        <f>'3-IndicadoresEV'!K4</f>
        <v>0.98037287124117278</v>
      </c>
      <c r="H4" s="135">
        <f t="shared" ref="H4:H8" si="0">C4-E4</f>
        <v>21392.072072072071</v>
      </c>
      <c r="I4" s="136">
        <f t="shared" ref="I4:I11" si="1">F4+H4</f>
        <v>54000</v>
      </c>
      <c r="J4" s="137"/>
      <c r="K4" s="13"/>
      <c r="L4" s="13"/>
      <c r="M4" s="13"/>
      <c r="N4" s="13"/>
      <c r="O4" s="3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38" t="str">
        <f>'3-IndicadoresEV'!B5</f>
        <v>Fase I - Desarrollo Aplicacion (1)</v>
      </c>
      <c r="C5" s="139">
        <f>'1- EvolucionPresupuesto'!C6</f>
        <v>96000</v>
      </c>
      <c r="D5" s="140">
        <f>'3-IndicadoresEV'!E5</f>
        <v>0.94011976047904189</v>
      </c>
      <c r="E5" s="141">
        <f>'3-IndicadoresEV'!F5</f>
        <v>90251.497005988014</v>
      </c>
      <c r="F5" s="142">
        <f>'3-IndicadoresEV'!G5</f>
        <v>92451.497005988014</v>
      </c>
      <c r="G5" s="143">
        <f>'3-IndicadoresEV'!K5</f>
        <v>0.97620373848724695</v>
      </c>
      <c r="H5" s="135">
        <f t="shared" si="0"/>
        <v>5748.5029940119857</v>
      </c>
      <c r="I5" s="144">
        <f t="shared" si="1"/>
        <v>98200</v>
      </c>
      <c r="J5" s="145"/>
      <c r="K5" s="13"/>
      <c r="L5" s="13"/>
      <c r="M5" s="13"/>
      <c r="N5" s="13"/>
      <c r="O5" s="3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38" t="str">
        <f>'3-IndicadoresEV'!B6</f>
        <v>Fase II - Integración Domótica</v>
      </c>
      <c r="C6" s="139">
        <f>'1- EvolucionPresupuesto'!C7</f>
        <v>30000</v>
      </c>
      <c r="D6" s="140">
        <f>'3-IndicadoresEV'!E6</f>
        <v>0.7</v>
      </c>
      <c r="E6" s="141">
        <f>'3-IndicadoresEV'!F6</f>
        <v>21000</v>
      </c>
      <c r="F6" s="142">
        <f>'3-IndicadoresEV'!G6</f>
        <v>21000</v>
      </c>
      <c r="G6" s="143">
        <f>'3-IndicadoresEV'!K6</f>
        <v>1</v>
      </c>
      <c r="H6" s="135">
        <f t="shared" si="0"/>
        <v>9000</v>
      </c>
      <c r="I6" s="144">
        <f t="shared" si="1"/>
        <v>30000</v>
      </c>
      <c r="J6" s="145"/>
      <c r="K6" s="13"/>
      <c r="L6" s="13"/>
      <c r="M6" s="13"/>
      <c r="N6" s="13"/>
      <c r="O6" s="3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138" t="str">
        <f>'3-IndicadoresEV'!B7</f>
        <v>Fase II - Integración ICS</v>
      </c>
      <c r="C7" s="139">
        <f>'1- EvolucionPresupuesto'!C8</f>
        <v>30400</v>
      </c>
      <c r="D7" s="140">
        <f>'3-IndicadoresEV'!E7</f>
        <v>0.73333333333333328</v>
      </c>
      <c r="E7" s="141">
        <f>'3-IndicadoresEV'!F7</f>
        <v>22293.333333333332</v>
      </c>
      <c r="F7" s="142">
        <f>'3-IndicadoresEV'!G7</f>
        <v>18693.333333333332</v>
      </c>
      <c r="G7" s="143">
        <f>'3-IndicadoresEV'!K7</f>
        <v>1.1925820256776034</v>
      </c>
      <c r="H7" s="135">
        <f t="shared" si="0"/>
        <v>8106.6666666666679</v>
      </c>
      <c r="I7" s="144">
        <f t="shared" si="1"/>
        <v>26800</v>
      </c>
      <c r="J7" s="145"/>
      <c r="K7" s="13"/>
      <c r="L7" s="13"/>
      <c r="M7" s="13"/>
      <c r="N7" s="13"/>
      <c r="O7" s="3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/>
      <c r="B8" s="138" t="str">
        <f>'3-IndicadoresEV'!B8</f>
        <v>Fasse III - Obras Planta 1 y 2</v>
      </c>
      <c r="C8" s="146">
        <f>'1- EvolucionPresupuesto'!C9</f>
        <v>23120</v>
      </c>
      <c r="D8" s="147">
        <f>'3-IndicadoresEV'!E8</f>
        <v>0</v>
      </c>
      <c r="E8" s="148">
        <f>'3-IndicadoresEV'!F8</f>
        <v>0</v>
      </c>
      <c r="F8" s="142">
        <f>'3-IndicadoresEV'!G8</f>
        <v>0</v>
      </c>
      <c r="G8" s="143">
        <f>'3-IndicadoresEV'!K8</f>
        <v>0</v>
      </c>
      <c r="H8" s="135">
        <f t="shared" si="0"/>
        <v>23120</v>
      </c>
      <c r="I8" s="144">
        <f t="shared" si="1"/>
        <v>23120</v>
      </c>
      <c r="J8" s="149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/>
      <c r="B9" s="138" t="str">
        <f>'3-IndicadoresEV'!B9</f>
        <v>Fase III - Obras Planta 3</v>
      </c>
      <c r="C9" s="146">
        <f>'1- EvolucionPresupuesto'!C10</f>
        <v>23120</v>
      </c>
      <c r="D9" s="147">
        <f>'3-IndicadoresEV'!E9</f>
        <v>0</v>
      </c>
      <c r="E9" s="148">
        <f>'3-IndicadoresEV'!F9</f>
        <v>0</v>
      </c>
      <c r="F9" s="142">
        <f>'3-IndicadoresEV'!G9</f>
        <v>0</v>
      </c>
      <c r="G9" s="143">
        <f>'3-IndicadoresEV'!K9</f>
        <v>0</v>
      </c>
      <c r="H9" s="135">
        <f>C9-E9</f>
        <v>23120</v>
      </c>
      <c r="I9" s="144">
        <f t="shared" si="1"/>
        <v>23120</v>
      </c>
      <c r="J9" s="149" t="s">
        <v>70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B10" s="138" t="str">
        <f>'3-IndicadoresEV'!B10</f>
        <v>Fase III -  Infraestructura de RED</v>
      </c>
      <c r="C10" s="139">
        <f>'1- EvolucionPresupuesto'!C11</f>
        <v>75000</v>
      </c>
      <c r="D10" s="140">
        <f>'3-IndicadoresEV'!E10</f>
        <v>0</v>
      </c>
      <c r="E10" s="141">
        <f>'3-IndicadoresEV'!F10</f>
        <v>0</v>
      </c>
      <c r="F10" s="142">
        <f>'3-IndicadoresEV'!G10</f>
        <v>0</v>
      </c>
      <c r="G10" s="143">
        <f>'3-IndicadoresEV'!K10</f>
        <v>0</v>
      </c>
      <c r="H10" s="135">
        <f>C10-E10+4000</f>
        <v>79000</v>
      </c>
      <c r="I10" s="144">
        <f t="shared" si="1"/>
        <v>79000</v>
      </c>
      <c r="J10" s="149" t="s">
        <v>60</v>
      </c>
      <c r="K10" s="13"/>
      <c r="L10" s="13"/>
      <c r="M10" s="13"/>
      <c r="N10" s="13"/>
      <c r="O10" s="33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/>
      <c r="B11" s="138" t="str">
        <f>'3-IndicadoresEV'!B11</f>
        <v>Fase IV - Puesta en Producción</v>
      </c>
      <c r="C11" s="139">
        <f>'1- EvolucionPresupuesto'!C12</f>
        <v>42000</v>
      </c>
      <c r="D11" s="140">
        <f>'3-IndicadoresEV'!E11</f>
        <v>0</v>
      </c>
      <c r="E11" s="141">
        <f>'3-IndicadoresEV'!F11</f>
        <v>0</v>
      </c>
      <c r="F11" s="150">
        <f>'3-IndicadoresEV'!G11</f>
        <v>0</v>
      </c>
      <c r="G11" s="143">
        <f>'3-IndicadoresEV'!K11</f>
        <v>0</v>
      </c>
      <c r="H11" s="135">
        <f>(C11-E11)*(1-0.3)</f>
        <v>29399.999999999996</v>
      </c>
      <c r="I11" s="144">
        <f t="shared" si="1"/>
        <v>29399.999999999996</v>
      </c>
      <c r="J11" s="149" t="s">
        <v>61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151"/>
      <c r="C12" s="152"/>
      <c r="D12" s="153"/>
      <c r="E12" s="154"/>
      <c r="F12" s="155"/>
      <c r="G12" s="156"/>
      <c r="H12" s="157"/>
      <c r="I12" s="144"/>
      <c r="J12" s="158"/>
      <c r="K12" s="13"/>
      <c r="L12" s="13"/>
      <c r="M12" s="13"/>
      <c r="N12" s="13"/>
      <c r="O12" s="33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>
      <c r="A13" s="4"/>
      <c r="B13" s="159" t="s">
        <v>18</v>
      </c>
      <c r="C13" s="160">
        <f>SUM(C4:C12)</f>
        <v>373000</v>
      </c>
      <c r="D13" s="160"/>
      <c r="E13" s="161"/>
      <c r="F13" s="26"/>
      <c r="G13" s="26"/>
      <c r="H13" s="159" t="s">
        <v>62</v>
      </c>
      <c r="I13" s="162">
        <f>SUM(I4:I12)</f>
        <v>363640</v>
      </c>
      <c r="J13" s="13"/>
      <c r="K13" s="13"/>
      <c r="L13" s="13"/>
      <c r="M13" s="13"/>
      <c r="N13" s="13"/>
      <c r="O13" s="3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29"/>
      <c r="B14" s="29"/>
      <c r="C14" s="29"/>
      <c r="D14" s="119"/>
      <c r="E14" s="119"/>
      <c r="F14" s="119"/>
      <c r="G14" s="119"/>
      <c r="H14" s="119"/>
      <c r="I14" s="119"/>
      <c r="J14" s="119">
        <f>35/50</f>
        <v>0.7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2.75" customHeight="1">
      <c r="A15" s="4"/>
      <c r="B15" s="4"/>
      <c r="C15" s="120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4"/>
      <c r="B16" s="67"/>
      <c r="C16" s="24"/>
      <c r="D16" s="67"/>
      <c r="E16" s="163" t="s">
        <v>63</v>
      </c>
      <c r="F16" s="67" t="s">
        <v>64</v>
      </c>
      <c r="G16" s="6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67"/>
      <c r="C17" s="24"/>
      <c r="D17" s="67"/>
      <c r="E17" s="67"/>
      <c r="F17" s="67" t="s">
        <v>65</v>
      </c>
      <c r="G17" s="6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67"/>
      <c r="C18" s="67"/>
      <c r="D18" s="67"/>
      <c r="E18" s="67"/>
      <c r="F18" s="67" t="s">
        <v>66</v>
      </c>
      <c r="G18" s="6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67"/>
      <c r="C19" s="67"/>
      <c r="D19" s="67"/>
      <c r="E19" s="67"/>
      <c r="F19" s="67" t="s">
        <v>67</v>
      </c>
      <c r="G19" s="6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122" t="s">
        <v>68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188"/>
      <c r="C22" s="189"/>
      <c r="D22" s="189"/>
      <c r="E22" s="189"/>
      <c r="F22" s="189"/>
      <c r="G22" s="19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191"/>
      <c r="C23" s="165"/>
      <c r="D23" s="165"/>
      <c r="E23" s="165"/>
      <c r="F23" s="165"/>
      <c r="G23" s="19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191"/>
      <c r="C24" s="165"/>
      <c r="D24" s="165"/>
      <c r="E24" s="165"/>
      <c r="F24" s="165"/>
      <c r="G24" s="19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191"/>
      <c r="C25" s="165"/>
      <c r="D25" s="165"/>
      <c r="E25" s="165"/>
      <c r="F25" s="165"/>
      <c r="G25" s="19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191"/>
      <c r="C26" s="165"/>
      <c r="D26" s="165"/>
      <c r="E26" s="165"/>
      <c r="F26" s="165"/>
      <c r="G26" s="19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191"/>
      <c r="C27" s="165"/>
      <c r="D27" s="165"/>
      <c r="E27" s="165"/>
      <c r="F27" s="165"/>
      <c r="G27" s="19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191"/>
      <c r="C28" s="165"/>
      <c r="D28" s="165"/>
      <c r="E28" s="165"/>
      <c r="F28" s="165"/>
      <c r="G28" s="19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191"/>
      <c r="C29" s="165"/>
      <c r="D29" s="165"/>
      <c r="E29" s="165"/>
      <c r="F29" s="165"/>
      <c r="G29" s="19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191"/>
      <c r="C30" s="165"/>
      <c r="D30" s="165"/>
      <c r="E30" s="165"/>
      <c r="F30" s="165"/>
      <c r="G30" s="19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191"/>
      <c r="C31" s="165"/>
      <c r="D31" s="165"/>
      <c r="E31" s="165"/>
      <c r="F31" s="165"/>
      <c r="G31" s="19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191"/>
      <c r="C32" s="165"/>
      <c r="D32" s="165"/>
      <c r="E32" s="165"/>
      <c r="F32" s="165"/>
      <c r="G32" s="19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191"/>
      <c r="C33" s="165"/>
      <c r="D33" s="165"/>
      <c r="E33" s="165"/>
      <c r="F33" s="165"/>
      <c r="G33" s="19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191"/>
      <c r="C34" s="165"/>
      <c r="D34" s="165"/>
      <c r="E34" s="165"/>
      <c r="F34" s="165"/>
      <c r="G34" s="19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191"/>
      <c r="C35" s="165"/>
      <c r="D35" s="165"/>
      <c r="E35" s="165"/>
      <c r="F35" s="165"/>
      <c r="G35" s="19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191"/>
      <c r="C36" s="165"/>
      <c r="D36" s="165"/>
      <c r="E36" s="165"/>
      <c r="F36" s="165"/>
      <c r="G36" s="19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191"/>
      <c r="C37" s="165"/>
      <c r="D37" s="165"/>
      <c r="E37" s="165"/>
      <c r="F37" s="165"/>
      <c r="G37" s="19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180"/>
      <c r="C38" s="167"/>
      <c r="D38" s="167"/>
      <c r="E38" s="167"/>
      <c r="F38" s="167"/>
      <c r="G38" s="19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2:F2"/>
    <mergeCell ref="B22:G38"/>
  </mergeCell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 EvolucionPresupuesto</vt:lpstr>
      <vt:lpstr>2-PlantillaSeguimiento</vt:lpstr>
      <vt:lpstr>3-IndicadoresEV</vt:lpstr>
      <vt:lpstr>4-NuevaEstimacionCostes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Dell1</dc:creator>
  <cp:lastModifiedBy>Dell1</cp:lastModifiedBy>
  <dcterms:created xsi:type="dcterms:W3CDTF">2020-11-06T19:13:15Z</dcterms:created>
  <dcterms:modified xsi:type="dcterms:W3CDTF">2023-01-02T17:09:22Z</dcterms:modified>
</cp:coreProperties>
</file>