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zlecenia\Patrycja Michalik\"/>
    </mc:Choice>
  </mc:AlternateContent>
  <bookViews>
    <workbookView xWindow="0" yWindow="0" windowWidth="27840" windowHeight="12960" tabRatio="638" firstSheet="4" activeTab="12"/>
  </bookViews>
  <sheets>
    <sheet name="Wstęp" sheetId="1" r:id="rId1"/>
    <sheet name="Zmienne" sheetId="2" r:id="rId2"/>
    <sheet name="Fabryki" sheetId="3" r:id="rId3"/>
    <sheet name="Kadra_pracownicza" sheetId="4" r:id="rId4"/>
    <sheet name="Oferta" sheetId="6" r:id="rId5"/>
    <sheet name="Zamówienia" sheetId="5" r:id="rId6"/>
    <sheet name="Koszty_produkcji" sheetId="7" r:id="rId7"/>
    <sheet name="Koszty_utrzymania_fabryk" sheetId="8" r:id="rId8"/>
    <sheet name="Podsumowanie" sheetId="9" r:id="rId9"/>
    <sheet name="Sheet2" sheetId="11" state="hidden" r:id="rId10"/>
    <sheet name="Analiza_kosztów_utrzymania_fabr" sheetId="10" r:id="rId11"/>
    <sheet name="Sheet4" sheetId="13" state="hidden" r:id="rId12"/>
    <sheet name="Analiza_zamówień" sheetId="12" r:id="rId13"/>
  </sheets>
  <definedNames>
    <definedName name="ListaFabryk">Fabryki[MIEJSCOWOŚĆ]</definedName>
    <definedName name="ListaModeli">Oferta[MODEL]</definedName>
  </definedNames>
  <calcPr calcId="152511"/>
  <pivotCaches>
    <pivotCache cacheId="0" r:id="rId14"/>
    <pivotCache cacheId="1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2" l="1"/>
  <c r="B26" i="12"/>
  <c r="B25" i="12"/>
  <c r="B24" i="12"/>
  <c r="B23" i="12"/>
  <c r="B22" i="12"/>
  <c r="F20" i="9" l="1" a="1"/>
  <c r="F20" i="9" s="1"/>
  <c r="G20" i="9" a="1"/>
  <c r="G20" i="9" s="1"/>
  <c r="H20" i="9" a="1"/>
  <c r="H20" i="9" s="1"/>
  <c r="I20" i="9" a="1"/>
  <c r="I20" i="9" s="1"/>
  <c r="E20" i="9" a="1"/>
  <c r="E20" i="9" s="1"/>
  <c r="F19" i="9" a="1"/>
  <c r="F19" i="9" s="1"/>
  <c r="G19" i="9" a="1"/>
  <c r="G19" i="9" s="1"/>
  <c r="H19" i="9" a="1"/>
  <c r="H19" i="9" s="1"/>
  <c r="I19" i="9" a="1"/>
  <c r="I19" i="9" s="1"/>
  <c r="E19" i="9" a="1"/>
  <c r="E19" i="9" s="1"/>
  <c r="F18" i="9"/>
  <c r="G18" i="9"/>
  <c r="H18" i="9"/>
  <c r="I18" i="9"/>
  <c r="E18" i="9"/>
  <c r="F24" i="9"/>
  <c r="G24" i="9"/>
  <c r="H24" i="9"/>
  <c r="I24" i="9"/>
  <c r="E24" i="9"/>
  <c r="F23" i="9"/>
  <c r="G23" i="9"/>
  <c r="H23" i="9"/>
  <c r="I23" i="9"/>
  <c r="E23" i="9"/>
  <c r="F22" i="9"/>
  <c r="G22" i="9"/>
  <c r="H22" i="9"/>
  <c r="I22" i="9"/>
  <c r="E22" i="9"/>
  <c r="F21" i="9"/>
  <c r="G21" i="9"/>
  <c r="H21" i="9"/>
  <c r="I21" i="9"/>
  <c r="E21" i="9"/>
  <c r="F15" i="9"/>
  <c r="G15" i="9"/>
  <c r="H15" i="9"/>
  <c r="I15" i="9"/>
  <c r="E15" i="9"/>
  <c r="F11" i="9"/>
  <c r="G11" i="9"/>
  <c r="H11" i="9"/>
  <c r="I11" i="9"/>
  <c r="E11" i="9"/>
  <c r="G13" i="9"/>
  <c r="H13" i="9"/>
  <c r="I13" i="9"/>
  <c r="F13" i="9"/>
  <c r="E13" i="9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3" i="5"/>
  <c r="L16" i="5"/>
  <c r="K16" i="5"/>
  <c r="L15" i="5"/>
  <c r="K15" i="5"/>
  <c r="L14" i="5"/>
  <c r="K14" i="5"/>
  <c r="L13" i="5"/>
  <c r="K13" i="5"/>
  <c r="L12" i="5"/>
  <c r="K12" i="5"/>
  <c r="L11" i="5"/>
  <c r="K11" i="5"/>
  <c r="L10" i="5"/>
  <c r="K10" i="5"/>
  <c r="L9" i="5"/>
  <c r="K9" i="5"/>
  <c r="D5" i="3" s="1"/>
  <c r="E13" i="8"/>
  <c r="E12" i="8"/>
  <c r="E11" i="8"/>
  <c r="E10" i="8"/>
  <c r="E9" i="8"/>
  <c r="E8" i="8"/>
  <c r="E2" i="8"/>
  <c r="E3" i="8"/>
  <c r="E4" i="8"/>
  <c r="E5" i="8"/>
  <c r="E6" i="8"/>
  <c r="E7" i="8"/>
  <c r="L2" i="5"/>
  <c r="L3" i="5"/>
  <c r="L4" i="5"/>
  <c r="L5" i="5"/>
  <c r="L6" i="5"/>
  <c r="L7" i="5"/>
  <c r="L8" i="5"/>
  <c r="M2" i="7"/>
  <c r="M3" i="7"/>
  <c r="M4" i="7"/>
  <c r="L4" i="7"/>
  <c r="L2" i="7"/>
  <c r="L3" i="7"/>
  <c r="K8" i="5"/>
  <c r="K7" i="5"/>
  <c r="K6" i="5"/>
  <c r="D2" i="3"/>
  <c r="D3" i="3"/>
  <c r="C2" i="3"/>
  <c r="C3" i="3"/>
  <c r="C4" i="3"/>
  <c r="C5" i="3"/>
  <c r="C6" i="3"/>
  <c r="K5" i="5"/>
  <c r="K4" i="5"/>
  <c r="K3" i="5"/>
  <c r="K2" i="5"/>
  <c r="B2" i="3"/>
  <c r="B3" i="3"/>
  <c r="B4" i="3"/>
  <c r="B5" i="3"/>
  <c r="B6" i="3"/>
  <c r="F10" i="4"/>
  <c r="I10" i="4"/>
  <c r="F9" i="4"/>
  <c r="I9" i="4"/>
  <c r="J9" i="4" s="1"/>
  <c r="F8" i="4"/>
  <c r="I8" i="4"/>
  <c r="F7" i="4"/>
  <c r="I7" i="4"/>
  <c r="J7" i="4" s="1"/>
  <c r="F6" i="4"/>
  <c r="H16" i="9" s="1"/>
  <c r="H17" i="9" s="1"/>
  <c r="I6" i="4"/>
  <c r="F5" i="4"/>
  <c r="I5" i="4"/>
  <c r="J5" i="4" s="1"/>
  <c r="F4" i="4"/>
  <c r="I4" i="4"/>
  <c r="I2" i="4"/>
  <c r="I3" i="4"/>
  <c r="F3" i="4"/>
  <c r="G16" i="9" s="1"/>
  <c r="G17" i="9" s="1"/>
  <c r="F2" i="4"/>
  <c r="I16" i="9" l="1"/>
  <c r="I17" i="9" s="1"/>
  <c r="F16" i="9"/>
  <c r="F17" i="9" s="1"/>
  <c r="E16" i="9"/>
  <c r="E17" i="9" s="1"/>
  <c r="J2" i="4"/>
  <c r="J4" i="4"/>
  <c r="J6" i="4"/>
  <c r="E6" i="3" s="1"/>
  <c r="H12" i="9" s="1"/>
  <c r="J8" i="4"/>
  <c r="E3" i="3" s="1"/>
  <c r="F12" i="9" s="1"/>
  <c r="J10" i="4"/>
  <c r="E5" i="3" s="1"/>
  <c r="I12" i="9" s="1"/>
  <c r="J3" i="4"/>
  <c r="E4" i="3" s="1"/>
  <c r="G12" i="9" s="1"/>
  <c r="D6" i="3"/>
  <c r="D4" i="3"/>
  <c r="E2" i="3" l="1"/>
  <c r="E12" i="9" s="1"/>
  <c r="F6" i="3"/>
  <c r="H14" i="9" s="1"/>
  <c r="F4" i="3"/>
  <c r="G14" i="9" s="1"/>
  <c r="F5" i="3"/>
  <c r="I14" i="9" s="1"/>
  <c r="F3" i="3"/>
  <c r="F14" i="9" s="1"/>
  <c r="F2" i="3" l="1"/>
  <c r="E14" i="9" s="1"/>
</calcChain>
</file>

<file path=xl/sharedStrings.xml><?xml version="1.0" encoding="utf-8"?>
<sst xmlns="http://schemas.openxmlformats.org/spreadsheetml/2006/main" count="457" uniqueCount="114">
  <si>
    <t>Emerytalna</t>
  </si>
  <si>
    <t>Rentowa</t>
  </si>
  <si>
    <t>Wypadkowa</t>
  </si>
  <si>
    <t>FP</t>
  </si>
  <si>
    <t>FGŚP</t>
  </si>
  <si>
    <t>CZĘŚĆ</t>
  </si>
  <si>
    <t>TYP</t>
  </si>
  <si>
    <t>MIEJSCOWOŚĆ</t>
  </si>
  <si>
    <t>IL. SPRZEDANYCH AUT</t>
  </si>
  <si>
    <t>PRZYCHÓD</t>
  </si>
  <si>
    <t>KOSZTY</t>
  </si>
  <si>
    <t>DOCHÓD</t>
  </si>
  <si>
    <t>Radom</t>
  </si>
  <si>
    <t>Katowice</t>
  </si>
  <si>
    <t>Łódź</t>
  </si>
  <si>
    <t>Szczecin</t>
  </si>
  <si>
    <t>Toruń</t>
  </si>
  <si>
    <t>IMIĘ</t>
  </si>
  <si>
    <t>NAZWISKO</t>
  </si>
  <si>
    <t>FABRYKA</t>
  </si>
  <si>
    <t>STANOWISKO</t>
  </si>
  <si>
    <t>PENSJA BRUTTO</t>
  </si>
  <si>
    <t>DATA ZATRUDNIENIA</t>
  </si>
  <si>
    <t>DATA ZWOLNIENIA</t>
  </si>
  <si>
    <t>Kacper</t>
  </si>
  <si>
    <t>Śmera</t>
  </si>
  <si>
    <t>spawacz</t>
  </si>
  <si>
    <t>OKRES PRACY(MIES)</t>
  </si>
  <si>
    <t>Michał</t>
  </si>
  <si>
    <t>Bącki</t>
  </si>
  <si>
    <t>Karolina</t>
  </si>
  <si>
    <t>Ącka</t>
  </si>
  <si>
    <t>sekretarka</t>
  </si>
  <si>
    <t>Monika</t>
  </si>
  <si>
    <t>Kacperska</t>
  </si>
  <si>
    <t>montażysta</t>
  </si>
  <si>
    <t>Piotr</t>
  </si>
  <si>
    <t>Pechowiec</t>
  </si>
  <si>
    <t>Kamil</t>
  </si>
  <si>
    <t>Szmera</t>
  </si>
  <si>
    <t>tester</t>
  </si>
  <si>
    <t>Kamila</t>
  </si>
  <si>
    <t>Michalina</t>
  </si>
  <si>
    <t>Lącka</t>
  </si>
  <si>
    <t>księgowa</t>
  </si>
  <si>
    <t>Kotlet</t>
  </si>
  <si>
    <t>kierownik produkcji</t>
  </si>
  <si>
    <t>ID</t>
  </si>
  <si>
    <t>MODEL</t>
  </si>
  <si>
    <t>CENA</t>
  </si>
  <si>
    <t>CENA BRUTTO</t>
  </si>
  <si>
    <t>PODSTAWA</t>
  </si>
  <si>
    <t>SILNIK</t>
  </si>
  <si>
    <t>PALIWO</t>
  </si>
  <si>
    <t>KLIMATYZACJA</t>
  </si>
  <si>
    <t>PODGRZEWANE FOTELE</t>
  </si>
  <si>
    <t>4x4</t>
  </si>
  <si>
    <t>CZUJNIKI COFANIA</t>
  </si>
  <si>
    <t>REJESTRATOR</t>
  </si>
  <si>
    <t>FAST</t>
  </si>
  <si>
    <t>osobowy</t>
  </si>
  <si>
    <t>benzyna</t>
  </si>
  <si>
    <t>POJ. SILNIKA</t>
  </si>
  <si>
    <t>PODATEK</t>
  </si>
  <si>
    <t>VAT</t>
  </si>
  <si>
    <t>SOLID</t>
  </si>
  <si>
    <t>dostawczy</t>
  </si>
  <si>
    <t>diesel</t>
  </si>
  <si>
    <t>CASUAL</t>
  </si>
  <si>
    <t>TAK</t>
  </si>
  <si>
    <t>NIE</t>
  </si>
  <si>
    <t>WIELKOŚĆ KADRY PRAC.</t>
  </si>
  <si>
    <t>ZAWIESZENIE</t>
  </si>
  <si>
    <t>MULTIMEDIA</t>
  </si>
  <si>
    <t>ELEKTRONIKA</t>
  </si>
  <si>
    <t>NADWOZIE</t>
  </si>
  <si>
    <t>KLIMATYZACJA(OP.)</t>
  </si>
  <si>
    <t>PODGRZEWANE FOTELE(OP.)</t>
  </si>
  <si>
    <t>4x4(OP.)</t>
  </si>
  <si>
    <t>CZUJNIKI COFANIA(OP.)</t>
  </si>
  <si>
    <t>REJESTRATOR(OP.)</t>
  </si>
  <si>
    <t>SUMA(OP.)</t>
  </si>
  <si>
    <t>KOSZT PRODUKCJI</t>
  </si>
  <si>
    <t>DATA PRZYJĘCIA ZLEC.</t>
  </si>
  <si>
    <t>DATA WYDANIA</t>
  </si>
  <si>
    <t>TYTUŁ</t>
  </si>
  <si>
    <t>KOSZT</t>
  </si>
  <si>
    <t>opłata za prąd</t>
  </si>
  <si>
    <t>ILOŚĆ</t>
  </si>
  <si>
    <t>MIASTO</t>
  </si>
  <si>
    <t>DATA</t>
  </si>
  <si>
    <t>przebudowa</t>
  </si>
  <si>
    <t>CENA ZA SZT.</t>
  </si>
  <si>
    <t>inwentaryzacja</t>
  </si>
  <si>
    <t>woda</t>
  </si>
  <si>
    <t>KOSZT PRACOWNIKA(MIES.)</t>
  </si>
  <si>
    <t>DOTYCHCZASOWY KOSZT</t>
  </si>
  <si>
    <t>DOCHODOWY</t>
  </si>
  <si>
    <t>MIESIĘCZNE KOSZTY ZA KADRĘ</t>
  </si>
  <si>
    <t>WLK. KADRY</t>
  </si>
  <si>
    <t>-&gt;  SOLID</t>
  </si>
  <si>
    <t>-&gt;  FAST</t>
  </si>
  <si>
    <t>-&gt;  CASUAL</t>
  </si>
  <si>
    <t>-&gt; składki</t>
  </si>
  <si>
    <t>ŚREDNIA PENSJA (BRUTTO)</t>
  </si>
  <si>
    <t>NAJWYŻSZA PENSJA (BRUTTO)</t>
  </si>
  <si>
    <t>NAJNIŻSZA PENSJA (BRUTTO)</t>
  </si>
  <si>
    <t>-&gt; koszty utrzymania fabryki</t>
  </si>
  <si>
    <t>FABRYKI</t>
  </si>
  <si>
    <t>.</t>
  </si>
  <si>
    <t>SZUMA KOSZTÓW</t>
  </si>
  <si>
    <t>RAZEM</t>
  </si>
  <si>
    <t>SUMA KOSZTÓW</t>
  </si>
  <si>
    <t>OPCJA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</si>
</sst>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zł&quot;_-;\-* #,##0.00\ &quot;zł&quot;_-;_-* &quot;-&quot;??\ &quot;zł&quot;_-;_-@_-"/>
    <numFmt numFmtId="164" formatCode="[$-F800]dddd\,\ mmmm\ dd\,\ yyyy"/>
    <numFmt numFmtId="165" formatCode="#,##0.00\ &quot;zł&quot;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C00000"/>
      <name val="Calibri"/>
      <family val="2"/>
      <charset val="238"/>
      <scheme val="minor"/>
    </font>
    <font>
      <sz val="14"/>
      <color rgb="FFC0000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20"/>
      <color theme="4" tint="-0.49998474074526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1" applyNumberFormat="0" applyFill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9" fontId="2" fillId="0" borderId="0" xfId="0" applyNumberFormat="1" applyFont="1"/>
    <xf numFmtId="0" fontId="4" fillId="0" borderId="0" xfId="0" applyFont="1" applyFill="1"/>
    <xf numFmtId="0" fontId="3" fillId="4" borderId="0" xfId="0" applyFont="1" applyFill="1"/>
    <xf numFmtId="10" fontId="3" fillId="4" borderId="0" xfId="0" quotePrefix="1" applyNumberFormat="1" applyFont="1" applyFill="1"/>
    <xf numFmtId="0" fontId="2" fillId="4" borderId="0" xfId="0" applyFont="1" applyFill="1"/>
    <xf numFmtId="9" fontId="4" fillId="0" borderId="0" xfId="0" applyNumberFormat="1" applyFont="1" applyFill="1"/>
    <xf numFmtId="0" fontId="5" fillId="0" borderId="0" xfId="0" applyFont="1"/>
    <xf numFmtId="0" fontId="6" fillId="0" borderId="0" xfId="0" applyFont="1"/>
    <xf numFmtId="165" fontId="7" fillId="0" borderId="0" xfId="0" applyNumberFormat="1" applyFont="1"/>
    <xf numFmtId="0" fontId="8" fillId="0" borderId="0" xfId="0" quotePrefix="1" applyFont="1"/>
    <xf numFmtId="165" fontId="8" fillId="0" borderId="0" xfId="0" applyNumberFormat="1" applyFont="1"/>
    <xf numFmtId="0" fontId="7" fillId="0" borderId="0" xfId="0" applyFont="1"/>
    <xf numFmtId="44" fontId="7" fillId="0" borderId="0" xfId="0" applyNumberFormat="1" applyFont="1"/>
    <xf numFmtId="44" fontId="2" fillId="0" borderId="0" xfId="0" applyNumberFormat="1" applyFont="1"/>
    <xf numFmtId="0" fontId="6" fillId="0" borderId="0" xfId="0" quotePrefix="1" applyFont="1"/>
    <xf numFmtId="0" fontId="8" fillId="0" borderId="0" xfId="0" applyFont="1"/>
    <xf numFmtId="0" fontId="0" fillId="2" borderId="0" xfId="0" applyFill="1" applyAlignment="1"/>
    <xf numFmtId="0" fontId="12" fillId="2" borderId="0" xfId="0" applyFont="1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/>
    <xf numFmtId="0" fontId="0" fillId="4" borderId="0" xfId="0" applyFill="1"/>
    <xf numFmtId="0" fontId="11" fillId="4" borderId="0" xfId="0" applyFont="1" applyFill="1"/>
    <xf numFmtId="0" fontId="0" fillId="0" borderId="0" xfId="0" applyBorder="1" applyAlignment="1">
      <alignment horizontal="left"/>
    </xf>
    <xf numFmtId="165" fontId="0" fillId="0" borderId="0" xfId="0" applyNumberFormat="1" applyBorder="1"/>
    <xf numFmtId="0" fontId="0" fillId="0" borderId="2" xfId="0" applyBorder="1" applyAlignment="1">
      <alignment horizontal="left"/>
    </xf>
    <xf numFmtId="165" fontId="0" fillId="0" borderId="2" xfId="0" applyNumberFormat="1" applyBorder="1"/>
    <xf numFmtId="0" fontId="11" fillId="2" borderId="0" xfId="0" applyFont="1" applyFill="1"/>
    <xf numFmtId="0" fontId="10" fillId="3" borderId="1" xfId="1" applyFill="1"/>
    <xf numFmtId="0" fontId="13" fillId="4" borderId="0" xfId="0" applyFont="1" applyFill="1" applyAlignment="1">
      <alignment horizontal="center"/>
    </xf>
    <xf numFmtId="0" fontId="14" fillId="4" borderId="0" xfId="0" applyFont="1" applyFill="1"/>
    <xf numFmtId="0" fontId="13" fillId="4" borderId="0" xfId="0" applyFont="1" applyFill="1"/>
    <xf numFmtId="0" fontId="9" fillId="3" borderId="0" xfId="0" applyFont="1" applyFill="1" applyAlignment="1">
      <alignment horizontal="center"/>
    </xf>
  </cellXfs>
  <cellStyles count="2">
    <cellStyle name="Normal" xfId="0" builtinId="0"/>
    <cellStyle name="Total" xfId="1" builtinId="25"/>
  </cellStyles>
  <dxfs count="102"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numFmt numFmtId="19" formatCode="yyyy/mm/dd"/>
    </dxf>
    <dxf>
      <numFmt numFmtId="19" formatCode="yyyy/mm/dd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numFmt numFmtId="165" formatCode="#,##0.00\ &quot;zł&quot;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numFmt numFmtId="165" formatCode="#,##0.00\ &quot;zł&quot;"/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numFmt numFmtId="165" formatCode="#,##0.00\ &quot;zł&quot;"/>
    </dxf>
    <dxf>
      <numFmt numFmtId="19" formatCode="yyyy/mm/dd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numFmt numFmtId="164" formatCode="[$-F800]dddd\,\ mmmm\ dd\,\ yyyy"/>
    </dxf>
    <dxf>
      <numFmt numFmtId="165" formatCode="#,##0.00\ &quot;zł&quot;"/>
    </dxf>
    <dxf>
      <numFmt numFmtId="165" formatCode="#,##0.00\ &quot;zł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#,##0.00\ &quot;zł&quot;"/>
    </dxf>
    <dxf>
      <numFmt numFmtId="165" formatCode="#,##0.00\ &quot;zł&quot;"/>
    </dxf>
    <dxf>
      <numFmt numFmtId="164" formatCode="[$-F800]dddd\,\ mmmm\ dd\,\ yyyy"/>
    </dxf>
    <dxf>
      <numFmt numFmtId="164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#,##0.00\ &quot;zł&quot;"/>
    </dxf>
    <dxf>
      <numFmt numFmtId="0" formatCode="General"/>
    </dxf>
    <dxf>
      <numFmt numFmtId="164" formatCode="[$-F800]dddd\,\ mmmm\ dd\,\ yyyy"/>
    </dxf>
    <dxf>
      <numFmt numFmtId="164" formatCode="[$-F800]dddd\,\ mmmm\ dd\,\ yyyy"/>
    </dxf>
    <dxf>
      <numFmt numFmtId="165" formatCode="#,##0.00\ &quot;zł&quot;"/>
    </dxf>
    <dxf>
      <numFmt numFmtId="165" formatCode="#,##0.00\ &quot;zł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 tint="-0.49998474074526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 tint="-0.49998474074526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[firma_fabryka_samochodow.xlsx]Analiza_kosztów_utrzymania_fabr!Suma_kosztów_fabryk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Suma</a:t>
            </a:r>
            <a:r>
              <a:rPr lang="pl-PL" baseline="0"/>
              <a:t> kosztów utrzymania poszczególnych fabryk</a:t>
            </a:r>
          </a:p>
        </c:rich>
      </c:tx>
      <c:layout>
        <c:manualLayout>
          <c:xMode val="edge"/>
          <c:yMode val="edge"/>
          <c:x val="0.11339035716220275"/>
          <c:y val="8.420046574744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1867486076435569"/>
          <c:y val="0.24126995344564095"/>
          <c:w val="0.43895210096861731"/>
          <c:h val="0.75715660299277066"/>
        </c:manualLayout>
      </c:layout>
      <c:pieChart>
        <c:varyColors val="1"/>
        <c:ser>
          <c:idx val="0"/>
          <c:order val="0"/>
          <c:tx>
            <c:strRef>
              <c:f>Analiza_kosztów_utrzymania_fabr!$B$1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Analiza_kosztów_utrzymania_fabr!$A$2:$A$7</c:f>
              <c:strCache>
                <c:ptCount val="5"/>
                <c:pt idx="0">
                  <c:v>Katowice</c:v>
                </c:pt>
                <c:pt idx="1">
                  <c:v>Łódź</c:v>
                </c:pt>
                <c:pt idx="2">
                  <c:v>Radom</c:v>
                </c:pt>
                <c:pt idx="3">
                  <c:v>Szczecin</c:v>
                </c:pt>
                <c:pt idx="4">
                  <c:v>Toruń</c:v>
                </c:pt>
              </c:strCache>
            </c:strRef>
          </c:cat>
          <c:val>
            <c:numRef>
              <c:f>Analiza_kosztów_utrzymania_fabr!$B$2:$B$7</c:f>
              <c:numCache>
                <c:formatCode>#,##0.00\ "zł"</c:formatCode>
                <c:ptCount val="5"/>
                <c:pt idx="0">
                  <c:v>4829.5</c:v>
                </c:pt>
                <c:pt idx="1">
                  <c:v>12290</c:v>
                </c:pt>
                <c:pt idx="2">
                  <c:v>23020</c:v>
                </c:pt>
                <c:pt idx="3">
                  <c:v>19400</c:v>
                </c:pt>
                <c:pt idx="4">
                  <c:v>11361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[firma_fabryka_samochodow.xlsx]Analiza_kosztów_utrzymania_fabr!PivotTable2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Generowane</a:t>
            </a:r>
            <a:r>
              <a:rPr lang="pl-PL" baseline="0"/>
              <a:t> koszty przez fabryki w poszczególnych dniach</a:t>
            </a:r>
            <a:endParaRPr lang="pl-PL"/>
          </a:p>
        </c:rich>
      </c:tx>
      <c:layout>
        <c:manualLayout>
          <c:xMode val="edge"/>
          <c:yMode val="edge"/>
          <c:x val="0.12371501272264632"/>
          <c:y val="9.5839505210363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Analiza_kosztów_utrzymania_fabr!$B$35:$B$36</c:f>
              <c:strCache>
                <c:ptCount val="1"/>
                <c:pt idx="0">
                  <c:v>Katowice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Analiza_kosztów_utrzymania_fabr!$A$37:$A$41</c:f>
              <c:strCache>
                <c:ptCount val="4"/>
                <c:pt idx="0">
                  <c:v>1 styczeń 2005</c:v>
                </c:pt>
                <c:pt idx="1">
                  <c:v>1 maj 2005</c:v>
                </c:pt>
                <c:pt idx="2">
                  <c:v>2 styczeń 2007</c:v>
                </c:pt>
                <c:pt idx="3">
                  <c:v>2 luty 2007</c:v>
                </c:pt>
              </c:strCache>
            </c:strRef>
          </c:cat>
          <c:val>
            <c:numRef>
              <c:f>Analiza_kosztów_utrzymania_fabr!$B$37:$B$41</c:f>
              <c:numCache>
                <c:formatCode>#,##0.00\ "zł"</c:formatCode>
                <c:ptCount val="4"/>
                <c:pt idx="0">
                  <c:v>4000</c:v>
                </c:pt>
                <c:pt idx="3">
                  <c:v>829.5</c:v>
                </c:pt>
              </c:numCache>
            </c:numRef>
          </c:val>
        </c:ser>
        <c:ser>
          <c:idx val="1"/>
          <c:order val="1"/>
          <c:tx>
            <c:strRef>
              <c:f>Analiza_kosztów_utrzymania_fabr!$C$35:$C$36</c:f>
              <c:strCache>
                <c:ptCount val="1"/>
                <c:pt idx="0">
                  <c:v>Łódź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Analiza_kosztów_utrzymania_fabr!$A$37:$A$41</c:f>
              <c:strCache>
                <c:ptCount val="4"/>
                <c:pt idx="0">
                  <c:v>1 styczeń 2005</c:v>
                </c:pt>
                <c:pt idx="1">
                  <c:v>1 maj 2005</c:v>
                </c:pt>
                <c:pt idx="2">
                  <c:v>2 styczeń 2007</c:v>
                </c:pt>
                <c:pt idx="3">
                  <c:v>2 luty 2007</c:v>
                </c:pt>
              </c:strCache>
            </c:strRef>
          </c:cat>
          <c:val>
            <c:numRef>
              <c:f>Analiza_kosztów_utrzymania_fabr!$C$37:$C$41</c:f>
              <c:numCache>
                <c:formatCode>#,##0.00\ "zł"</c:formatCode>
                <c:ptCount val="4"/>
                <c:pt idx="0">
                  <c:v>11250</c:v>
                </c:pt>
                <c:pt idx="3">
                  <c:v>1040</c:v>
                </c:pt>
              </c:numCache>
            </c:numRef>
          </c:val>
        </c:ser>
        <c:ser>
          <c:idx val="2"/>
          <c:order val="2"/>
          <c:tx>
            <c:strRef>
              <c:f>Analiza_kosztów_utrzymania_fabr!$D$35:$D$36</c:f>
              <c:strCache>
                <c:ptCount val="1"/>
                <c:pt idx="0">
                  <c:v>Radom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Analiza_kosztów_utrzymania_fabr!$A$37:$A$41</c:f>
              <c:strCache>
                <c:ptCount val="4"/>
                <c:pt idx="0">
                  <c:v>1 styczeń 2005</c:v>
                </c:pt>
                <c:pt idx="1">
                  <c:v>1 maj 2005</c:v>
                </c:pt>
                <c:pt idx="2">
                  <c:v>2 styczeń 2007</c:v>
                </c:pt>
                <c:pt idx="3">
                  <c:v>2 luty 2007</c:v>
                </c:pt>
              </c:strCache>
            </c:strRef>
          </c:cat>
          <c:val>
            <c:numRef>
              <c:f>Analiza_kosztów_utrzymania_fabr!$D$37:$D$41</c:f>
              <c:numCache>
                <c:formatCode>#,##0.00\ "zł"</c:formatCode>
                <c:ptCount val="4"/>
                <c:pt idx="0">
                  <c:v>7500</c:v>
                </c:pt>
                <c:pt idx="1">
                  <c:v>15000</c:v>
                </c:pt>
                <c:pt idx="3">
                  <c:v>520</c:v>
                </c:pt>
              </c:numCache>
            </c:numRef>
          </c:val>
        </c:ser>
        <c:ser>
          <c:idx val="3"/>
          <c:order val="3"/>
          <c:tx>
            <c:strRef>
              <c:f>Analiza_kosztów_utrzymania_fabr!$E$35:$E$36</c:f>
              <c:strCache>
                <c:ptCount val="1"/>
                <c:pt idx="0">
                  <c:v>Szczecin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Analiza_kosztów_utrzymania_fabr!$A$37:$A$41</c:f>
              <c:strCache>
                <c:ptCount val="4"/>
                <c:pt idx="0">
                  <c:v>1 styczeń 2005</c:v>
                </c:pt>
                <c:pt idx="1">
                  <c:v>1 maj 2005</c:v>
                </c:pt>
                <c:pt idx="2">
                  <c:v>2 styczeń 2007</c:v>
                </c:pt>
                <c:pt idx="3">
                  <c:v>2 luty 2007</c:v>
                </c:pt>
              </c:strCache>
            </c:strRef>
          </c:cat>
          <c:val>
            <c:numRef>
              <c:f>Analiza_kosztów_utrzymania_fabr!$E$37:$E$41</c:f>
              <c:numCache>
                <c:formatCode>#,##0.00\ "zł"</c:formatCode>
                <c:ptCount val="4"/>
                <c:pt idx="0">
                  <c:v>15900</c:v>
                </c:pt>
                <c:pt idx="2">
                  <c:v>2000</c:v>
                </c:pt>
                <c:pt idx="3">
                  <c:v>1500</c:v>
                </c:pt>
              </c:numCache>
            </c:numRef>
          </c:val>
        </c:ser>
        <c:ser>
          <c:idx val="4"/>
          <c:order val="4"/>
          <c:tx>
            <c:strRef>
              <c:f>Analiza_kosztów_utrzymania_fabr!$F$35:$F$36</c:f>
              <c:strCache>
                <c:ptCount val="1"/>
                <c:pt idx="0">
                  <c:v>Toruń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Analiza_kosztów_utrzymania_fabr!$A$37:$A$41</c:f>
              <c:strCache>
                <c:ptCount val="4"/>
                <c:pt idx="0">
                  <c:v>1 styczeń 2005</c:v>
                </c:pt>
                <c:pt idx="1">
                  <c:v>1 maj 2005</c:v>
                </c:pt>
                <c:pt idx="2">
                  <c:v>2 styczeń 2007</c:v>
                </c:pt>
                <c:pt idx="3">
                  <c:v>2 luty 2007</c:v>
                </c:pt>
              </c:strCache>
            </c:strRef>
          </c:cat>
          <c:val>
            <c:numRef>
              <c:f>Analiza_kosztów_utrzymania_fabr!$F$37:$F$41</c:f>
              <c:numCache>
                <c:formatCode>#,##0.00\ "zł"</c:formatCode>
                <c:ptCount val="4"/>
                <c:pt idx="0">
                  <c:v>10800</c:v>
                </c:pt>
                <c:pt idx="3">
                  <c:v>561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13248"/>
        <c:axId val="210613808"/>
      </c:barChart>
      <c:catAx>
        <c:axId val="2106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613808"/>
        <c:crosses val="autoZero"/>
        <c:auto val="1"/>
        <c:lblAlgn val="ctr"/>
        <c:lblOffset val="100"/>
        <c:noMultiLvlLbl val="0"/>
      </c:catAx>
      <c:valAx>
        <c:axId val="21061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zł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61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[firma_fabryka_samochodow.xlsx]Analiza_kosztów_utrzymania_fabr!PivotTable3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Suma</a:t>
            </a:r>
            <a:r>
              <a:rPr lang="pl-PL" sz="1600" baseline="0"/>
              <a:t> kosztów za poszczególne opłaty</a:t>
            </a:r>
            <a:endParaRPr lang="en-US" sz="1600"/>
          </a:p>
        </c:rich>
      </c:tx>
      <c:layout>
        <c:manualLayout>
          <c:xMode val="edge"/>
          <c:yMode val="edge"/>
          <c:x val="0.18377142857142856"/>
          <c:y val="0.122172420755097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1995030621172354"/>
          <c:y val="0.31208398950131239"/>
          <c:w val="0.41347851518560186"/>
          <c:h val="0.66792683222289528"/>
        </c:manualLayout>
      </c:layout>
      <c:pieChart>
        <c:varyColors val="1"/>
        <c:ser>
          <c:idx val="0"/>
          <c:order val="0"/>
          <c:tx>
            <c:strRef>
              <c:f>Analiza_kosztów_utrzymania_fabr!$B$9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Analiza_kosztów_utrzymania_fabr!$A$10:$A$14</c:f>
              <c:strCache>
                <c:ptCount val="4"/>
                <c:pt idx="0">
                  <c:v>inwentaryzacja</c:v>
                </c:pt>
                <c:pt idx="1">
                  <c:v>opłata za prąd</c:v>
                </c:pt>
                <c:pt idx="2">
                  <c:v>przebudowa</c:v>
                </c:pt>
                <c:pt idx="3">
                  <c:v>woda</c:v>
                </c:pt>
              </c:strCache>
            </c:strRef>
          </c:cat>
          <c:val>
            <c:numRef>
              <c:f>Analiza_kosztów_utrzymania_fabr!$B$10:$B$14</c:f>
              <c:numCache>
                <c:formatCode>#,##0.00\ "zł"</c:formatCode>
                <c:ptCount val="4"/>
                <c:pt idx="0">
                  <c:v>2000</c:v>
                </c:pt>
                <c:pt idx="1">
                  <c:v>49450</c:v>
                </c:pt>
                <c:pt idx="2">
                  <c:v>15000</c:v>
                </c:pt>
                <c:pt idx="3">
                  <c:v>4450.5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[firma_fabryka_samochodow.xlsx]Analiza_zamówień!PivotTable4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Ilość</a:t>
            </a:r>
            <a:r>
              <a:rPr lang="pl-PL" baseline="0"/>
              <a:t> złożonych zamówień w poszczególnych dniach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Analiza_zamówień!$B$1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Analiza_zamówień!$A$2:$A$5</c:f>
              <c:strCache>
                <c:ptCount val="3"/>
                <c:pt idx="0">
                  <c:v>1 styczeń 2015</c:v>
                </c:pt>
                <c:pt idx="1">
                  <c:v>1 luty 2015</c:v>
                </c:pt>
                <c:pt idx="2">
                  <c:v>14 luty 2015</c:v>
                </c:pt>
              </c:strCache>
            </c:strRef>
          </c:cat>
          <c:val>
            <c:numRef>
              <c:f>Analiza_zamówień!$B$2:$B$5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681536"/>
        <c:axId val="209682096"/>
      </c:barChart>
      <c:catAx>
        <c:axId val="20968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682096"/>
        <c:crosses val="autoZero"/>
        <c:auto val="1"/>
        <c:lblAlgn val="ctr"/>
        <c:lblOffset val="100"/>
        <c:noMultiLvlLbl val="0"/>
      </c:catAx>
      <c:valAx>
        <c:axId val="20968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68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[firma_fabryka_samochodow.xlsx]Analiza_zamówień!PivotTable5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Popularność modeli aut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5713320209973756"/>
          <c:y val="0.26150301995383107"/>
          <c:w val="0.46906714785651793"/>
          <c:h val="0.67816937039496572"/>
        </c:manualLayout>
      </c:layout>
      <c:pieChart>
        <c:varyColors val="1"/>
        <c:ser>
          <c:idx val="0"/>
          <c:order val="0"/>
          <c:tx>
            <c:strRef>
              <c:f>Analiza_zamówień!$B$7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Analiza_zamówień!$A$8:$A$11</c:f>
              <c:strCache>
                <c:ptCount val="3"/>
                <c:pt idx="0">
                  <c:v>CASUAL</c:v>
                </c:pt>
                <c:pt idx="1">
                  <c:v>FAST</c:v>
                </c:pt>
                <c:pt idx="2">
                  <c:v>SOLID</c:v>
                </c:pt>
              </c:strCache>
            </c:strRef>
          </c:cat>
          <c:val>
            <c:numRef>
              <c:f>Analiza_zamówień!$B$8:$B$11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[firma_fabryka_samochodow.xlsx]Analiza_zamówień!PivotTable6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Ilość</a:t>
            </a:r>
            <a:r>
              <a:rPr lang="pl-PL" sz="1600" baseline="0"/>
              <a:t> złożonych zamówień w poszczególnych fabrykach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Analiza_zamówień!$B$13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Analiza_zamówień!$A$14:$A$19</c:f>
              <c:strCache>
                <c:ptCount val="5"/>
                <c:pt idx="0">
                  <c:v>Katowice</c:v>
                </c:pt>
                <c:pt idx="1">
                  <c:v>Łódź</c:v>
                </c:pt>
                <c:pt idx="2">
                  <c:v>Radom</c:v>
                </c:pt>
                <c:pt idx="3">
                  <c:v>Szczecin</c:v>
                </c:pt>
                <c:pt idx="4">
                  <c:v>Toruń</c:v>
                </c:pt>
              </c:strCache>
            </c:strRef>
          </c:cat>
          <c:val>
            <c:numRef>
              <c:f>Analiza_zamówień!$B$14:$B$19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686016"/>
        <c:axId val="209686576"/>
      </c:barChart>
      <c:catAx>
        <c:axId val="20968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686576"/>
        <c:crosses val="autoZero"/>
        <c:auto val="1"/>
        <c:lblAlgn val="ctr"/>
        <c:lblOffset val="100"/>
        <c:noMultiLvlLbl val="0"/>
      </c:catAx>
      <c:valAx>
        <c:axId val="20968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68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Popularność</a:t>
            </a:r>
            <a:r>
              <a:rPr lang="pl-PL" sz="1600" baseline="0"/>
              <a:t> dodatkowo płatnych opcji</a:t>
            </a:r>
          </a:p>
        </c:rich>
      </c:tx>
      <c:layout>
        <c:manualLayout>
          <c:xMode val="edge"/>
          <c:yMode val="edge"/>
          <c:x val="0.23804741980474198"/>
          <c:y val="2.3188405797101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Analiza_zamówień!$B$21</c:f>
              <c:strCache>
                <c:ptCount val="1"/>
                <c:pt idx="0">
                  <c:v>ILOŚĆ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Analiza_zamówień!$A$22:$A$26</c:f>
              <c:strCache>
                <c:ptCount val="5"/>
                <c:pt idx="0">
                  <c:v>KLIMATYZACJA</c:v>
                </c:pt>
                <c:pt idx="1">
                  <c:v>PODGRZEWANE FOTELE</c:v>
                </c:pt>
                <c:pt idx="2">
                  <c:v>4x4</c:v>
                </c:pt>
                <c:pt idx="3">
                  <c:v>CZUJNIKI COFANIA</c:v>
                </c:pt>
                <c:pt idx="4">
                  <c:v>REJESTRATOR</c:v>
                </c:pt>
              </c:strCache>
            </c:strRef>
          </c:cat>
          <c:val>
            <c:numRef>
              <c:f>Analiza_zamówień!$B$22:$B$26</c:f>
              <c:numCache>
                <c:formatCode>General</c:formatCode>
                <c:ptCount val="5"/>
                <c:pt idx="0">
                  <c:v>8</c:v>
                </c:pt>
                <c:pt idx="1">
                  <c:v>11</c:v>
                </c:pt>
                <c:pt idx="2">
                  <c:v>13</c:v>
                </c:pt>
                <c:pt idx="3">
                  <c:v>5</c:v>
                </c:pt>
                <c:pt idx="4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0189376"/>
        <c:axId val="210189936"/>
      </c:barChart>
      <c:catAx>
        <c:axId val="210189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189936"/>
        <c:crosses val="autoZero"/>
        <c:auto val="1"/>
        <c:lblAlgn val="ctr"/>
        <c:lblOffset val="100"/>
        <c:noMultiLvlLbl val="0"/>
      </c:catAx>
      <c:valAx>
        <c:axId val="21018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18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odsumowanie!A1"/><Relationship Id="rId3" Type="http://schemas.openxmlformats.org/officeDocument/2006/relationships/hyperlink" Target="#Kadra_pracownicza!A1"/><Relationship Id="rId7" Type="http://schemas.openxmlformats.org/officeDocument/2006/relationships/hyperlink" Target="#Koszty_utrzymania_fabryk!A1"/><Relationship Id="rId2" Type="http://schemas.openxmlformats.org/officeDocument/2006/relationships/hyperlink" Target="#Fabryki!A1"/><Relationship Id="rId1" Type="http://schemas.openxmlformats.org/officeDocument/2006/relationships/hyperlink" Target="#Zmienne!A1"/><Relationship Id="rId6" Type="http://schemas.openxmlformats.org/officeDocument/2006/relationships/hyperlink" Target="#Koszty_produkcji!A1"/><Relationship Id="rId11" Type="http://schemas.openxmlformats.org/officeDocument/2006/relationships/hyperlink" Target="#Wst&#281;p!A1"/><Relationship Id="rId5" Type="http://schemas.openxmlformats.org/officeDocument/2006/relationships/hyperlink" Target="#Zam&#243;wienia!A1"/><Relationship Id="rId10" Type="http://schemas.openxmlformats.org/officeDocument/2006/relationships/hyperlink" Target="#Analiza_zam&#243;wie&#324;!A1"/><Relationship Id="rId4" Type="http://schemas.openxmlformats.org/officeDocument/2006/relationships/hyperlink" Target="#Oferta!A1"/><Relationship Id="rId9" Type="http://schemas.openxmlformats.org/officeDocument/2006/relationships/hyperlink" Target="#Analiza_koszt&#243;w_utrzymania_fabr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Podsumowanie!A1"/><Relationship Id="rId3" Type="http://schemas.openxmlformats.org/officeDocument/2006/relationships/hyperlink" Target="#Kadra_pracownicza!A1"/><Relationship Id="rId7" Type="http://schemas.openxmlformats.org/officeDocument/2006/relationships/hyperlink" Target="#Koszty_utrzymania_fabryk!A1"/><Relationship Id="rId2" Type="http://schemas.openxmlformats.org/officeDocument/2006/relationships/hyperlink" Target="#Fabryki!A1"/><Relationship Id="rId1" Type="http://schemas.openxmlformats.org/officeDocument/2006/relationships/hyperlink" Target="#Zmienne!A1"/><Relationship Id="rId6" Type="http://schemas.openxmlformats.org/officeDocument/2006/relationships/hyperlink" Target="#Koszty_produkcji!A1"/><Relationship Id="rId11" Type="http://schemas.openxmlformats.org/officeDocument/2006/relationships/hyperlink" Target="#Wst&#281;p!A1"/><Relationship Id="rId5" Type="http://schemas.openxmlformats.org/officeDocument/2006/relationships/hyperlink" Target="#Zam&#243;wienia!A1"/><Relationship Id="rId10" Type="http://schemas.openxmlformats.org/officeDocument/2006/relationships/hyperlink" Target="#Analiza_zam&#243;wie&#324;!A1"/><Relationship Id="rId4" Type="http://schemas.openxmlformats.org/officeDocument/2006/relationships/hyperlink" Target="#Oferta!A1"/><Relationship Id="rId9" Type="http://schemas.openxmlformats.org/officeDocument/2006/relationships/hyperlink" Target="#Analiza_koszt&#243;w_utrzymania_fabr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odsumowanie!A1"/><Relationship Id="rId3" Type="http://schemas.openxmlformats.org/officeDocument/2006/relationships/hyperlink" Target="#Kadra_pracownicza!A1"/><Relationship Id="rId7" Type="http://schemas.openxmlformats.org/officeDocument/2006/relationships/hyperlink" Target="#Koszty_utrzymania_fabryk!A1"/><Relationship Id="rId2" Type="http://schemas.openxmlformats.org/officeDocument/2006/relationships/hyperlink" Target="#Fabryki!A1"/><Relationship Id="rId1" Type="http://schemas.openxmlformats.org/officeDocument/2006/relationships/hyperlink" Target="#Zmienne!A1"/><Relationship Id="rId6" Type="http://schemas.openxmlformats.org/officeDocument/2006/relationships/hyperlink" Target="#Koszty_produkcji!A1"/><Relationship Id="rId11" Type="http://schemas.openxmlformats.org/officeDocument/2006/relationships/hyperlink" Target="#Wst&#281;p!A1"/><Relationship Id="rId5" Type="http://schemas.openxmlformats.org/officeDocument/2006/relationships/hyperlink" Target="#Zam&#243;wienia!A1"/><Relationship Id="rId10" Type="http://schemas.openxmlformats.org/officeDocument/2006/relationships/hyperlink" Target="#Analiza_zam&#243;wie&#324;!A1"/><Relationship Id="rId4" Type="http://schemas.openxmlformats.org/officeDocument/2006/relationships/hyperlink" Target="#Oferta!A1"/><Relationship Id="rId9" Type="http://schemas.openxmlformats.org/officeDocument/2006/relationships/hyperlink" Target="#Analiza_koszt&#243;w_utrzymania_fabr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odsumowanie!A1"/><Relationship Id="rId3" Type="http://schemas.openxmlformats.org/officeDocument/2006/relationships/hyperlink" Target="#Kadra_pracownicza!A1"/><Relationship Id="rId7" Type="http://schemas.openxmlformats.org/officeDocument/2006/relationships/hyperlink" Target="#Koszty_utrzymania_fabryk!A1"/><Relationship Id="rId2" Type="http://schemas.openxmlformats.org/officeDocument/2006/relationships/hyperlink" Target="#Fabryki!A1"/><Relationship Id="rId1" Type="http://schemas.openxmlformats.org/officeDocument/2006/relationships/hyperlink" Target="#Zmienne!A1"/><Relationship Id="rId6" Type="http://schemas.openxmlformats.org/officeDocument/2006/relationships/hyperlink" Target="#Koszty_produkcji!A1"/><Relationship Id="rId11" Type="http://schemas.openxmlformats.org/officeDocument/2006/relationships/hyperlink" Target="#Wst&#281;p!A1"/><Relationship Id="rId5" Type="http://schemas.openxmlformats.org/officeDocument/2006/relationships/hyperlink" Target="#Zam&#243;wienia!A1"/><Relationship Id="rId10" Type="http://schemas.openxmlformats.org/officeDocument/2006/relationships/hyperlink" Target="#Analiza_zam&#243;wie&#324;!A1"/><Relationship Id="rId4" Type="http://schemas.openxmlformats.org/officeDocument/2006/relationships/hyperlink" Target="#Oferta!A1"/><Relationship Id="rId9" Type="http://schemas.openxmlformats.org/officeDocument/2006/relationships/hyperlink" Target="#Analiza_koszt&#243;w_utrzymania_fabr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odsumowanie!A1"/><Relationship Id="rId3" Type="http://schemas.openxmlformats.org/officeDocument/2006/relationships/hyperlink" Target="#Kadra_pracownicza!A1"/><Relationship Id="rId7" Type="http://schemas.openxmlformats.org/officeDocument/2006/relationships/hyperlink" Target="#Koszty_utrzymania_fabryk!A1"/><Relationship Id="rId2" Type="http://schemas.openxmlformats.org/officeDocument/2006/relationships/hyperlink" Target="#Fabryki!A1"/><Relationship Id="rId1" Type="http://schemas.openxmlformats.org/officeDocument/2006/relationships/hyperlink" Target="#Zmienne!A1"/><Relationship Id="rId6" Type="http://schemas.openxmlformats.org/officeDocument/2006/relationships/hyperlink" Target="#Koszty_produkcji!A1"/><Relationship Id="rId11" Type="http://schemas.openxmlformats.org/officeDocument/2006/relationships/hyperlink" Target="#Wst&#281;p!A1"/><Relationship Id="rId5" Type="http://schemas.openxmlformats.org/officeDocument/2006/relationships/hyperlink" Target="#Zam&#243;wienia!A1"/><Relationship Id="rId10" Type="http://schemas.openxmlformats.org/officeDocument/2006/relationships/hyperlink" Target="#Analiza_zam&#243;wie&#324;!A1"/><Relationship Id="rId4" Type="http://schemas.openxmlformats.org/officeDocument/2006/relationships/hyperlink" Target="#Oferta!A1"/><Relationship Id="rId9" Type="http://schemas.openxmlformats.org/officeDocument/2006/relationships/hyperlink" Target="#Analiza_koszt&#243;w_utrzymania_fabr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odsumowanie!A1"/><Relationship Id="rId3" Type="http://schemas.openxmlformats.org/officeDocument/2006/relationships/hyperlink" Target="#Kadra_pracownicza!A1"/><Relationship Id="rId7" Type="http://schemas.openxmlformats.org/officeDocument/2006/relationships/hyperlink" Target="#Koszty_utrzymania_fabryk!A1"/><Relationship Id="rId2" Type="http://schemas.openxmlformats.org/officeDocument/2006/relationships/hyperlink" Target="#Fabryki!A1"/><Relationship Id="rId1" Type="http://schemas.openxmlformats.org/officeDocument/2006/relationships/hyperlink" Target="#Zmienne!A1"/><Relationship Id="rId6" Type="http://schemas.openxmlformats.org/officeDocument/2006/relationships/hyperlink" Target="#Koszty_produkcji!A1"/><Relationship Id="rId11" Type="http://schemas.openxmlformats.org/officeDocument/2006/relationships/hyperlink" Target="#Wst&#281;p!A1"/><Relationship Id="rId5" Type="http://schemas.openxmlformats.org/officeDocument/2006/relationships/hyperlink" Target="#Zam&#243;wienia!A1"/><Relationship Id="rId10" Type="http://schemas.openxmlformats.org/officeDocument/2006/relationships/hyperlink" Target="#Analiza_zam&#243;wie&#324;!A1"/><Relationship Id="rId4" Type="http://schemas.openxmlformats.org/officeDocument/2006/relationships/hyperlink" Target="#Oferta!A1"/><Relationship Id="rId9" Type="http://schemas.openxmlformats.org/officeDocument/2006/relationships/hyperlink" Target="#Analiza_koszt&#243;w_utrzymania_fabr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odsumowanie!A1"/><Relationship Id="rId3" Type="http://schemas.openxmlformats.org/officeDocument/2006/relationships/hyperlink" Target="#Kadra_pracownicza!A1"/><Relationship Id="rId7" Type="http://schemas.openxmlformats.org/officeDocument/2006/relationships/hyperlink" Target="#Koszty_utrzymania_fabryk!A1"/><Relationship Id="rId2" Type="http://schemas.openxmlformats.org/officeDocument/2006/relationships/hyperlink" Target="#Fabryki!A1"/><Relationship Id="rId1" Type="http://schemas.openxmlformats.org/officeDocument/2006/relationships/hyperlink" Target="#Zmienne!A1"/><Relationship Id="rId6" Type="http://schemas.openxmlformats.org/officeDocument/2006/relationships/hyperlink" Target="#Koszty_produkcji!A1"/><Relationship Id="rId11" Type="http://schemas.openxmlformats.org/officeDocument/2006/relationships/hyperlink" Target="#Wst&#281;p!A1"/><Relationship Id="rId5" Type="http://schemas.openxmlformats.org/officeDocument/2006/relationships/hyperlink" Target="#Zam&#243;wienia!A1"/><Relationship Id="rId10" Type="http://schemas.openxmlformats.org/officeDocument/2006/relationships/hyperlink" Target="#Analiza_zam&#243;wie&#324;!A1"/><Relationship Id="rId4" Type="http://schemas.openxmlformats.org/officeDocument/2006/relationships/hyperlink" Target="#Oferta!A1"/><Relationship Id="rId9" Type="http://schemas.openxmlformats.org/officeDocument/2006/relationships/hyperlink" Target="#Analiza_koszt&#243;w_utrzymania_fabr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odsumowanie!A1"/><Relationship Id="rId3" Type="http://schemas.openxmlformats.org/officeDocument/2006/relationships/hyperlink" Target="#Kadra_pracownicza!A1"/><Relationship Id="rId7" Type="http://schemas.openxmlformats.org/officeDocument/2006/relationships/hyperlink" Target="#Koszty_utrzymania_fabryk!A1"/><Relationship Id="rId2" Type="http://schemas.openxmlformats.org/officeDocument/2006/relationships/hyperlink" Target="#Fabryki!A1"/><Relationship Id="rId1" Type="http://schemas.openxmlformats.org/officeDocument/2006/relationships/hyperlink" Target="#Zmienne!A1"/><Relationship Id="rId6" Type="http://schemas.openxmlformats.org/officeDocument/2006/relationships/hyperlink" Target="#Koszty_produkcji!A1"/><Relationship Id="rId11" Type="http://schemas.openxmlformats.org/officeDocument/2006/relationships/hyperlink" Target="#Wst&#281;p!A1"/><Relationship Id="rId5" Type="http://schemas.openxmlformats.org/officeDocument/2006/relationships/hyperlink" Target="#Zam&#243;wienia!A1"/><Relationship Id="rId10" Type="http://schemas.openxmlformats.org/officeDocument/2006/relationships/hyperlink" Target="#Analiza_zam&#243;wie&#324;!A1"/><Relationship Id="rId4" Type="http://schemas.openxmlformats.org/officeDocument/2006/relationships/hyperlink" Target="#Oferta!A1"/><Relationship Id="rId9" Type="http://schemas.openxmlformats.org/officeDocument/2006/relationships/hyperlink" Target="#Analiza_koszt&#243;w_utrzymania_fabr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Podsumowanie!A1"/><Relationship Id="rId3" Type="http://schemas.openxmlformats.org/officeDocument/2006/relationships/hyperlink" Target="#Kadra_pracownicza!A1"/><Relationship Id="rId7" Type="http://schemas.openxmlformats.org/officeDocument/2006/relationships/hyperlink" Target="#Koszty_utrzymania_fabryk!A1"/><Relationship Id="rId2" Type="http://schemas.openxmlformats.org/officeDocument/2006/relationships/hyperlink" Target="#Fabryki!A1"/><Relationship Id="rId1" Type="http://schemas.openxmlformats.org/officeDocument/2006/relationships/hyperlink" Target="#Zmienne!A1"/><Relationship Id="rId6" Type="http://schemas.openxmlformats.org/officeDocument/2006/relationships/hyperlink" Target="#Koszty_produkcji!A1"/><Relationship Id="rId11" Type="http://schemas.openxmlformats.org/officeDocument/2006/relationships/hyperlink" Target="#Wst&#281;p!A1"/><Relationship Id="rId5" Type="http://schemas.openxmlformats.org/officeDocument/2006/relationships/hyperlink" Target="#Zam&#243;wienia!A1"/><Relationship Id="rId10" Type="http://schemas.openxmlformats.org/officeDocument/2006/relationships/hyperlink" Target="#Analiza_zam&#243;wie&#324;!A1"/><Relationship Id="rId4" Type="http://schemas.openxmlformats.org/officeDocument/2006/relationships/hyperlink" Target="#Oferta!A1"/><Relationship Id="rId9" Type="http://schemas.openxmlformats.org/officeDocument/2006/relationships/hyperlink" Target="#Analiza_koszt&#243;w_utrzymania_fabr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Zam&#243;wienia!A1"/><Relationship Id="rId13" Type="http://schemas.openxmlformats.org/officeDocument/2006/relationships/hyperlink" Target="#Analiza_zam&#243;wie&#324;!A1"/><Relationship Id="rId3" Type="http://schemas.openxmlformats.org/officeDocument/2006/relationships/chart" Target="../charts/chart3.xml"/><Relationship Id="rId7" Type="http://schemas.openxmlformats.org/officeDocument/2006/relationships/hyperlink" Target="#Oferta!A1"/><Relationship Id="rId12" Type="http://schemas.openxmlformats.org/officeDocument/2006/relationships/hyperlink" Target="#Analiza_koszt&#243;w_utrzymania_fabr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Kadra_pracownicza!A1"/><Relationship Id="rId11" Type="http://schemas.openxmlformats.org/officeDocument/2006/relationships/hyperlink" Target="#Podsumowanie!A1"/><Relationship Id="rId5" Type="http://schemas.openxmlformats.org/officeDocument/2006/relationships/hyperlink" Target="#Fabryki!A1"/><Relationship Id="rId10" Type="http://schemas.openxmlformats.org/officeDocument/2006/relationships/hyperlink" Target="#Koszty_utrzymania_fabryk!A1"/><Relationship Id="rId4" Type="http://schemas.openxmlformats.org/officeDocument/2006/relationships/hyperlink" Target="#Zmienne!A1"/><Relationship Id="rId9" Type="http://schemas.openxmlformats.org/officeDocument/2006/relationships/hyperlink" Target="#Koszty_produkcji!A1"/><Relationship Id="rId14" Type="http://schemas.openxmlformats.org/officeDocument/2006/relationships/hyperlink" Target="#Wst&#281;p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Oferta!A1"/><Relationship Id="rId13" Type="http://schemas.openxmlformats.org/officeDocument/2006/relationships/hyperlink" Target="#Analiza_koszt&#243;w_utrzymania_fabr!A1"/><Relationship Id="rId3" Type="http://schemas.openxmlformats.org/officeDocument/2006/relationships/chart" Target="../charts/chart6.xml"/><Relationship Id="rId7" Type="http://schemas.openxmlformats.org/officeDocument/2006/relationships/hyperlink" Target="#Kadra_pracownicza!A1"/><Relationship Id="rId12" Type="http://schemas.openxmlformats.org/officeDocument/2006/relationships/hyperlink" Target="#Podsumowanie!A1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hyperlink" Target="#Fabryki!A1"/><Relationship Id="rId11" Type="http://schemas.openxmlformats.org/officeDocument/2006/relationships/hyperlink" Target="#Koszty_utrzymania_fabryk!A1"/><Relationship Id="rId5" Type="http://schemas.openxmlformats.org/officeDocument/2006/relationships/hyperlink" Target="#Zmienne!A1"/><Relationship Id="rId15" Type="http://schemas.openxmlformats.org/officeDocument/2006/relationships/hyperlink" Target="#Wst&#281;p!A1"/><Relationship Id="rId10" Type="http://schemas.openxmlformats.org/officeDocument/2006/relationships/hyperlink" Target="#Koszty_produkcji!A1"/><Relationship Id="rId4" Type="http://schemas.openxmlformats.org/officeDocument/2006/relationships/chart" Target="../charts/chart7.xml"/><Relationship Id="rId9" Type="http://schemas.openxmlformats.org/officeDocument/2006/relationships/hyperlink" Target="#Zam&#243;wienia!A1"/><Relationship Id="rId14" Type="http://schemas.openxmlformats.org/officeDocument/2006/relationships/hyperlink" Target="#Analiza_zam&#243;wie&#324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266699</xdr:colOff>
      <xdr:row>5</xdr:row>
      <xdr:rowOff>161925</xdr:rowOff>
    </xdr:from>
    <xdr:ext cx="9839325" cy="6191250"/>
    <xdr:sp macro="" textlink="">
      <xdr:nvSpPr>
        <xdr:cNvPr id="2" name="TextBox 1"/>
        <xdr:cNvSpPr txBox="1"/>
      </xdr:nvSpPr>
      <xdr:spPr>
        <a:xfrm>
          <a:off x="876299" y="1114425"/>
          <a:ext cx="9839325" cy="61912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l-PL" sz="1200" b="1"/>
            <a:t>Arkusz przeznaczony jest do</a:t>
          </a:r>
          <a:r>
            <a:rPr lang="pl-PL" sz="1200" b="1" baseline="0"/>
            <a:t> zarządzania firmą produkującą samochody, mająca fabryki w takich miastach jak:</a:t>
          </a:r>
        </a:p>
        <a:p>
          <a:r>
            <a:rPr lang="pl-PL" sz="1200" b="1" baseline="0"/>
            <a:t>    </a:t>
          </a:r>
          <a:r>
            <a:rPr lang="pl-PL" sz="1200" b="1" i="1" baseline="0"/>
            <a:t>1. </a:t>
          </a:r>
          <a:r>
            <a:rPr lang="pl-PL" sz="1200" b="0" i="1" baseline="0"/>
            <a:t>Radom</a:t>
          </a:r>
        </a:p>
        <a:p>
          <a:r>
            <a:rPr lang="pl-PL" sz="1200" b="0" i="1" baseline="0"/>
            <a:t>   </a:t>
          </a:r>
          <a:r>
            <a:rPr lang="pl-PL" sz="1200" b="1" i="1" baseline="0"/>
            <a:t> 2. </a:t>
          </a:r>
          <a:r>
            <a:rPr lang="pl-PL" sz="1200" b="0" i="1" baseline="0"/>
            <a:t>Katowice</a:t>
          </a:r>
        </a:p>
        <a:p>
          <a:r>
            <a:rPr lang="pl-PL" sz="1200" b="0" i="1" baseline="0"/>
            <a:t>    </a:t>
          </a:r>
          <a:r>
            <a:rPr lang="pl-PL" sz="1200" b="1" i="1" baseline="0"/>
            <a:t>3.</a:t>
          </a:r>
          <a:r>
            <a:rPr lang="pl-PL" sz="1200" b="0" i="1" baseline="0"/>
            <a:t> Łódź</a:t>
          </a:r>
        </a:p>
        <a:p>
          <a:r>
            <a:rPr lang="pl-PL" sz="1200" b="0" i="1" baseline="0"/>
            <a:t>    </a:t>
          </a:r>
          <a:r>
            <a:rPr lang="pl-PL" sz="1200" b="1" i="1" baseline="0"/>
            <a:t>4.</a:t>
          </a:r>
          <a:r>
            <a:rPr lang="pl-PL" sz="1200" b="0" i="1" baseline="0"/>
            <a:t> Toruń</a:t>
          </a:r>
        </a:p>
        <a:p>
          <a:r>
            <a:rPr lang="pl-PL" sz="1200" b="0" i="1" baseline="0"/>
            <a:t>    </a:t>
          </a:r>
          <a:r>
            <a:rPr lang="pl-PL" sz="1200" b="1" i="1" baseline="0"/>
            <a:t>5. </a:t>
          </a:r>
          <a:r>
            <a:rPr lang="pl-PL" sz="1200" b="0" i="1" baseline="0"/>
            <a:t>Szczecin</a:t>
          </a:r>
        </a:p>
        <a:p>
          <a:r>
            <a:rPr lang="pl-PL" sz="1200" b="1" i="0" baseline="0">
              <a:solidFill>
                <a:srgbClr val="C00000"/>
              </a:solidFill>
            </a:rPr>
            <a:t>Firma produkuje samochody tylko na indywidualne żądanie klienta, który otrzymuje zamówione auto po około dwóch tygodniach od przyjęcia zamówienia.</a:t>
          </a:r>
        </a:p>
        <a:p>
          <a:r>
            <a:rPr lang="pl-PL" sz="1200" b="1">
              <a:solidFill>
                <a:schemeClr val="accent1">
                  <a:lumMod val="50000"/>
                </a:schemeClr>
              </a:solidFill>
            </a:rPr>
            <a:t>Arkusz</a:t>
          </a:r>
          <a:r>
            <a:rPr lang="pl-PL" sz="1200" b="1" baseline="0">
              <a:solidFill>
                <a:schemeClr val="accent1">
                  <a:lumMod val="50000"/>
                </a:schemeClr>
              </a:solidFill>
            </a:rPr>
            <a:t> kalkulacyjny pozwala na szybkie i sprawne zarządzanie firmą. Dużym plusem arkusza kalkulacyjnego jest to, że pozwala na wstawianie wszelakich formuł, które ułatwiają analizę finansów firmy wraz z wykresami, które tę analizę wizualizują, pozwalając lepiej zrozumieć analizowaną sytuację</a:t>
          </a:r>
          <a:r>
            <a:rPr lang="pl-PL" sz="1200" b="1" baseline="0">
              <a:solidFill>
                <a:schemeClr val="accent1">
                  <a:lumMod val="75000"/>
                </a:schemeClr>
              </a:solidFill>
            </a:rPr>
            <a:t>.</a:t>
          </a:r>
        </a:p>
        <a:p>
          <a:r>
            <a:rPr lang="pl-PL" sz="1200" b="1">
              <a:solidFill>
                <a:schemeClr val="tx1"/>
              </a:solidFill>
            </a:rPr>
            <a:t>1)</a:t>
          </a:r>
          <a:r>
            <a:rPr lang="pl-PL" sz="1200" b="1" baseline="0">
              <a:solidFill>
                <a:schemeClr val="tx1"/>
              </a:solidFill>
            </a:rPr>
            <a:t> Arkusz</a:t>
          </a:r>
          <a:r>
            <a:rPr lang="pl-PL" sz="1200" b="1" baseline="0">
              <a:solidFill>
                <a:schemeClr val="accent1"/>
              </a:solidFill>
            </a:rPr>
            <a:t> </a:t>
          </a:r>
          <a:r>
            <a:rPr lang="pl-PL" sz="1200" b="1" i="1" baseline="0">
              <a:solidFill>
                <a:schemeClr val="accent1">
                  <a:lumMod val="50000"/>
                </a:schemeClr>
              </a:solidFill>
            </a:rPr>
            <a:t>Zmienne</a:t>
          </a:r>
          <a:r>
            <a:rPr lang="pl-PL" sz="1200" b="1" i="1" baseline="0">
              <a:solidFill>
                <a:schemeClr val="accent1"/>
              </a:solidFill>
            </a:rPr>
            <a:t> </a:t>
          </a:r>
          <a:r>
            <a:rPr lang="pl-PL" sz="1200" b="1" i="0" baseline="0">
              <a:solidFill>
                <a:sysClr val="windowText" lastClr="000000"/>
              </a:solidFill>
            </a:rPr>
            <a:t>zawiera tabele z</a:t>
          </a:r>
          <a:r>
            <a:rPr lang="pl-PL" sz="1200" b="1" i="1" baseline="0">
              <a:solidFill>
                <a:sysClr val="windowText" lastClr="000000"/>
              </a:solidFill>
            </a:rPr>
            <a:t> </a:t>
          </a:r>
          <a:r>
            <a:rPr lang="pl-PL" sz="1200" b="1" i="0" baseline="0">
              <a:solidFill>
                <a:sysClr val="windowText" lastClr="000000"/>
              </a:solidFill>
            </a:rPr>
            <a:t>wszelakimi danymi, które mogą w przyszłości ulec zmiane, a służą np. do obliczania kosztów pracownika, ceny brutto itd.</a:t>
          </a:r>
        </a:p>
        <a:p>
          <a:r>
            <a:rPr lang="pl-PL" sz="1200" b="1" i="0" baseline="0">
              <a:solidFill>
                <a:sysClr val="windowText" lastClr="000000"/>
              </a:solidFill>
            </a:rPr>
            <a:t>2) Arkusz</a:t>
          </a:r>
          <a:r>
            <a:rPr lang="pl-PL" sz="1200" b="1" i="0" baseline="0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pl-PL" sz="1200" b="1" i="1" baseline="0">
              <a:solidFill>
                <a:schemeClr val="accent1">
                  <a:lumMod val="50000"/>
                </a:schemeClr>
              </a:solidFill>
            </a:rPr>
            <a:t>Fabryki </a:t>
          </a:r>
          <a:r>
            <a:rPr lang="pl-PL" sz="1200" b="1" i="0" baseline="0">
              <a:solidFill>
                <a:sysClr val="windowText" lastClr="000000"/>
              </a:solidFill>
            </a:rPr>
            <a:t>zawiera spis fabryk wraz z danymi takimi jak: całkowity przychód, całkowity dochód, wszystkie koszty (łącznie z dotychczas zapłaconymi pensjami pracowników), wielkość kadry pracowniczej, czy ilość sprzedanych dotychczas aut.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200" b="1" i="0" baseline="0">
              <a:solidFill>
                <a:sysClr val="windowText" lastClr="000000"/>
              </a:solidFill>
            </a:rPr>
            <a:t>3) 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Arkusz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+mn-lt"/>
            </a:rPr>
            <a:t> 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+mn-lt"/>
            </a:rPr>
            <a:t>Kadra_pracownicza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+mn-lt"/>
            </a:rPr>
            <a:t> 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to spis wszystkich pracowników zatrudnionych we wszystkich fabrykach wraz z danymi takimi jak: imię, nazwisko,  stanowisko, fabryka w której pracuje, pensja, data zatrudnienia, data zwolnienia (jeżeli pracownik nadal pracuje, to komórka ta jest pusta), okres pracy w miesiącach, czy całkowity koszt pracownika, jaki ponosi firma (wraz ze składkami).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4) Arkusz 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+mn-lt"/>
            </a:rPr>
            <a:t>Oferta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</a:rPr>
            <a:t> 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to spis modeli samochodów, które aktualnie firma ma w ofercie. Każdy model posiada dodatkowo płatne opcje, które kupujący może wybrać zamawiając dany model.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5) Arkusz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</a:rPr>
            <a:t> 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+mn-lt"/>
            </a:rPr>
            <a:t>Zamówienia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</a:rPr>
            <a:t> 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to lista zamówień, które wpłynęły do firmy. Każde zamówienie zawiera szczegóły takie jak: model samochodu, fabryka, w której został wyprodukowany, data produkcji, data wydania (klientowi), wybrane dodatkowo płatne opcje, które wybrał zamawiający, cenę brutto oraz całkowity koszt wyprodukowanego, spersonalizowanego samochodu (cena i koszty produkcji są obliczane na podstawie danych z arkusza 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+mn-lt"/>
            </a:rPr>
            <a:t>Oferta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</a:rPr>
            <a:t> 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oraz 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+mn-lt"/>
            </a:rPr>
            <a:t>Koszty_produkcji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6) Arkusz 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+mn-lt"/>
            </a:rPr>
            <a:t>Koszty_produkcji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</a:rPr>
            <a:t> 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to spis kosztów, które ponosi firma przy produkcji konkretnych podzespołów (lub odkupowaniu od innych producentów).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+mn-lt"/>
            </a:rPr>
            <a:t>UWAGA! w arkuszu tym nie uwzględniono kosztów kadry pracowników (uwzględnione są w arkuszu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</a:rPr>
            <a:t> 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+mn-lt"/>
            </a:rPr>
            <a:t>Podsumowanie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+mn-lt"/>
            </a:rPr>
            <a:t>)!</a:t>
          </a:r>
          <a:endParaRPr kumimoji="0" lang="pl-PL" sz="1200" b="1" i="1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7) Arkusz 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rgbClr val="5B9BD5">
                  <a:lumMod val="50000"/>
                </a:srgbClr>
              </a:solidFill>
              <a:effectLst/>
              <a:uLnTx/>
              <a:uFillTx/>
              <a:latin typeface="+mn-lt"/>
            </a:rPr>
            <a:t>Koszty_utrzymania_fabryk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</a:rPr>
            <a:t> 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to spis kosztów, które ponosi firma z tytułu utrzymania fabryk (opłata za prąd, wodę, inwentaryzację itd.)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8) Arkusz 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rgbClr val="5B9BD5">
                  <a:lumMod val="50000"/>
                </a:srgbClr>
              </a:solidFill>
              <a:effectLst/>
              <a:uLnTx/>
              <a:uFillTx/>
              <a:latin typeface="+mn-lt"/>
            </a:rPr>
            <a:t>Podsumowanie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</a:rPr>
            <a:t> 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to podsumowanie wszystkich kosztów i przychodów. Arkusz ten zawiera również niektóre dane statystyczne (np. średnia pensja itd.).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9) Arkusz 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+mn-lt"/>
            </a:rPr>
            <a:t>Analiza_kosztów_utrzymania_fabr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 zawiera analizę kosztów utrzymania fabryk wraz z wykresami.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10) Arkusz </a:t>
          </a:r>
          <a:r>
            <a:rPr kumimoji="0" lang="pl-PL" sz="1200" b="1" i="1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+mn-lt"/>
            </a:rPr>
            <a:t>Analiza_zamówień</a:t>
          </a:r>
          <a:r>
            <a:rPr kumimoji="0" lang="pl-PL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</a:rPr>
            <a:t> zawiera analizę złożonych zamówień (popularność dodatowych opcji itd).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l-PL" sz="1200" b="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111491</xdr:colOff>
      <xdr:row>0</xdr:row>
      <xdr:rowOff>26485</xdr:rowOff>
    </xdr:from>
    <xdr:ext cx="8921033" cy="888641"/>
    <xdr:sp macro="" textlink="">
      <xdr:nvSpPr>
        <xdr:cNvPr id="3" name="Rectangle 2"/>
        <xdr:cNvSpPr/>
      </xdr:nvSpPr>
      <xdr:spPr>
        <a:xfrm>
          <a:off x="1330691" y="26485"/>
          <a:ext cx="8921033" cy="8886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Arkusz</a:t>
          </a:r>
          <a:r>
            <a:rPr lang="pl-PL" sz="5400" b="0" cap="none" spc="0" baseline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do zarządzania firmą</a:t>
          </a:r>
          <a:endParaRPr lang="en-US" sz="5400" b="0" cap="none" spc="0">
            <a:ln w="0"/>
            <a:solidFill>
              <a:schemeClr val="accent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24</xdr:col>
      <xdr:colOff>9525</xdr:colOff>
      <xdr:row>4</xdr:row>
      <xdr:rowOff>152400</xdr:rowOff>
    </xdr:from>
    <xdr:to>
      <xdr:col>26</xdr:col>
      <xdr:colOff>504825</xdr:colOff>
      <xdr:row>7</xdr:row>
      <xdr:rowOff>57150</xdr:rowOff>
    </xdr:to>
    <xdr:sp macro="" textlink="">
      <xdr:nvSpPr>
        <xdr:cNvPr id="4" name="Pentagon 3">
          <a:hlinkClick xmlns:r="http://schemas.openxmlformats.org/officeDocument/2006/relationships" r:id="rId1"/>
        </xdr:cNvPr>
        <xdr:cNvSpPr/>
      </xdr:nvSpPr>
      <xdr:spPr>
        <a:xfrm>
          <a:off x="13420725" y="91440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Zmienne</a:t>
          </a:r>
        </a:p>
      </xdr:txBody>
    </xdr:sp>
    <xdr:clientData/>
  </xdr:twoCellAnchor>
  <xdr:twoCellAnchor>
    <xdr:from>
      <xdr:col>24</xdr:col>
      <xdr:colOff>0</xdr:colOff>
      <xdr:row>8</xdr:row>
      <xdr:rowOff>9525</xdr:rowOff>
    </xdr:from>
    <xdr:to>
      <xdr:col>26</xdr:col>
      <xdr:colOff>533400</xdr:colOff>
      <xdr:row>10</xdr:row>
      <xdr:rowOff>123825</xdr:rowOff>
    </xdr:to>
    <xdr:sp macro="" textlink="">
      <xdr:nvSpPr>
        <xdr:cNvPr id="5" name="Pentagon 4">
          <a:hlinkClick xmlns:r="http://schemas.openxmlformats.org/officeDocument/2006/relationships" r:id="rId2"/>
        </xdr:cNvPr>
        <xdr:cNvSpPr/>
      </xdr:nvSpPr>
      <xdr:spPr>
        <a:xfrm>
          <a:off x="13411200" y="1533525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Fabryki</a:t>
          </a:r>
        </a:p>
      </xdr:txBody>
    </xdr:sp>
    <xdr:clientData/>
  </xdr:twoCellAnchor>
  <xdr:twoCellAnchor>
    <xdr:from>
      <xdr:col>24</xdr:col>
      <xdr:colOff>0</xdr:colOff>
      <xdr:row>11</xdr:row>
      <xdr:rowOff>57150</xdr:rowOff>
    </xdr:from>
    <xdr:to>
      <xdr:col>26</xdr:col>
      <xdr:colOff>552450</xdr:colOff>
      <xdr:row>13</xdr:row>
      <xdr:rowOff>161925</xdr:rowOff>
    </xdr:to>
    <xdr:sp macro="" textlink="">
      <xdr:nvSpPr>
        <xdr:cNvPr id="6" name="Pentagon 5">
          <a:hlinkClick xmlns:r="http://schemas.openxmlformats.org/officeDocument/2006/relationships" r:id="rId3"/>
        </xdr:cNvPr>
        <xdr:cNvSpPr/>
      </xdr:nvSpPr>
      <xdr:spPr>
        <a:xfrm>
          <a:off x="13411200" y="2152650"/>
          <a:ext cx="1771650" cy="4857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Kadra</a:t>
          </a:r>
          <a:r>
            <a:rPr lang="pl-PL" sz="1400" baseline="0">
              <a:solidFill>
                <a:schemeClr val="bg1"/>
              </a:solidFill>
            </a:rPr>
            <a:t> </a:t>
          </a:r>
          <a:r>
            <a:rPr lang="pl-PL" sz="1400">
              <a:solidFill>
                <a:schemeClr val="bg1"/>
              </a:solidFill>
            </a:rPr>
            <a:t>pracownicza</a:t>
          </a:r>
        </a:p>
      </xdr:txBody>
    </xdr:sp>
    <xdr:clientData/>
  </xdr:twoCellAnchor>
  <xdr:twoCellAnchor>
    <xdr:from>
      <xdr:col>24</xdr:col>
      <xdr:colOff>9524</xdr:colOff>
      <xdr:row>14</xdr:row>
      <xdr:rowOff>85725</xdr:rowOff>
    </xdr:from>
    <xdr:to>
      <xdr:col>26</xdr:col>
      <xdr:colOff>514350</xdr:colOff>
      <xdr:row>16</xdr:row>
      <xdr:rowOff>114300</xdr:rowOff>
    </xdr:to>
    <xdr:sp macro="" textlink="">
      <xdr:nvSpPr>
        <xdr:cNvPr id="7" name="Pentagon 6">
          <a:hlinkClick xmlns:r="http://schemas.openxmlformats.org/officeDocument/2006/relationships" r:id="rId4"/>
        </xdr:cNvPr>
        <xdr:cNvSpPr/>
      </xdr:nvSpPr>
      <xdr:spPr>
        <a:xfrm>
          <a:off x="13420724" y="2752725"/>
          <a:ext cx="1724026" cy="4095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Oferta</a:t>
          </a:r>
        </a:p>
      </xdr:txBody>
    </xdr:sp>
    <xdr:clientData/>
  </xdr:twoCellAnchor>
  <xdr:twoCellAnchor>
    <xdr:from>
      <xdr:col>24</xdr:col>
      <xdr:colOff>19050</xdr:colOff>
      <xdr:row>17</xdr:row>
      <xdr:rowOff>76200</xdr:rowOff>
    </xdr:from>
    <xdr:to>
      <xdr:col>26</xdr:col>
      <xdr:colOff>514350</xdr:colOff>
      <xdr:row>19</xdr:row>
      <xdr:rowOff>171450</xdr:rowOff>
    </xdr:to>
    <xdr:sp macro="" textlink="">
      <xdr:nvSpPr>
        <xdr:cNvPr id="12" name="Pentagon 11">
          <a:hlinkClick xmlns:r="http://schemas.openxmlformats.org/officeDocument/2006/relationships" r:id="rId5"/>
        </xdr:cNvPr>
        <xdr:cNvSpPr/>
      </xdr:nvSpPr>
      <xdr:spPr>
        <a:xfrm>
          <a:off x="13430250" y="331470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Zamówienia</a:t>
          </a:r>
        </a:p>
      </xdr:txBody>
    </xdr:sp>
    <xdr:clientData/>
  </xdr:twoCellAnchor>
  <xdr:twoCellAnchor>
    <xdr:from>
      <xdr:col>24</xdr:col>
      <xdr:colOff>19050</xdr:colOff>
      <xdr:row>20</xdr:row>
      <xdr:rowOff>114300</xdr:rowOff>
    </xdr:from>
    <xdr:to>
      <xdr:col>26</xdr:col>
      <xdr:colOff>552450</xdr:colOff>
      <xdr:row>23</xdr:row>
      <xdr:rowOff>38100</xdr:rowOff>
    </xdr:to>
    <xdr:sp macro="" textlink="">
      <xdr:nvSpPr>
        <xdr:cNvPr id="13" name="Pentagon 12">
          <a:hlinkClick xmlns:r="http://schemas.openxmlformats.org/officeDocument/2006/relationships" r:id="rId6"/>
        </xdr:cNvPr>
        <xdr:cNvSpPr/>
      </xdr:nvSpPr>
      <xdr:spPr>
        <a:xfrm>
          <a:off x="13430250" y="3924300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produkcji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19050</xdr:colOff>
      <xdr:row>23</xdr:row>
      <xdr:rowOff>171450</xdr:rowOff>
    </xdr:from>
    <xdr:to>
      <xdr:col>26</xdr:col>
      <xdr:colOff>571500</xdr:colOff>
      <xdr:row>26</xdr:row>
      <xdr:rowOff>161925</xdr:rowOff>
    </xdr:to>
    <xdr:sp macro="" textlink="">
      <xdr:nvSpPr>
        <xdr:cNvPr id="14" name="Pentagon 13">
          <a:hlinkClick xmlns:r="http://schemas.openxmlformats.org/officeDocument/2006/relationships" r:id="rId7"/>
        </xdr:cNvPr>
        <xdr:cNvSpPr/>
      </xdr:nvSpPr>
      <xdr:spPr>
        <a:xfrm>
          <a:off x="13430250" y="4552950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utrzymania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28574</xdr:colOff>
      <xdr:row>27</xdr:row>
      <xdr:rowOff>95250</xdr:rowOff>
    </xdr:from>
    <xdr:to>
      <xdr:col>26</xdr:col>
      <xdr:colOff>533399</xdr:colOff>
      <xdr:row>30</xdr:row>
      <xdr:rowOff>0</xdr:rowOff>
    </xdr:to>
    <xdr:sp macro="" textlink="">
      <xdr:nvSpPr>
        <xdr:cNvPr id="15" name="Pentagon 14">
          <a:hlinkClick xmlns:r="http://schemas.openxmlformats.org/officeDocument/2006/relationships" r:id="rId8"/>
        </xdr:cNvPr>
        <xdr:cNvSpPr/>
      </xdr:nvSpPr>
      <xdr:spPr>
        <a:xfrm>
          <a:off x="13439774" y="5238750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Podsumowanie</a:t>
          </a:r>
        </a:p>
      </xdr:txBody>
    </xdr:sp>
    <xdr:clientData/>
  </xdr:twoCellAnchor>
  <xdr:twoCellAnchor>
    <xdr:from>
      <xdr:col>24</xdr:col>
      <xdr:colOff>19050</xdr:colOff>
      <xdr:row>30</xdr:row>
      <xdr:rowOff>161925</xdr:rowOff>
    </xdr:from>
    <xdr:to>
      <xdr:col>26</xdr:col>
      <xdr:colOff>571500</xdr:colOff>
      <xdr:row>33</xdr:row>
      <xdr:rowOff>152400</xdr:rowOff>
    </xdr:to>
    <xdr:sp macro="" textlink="">
      <xdr:nvSpPr>
        <xdr:cNvPr id="16" name="Pentagon 15">
          <a:hlinkClick xmlns:r="http://schemas.openxmlformats.org/officeDocument/2006/relationships" r:id="rId9"/>
        </xdr:cNvPr>
        <xdr:cNvSpPr/>
      </xdr:nvSpPr>
      <xdr:spPr>
        <a:xfrm>
          <a:off x="13430250" y="5876925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 kosztów utrzymania</a:t>
          </a:r>
          <a:r>
            <a:rPr lang="pl-PL" sz="1400" baseline="0">
              <a:solidFill>
                <a:schemeClr val="bg1"/>
              </a:solidFill>
            </a:rPr>
            <a:t>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9524</xdr:colOff>
      <xdr:row>34</xdr:row>
      <xdr:rowOff>114300</xdr:rowOff>
    </xdr:from>
    <xdr:to>
      <xdr:col>26</xdr:col>
      <xdr:colOff>514349</xdr:colOff>
      <xdr:row>37</xdr:row>
      <xdr:rowOff>19050</xdr:rowOff>
    </xdr:to>
    <xdr:sp macro="" textlink="">
      <xdr:nvSpPr>
        <xdr:cNvPr id="17" name="Pentagon 16">
          <a:hlinkClick xmlns:r="http://schemas.openxmlformats.org/officeDocument/2006/relationships" r:id="rId10"/>
        </xdr:cNvPr>
        <xdr:cNvSpPr/>
      </xdr:nvSpPr>
      <xdr:spPr>
        <a:xfrm>
          <a:off x="13420724" y="6591300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</a:t>
          </a:r>
          <a:r>
            <a:rPr lang="pl-PL" sz="1400" baseline="0">
              <a:solidFill>
                <a:schemeClr val="bg1"/>
              </a:solidFill>
            </a:rPr>
            <a:t> zamówień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409575</xdr:colOff>
      <xdr:row>1</xdr:row>
      <xdr:rowOff>142875</xdr:rowOff>
    </xdr:from>
    <xdr:to>
      <xdr:col>26</xdr:col>
      <xdr:colOff>295275</xdr:colOff>
      <xdr:row>4</xdr:row>
      <xdr:rowOff>47625</xdr:rowOff>
    </xdr:to>
    <xdr:sp macro="" textlink="">
      <xdr:nvSpPr>
        <xdr:cNvPr id="18" name="Pentagon 17">
          <a:hlinkClick xmlns:r="http://schemas.openxmlformats.org/officeDocument/2006/relationships" r:id="rId11"/>
        </xdr:cNvPr>
        <xdr:cNvSpPr/>
      </xdr:nvSpPr>
      <xdr:spPr>
        <a:xfrm flipH="1">
          <a:off x="14430375" y="333375"/>
          <a:ext cx="1714500" cy="476250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>
              <a:solidFill>
                <a:schemeClr val="bg2">
                  <a:lumMod val="10000"/>
                </a:schemeClr>
              </a:solidFill>
            </a:rPr>
            <a:t>Wstęp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323849</xdr:colOff>
      <xdr:row>3</xdr:row>
      <xdr:rowOff>83635</xdr:rowOff>
    </xdr:from>
    <xdr:ext cx="3886201" cy="505267"/>
    <xdr:sp macro="" textlink="">
      <xdr:nvSpPr>
        <xdr:cNvPr id="2" name="Rectangle 1"/>
        <xdr:cNvSpPr/>
      </xdr:nvSpPr>
      <xdr:spPr>
        <a:xfrm>
          <a:off x="933449" y="655135"/>
          <a:ext cx="3886201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l-PL" sz="28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Składki na pracownika</a:t>
          </a:r>
          <a:endParaRPr lang="en-US" sz="2800" b="0" cap="none" spc="0">
            <a:ln w="0"/>
            <a:solidFill>
              <a:schemeClr val="accent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11</xdr:col>
      <xdr:colOff>318529</xdr:colOff>
      <xdr:row>3</xdr:row>
      <xdr:rowOff>93160</xdr:rowOff>
    </xdr:from>
    <xdr:ext cx="1382238" cy="505267"/>
    <xdr:sp macro="" textlink="">
      <xdr:nvSpPr>
        <xdr:cNvPr id="3" name="Rectangle 2"/>
        <xdr:cNvSpPr/>
      </xdr:nvSpPr>
      <xdr:spPr>
        <a:xfrm>
          <a:off x="7271779" y="664660"/>
          <a:ext cx="1382238" cy="50526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28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Podatki</a:t>
          </a:r>
        </a:p>
      </xdr:txBody>
    </xdr:sp>
    <xdr:clientData/>
  </xdr:oneCellAnchor>
  <xdr:oneCellAnchor>
    <xdr:from>
      <xdr:col>19</xdr:col>
      <xdr:colOff>8261</xdr:colOff>
      <xdr:row>3</xdr:row>
      <xdr:rowOff>123825</xdr:rowOff>
    </xdr:from>
    <xdr:ext cx="2040880" cy="503177"/>
    <xdr:sp macro="" textlink="">
      <xdr:nvSpPr>
        <xdr:cNvPr id="4" name="Rectangle 3"/>
        <xdr:cNvSpPr/>
      </xdr:nvSpPr>
      <xdr:spPr>
        <a:xfrm>
          <a:off x="11419211" y="695325"/>
          <a:ext cx="2040880" cy="50317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l-PL" sz="28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Ceny prądu</a:t>
          </a:r>
        </a:p>
      </xdr:txBody>
    </xdr:sp>
    <xdr:clientData/>
  </xdr:oneCellAnchor>
  <xdr:twoCellAnchor>
    <xdr:from>
      <xdr:col>24</xdr:col>
      <xdr:colOff>85725</xdr:colOff>
      <xdr:row>6</xdr:row>
      <xdr:rowOff>28575</xdr:rowOff>
    </xdr:from>
    <xdr:to>
      <xdr:col>26</xdr:col>
      <xdr:colOff>95250</xdr:colOff>
      <xdr:row>8</xdr:row>
      <xdr:rowOff>123825</xdr:rowOff>
    </xdr:to>
    <xdr:sp macro="" textlink="">
      <xdr:nvSpPr>
        <xdr:cNvPr id="16" name="Pentagon 15">
          <a:hlinkClick xmlns:r="http://schemas.openxmlformats.org/officeDocument/2006/relationships" r:id="rId1"/>
        </xdr:cNvPr>
        <xdr:cNvSpPr/>
      </xdr:nvSpPr>
      <xdr:spPr>
        <a:xfrm flipH="1">
          <a:off x="14306550" y="1171575"/>
          <a:ext cx="1714500" cy="476250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>
              <a:solidFill>
                <a:schemeClr val="tx2">
                  <a:lumMod val="50000"/>
                </a:schemeClr>
              </a:solidFill>
            </a:rPr>
            <a:t>Zmienne</a:t>
          </a:r>
        </a:p>
      </xdr:txBody>
    </xdr:sp>
    <xdr:clientData/>
  </xdr:twoCellAnchor>
  <xdr:twoCellAnchor>
    <xdr:from>
      <xdr:col>24</xdr:col>
      <xdr:colOff>323850</xdr:colOff>
      <xdr:row>9</xdr:row>
      <xdr:rowOff>66675</xdr:rowOff>
    </xdr:from>
    <xdr:to>
      <xdr:col>26</xdr:col>
      <xdr:colOff>371475</xdr:colOff>
      <xdr:row>11</xdr:row>
      <xdr:rowOff>104775</xdr:rowOff>
    </xdr:to>
    <xdr:sp macro="" textlink="">
      <xdr:nvSpPr>
        <xdr:cNvPr id="17" name="Pentagon 16">
          <a:hlinkClick xmlns:r="http://schemas.openxmlformats.org/officeDocument/2006/relationships" r:id="rId2"/>
        </xdr:cNvPr>
        <xdr:cNvSpPr/>
      </xdr:nvSpPr>
      <xdr:spPr>
        <a:xfrm>
          <a:off x="14544675" y="1781175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Fabryki</a:t>
          </a:r>
        </a:p>
      </xdr:txBody>
    </xdr:sp>
    <xdr:clientData/>
  </xdr:twoCellAnchor>
  <xdr:twoCellAnchor>
    <xdr:from>
      <xdr:col>24</xdr:col>
      <xdr:colOff>323850</xdr:colOff>
      <xdr:row>11</xdr:row>
      <xdr:rowOff>228600</xdr:rowOff>
    </xdr:from>
    <xdr:to>
      <xdr:col>26</xdr:col>
      <xdr:colOff>390525</xdr:colOff>
      <xdr:row>13</xdr:row>
      <xdr:rowOff>180975</xdr:rowOff>
    </xdr:to>
    <xdr:sp macro="" textlink="">
      <xdr:nvSpPr>
        <xdr:cNvPr id="18" name="Pentagon 17">
          <a:hlinkClick xmlns:r="http://schemas.openxmlformats.org/officeDocument/2006/relationships" r:id="rId3"/>
        </xdr:cNvPr>
        <xdr:cNvSpPr/>
      </xdr:nvSpPr>
      <xdr:spPr>
        <a:xfrm>
          <a:off x="14544675" y="2400300"/>
          <a:ext cx="1771650" cy="4857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Kadra</a:t>
          </a:r>
          <a:r>
            <a:rPr lang="pl-PL" sz="1400" baseline="0">
              <a:solidFill>
                <a:schemeClr val="bg1"/>
              </a:solidFill>
            </a:rPr>
            <a:t> </a:t>
          </a:r>
          <a:r>
            <a:rPr lang="pl-PL" sz="1400">
              <a:solidFill>
                <a:schemeClr val="bg1"/>
              </a:solidFill>
            </a:rPr>
            <a:t>pracownicza</a:t>
          </a:r>
        </a:p>
      </xdr:txBody>
    </xdr:sp>
    <xdr:clientData/>
  </xdr:twoCellAnchor>
  <xdr:twoCellAnchor>
    <xdr:from>
      <xdr:col>24</xdr:col>
      <xdr:colOff>333374</xdr:colOff>
      <xdr:row>14</xdr:row>
      <xdr:rowOff>28575</xdr:rowOff>
    </xdr:from>
    <xdr:to>
      <xdr:col>26</xdr:col>
      <xdr:colOff>352425</xdr:colOff>
      <xdr:row>15</xdr:row>
      <xdr:rowOff>171450</xdr:rowOff>
    </xdr:to>
    <xdr:sp macro="" textlink="">
      <xdr:nvSpPr>
        <xdr:cNvPr id="19" name="Pentagon 18">
          <a:hlinkClick xmlns:r="http://schemas.openxmlformats.org/officeDocument/2006/relationships" r:id="rId4"/>
        </xdr:cNvPr>
        <xdr:cNvSpPr/>
      </xdr:nvSpPr>
      <xdr:spPr>
        <a:xfrm>
          <a:off x="14554199" y="3000375"/>
          <a:ext cx="1724026" cy="4095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Oferta</a:t>
          </a:r>
        </a:p>
      </xdr:txBody>
    </xdr:sp>
    <xdr:clientData/>
  </xdr:twoCellAnchor>
  <xdr:twoCellAnchor>
    <xdr:from>
      <xdr:col>24</xdr:col>
      <xdr:colOff>342900</xdr:colOff>
      <xdr:row>16</xdr:row>
      <xdr:rowOff>57150</xdr:rowOff>
    </xdr:from>
    <xdr:to>
      <xdr:col>26</xdr:col>
      <xdr:colOff>352425</xdr:colOff>
      <xdr:row>19</xdr:row>
      <xdr:rowOff>0</xdr:rowOff>
    </xdr:to>
    <xdr:sp macro="" textlink="">
      <xdr:nvSpPr>
        <xdr:cNvPr id="20" name="Pentagon 19">
          <a:hlinkClick xmlns:r="http://schemas.openxmlformats.org/officeDocument/2006/relationships" r:id="rId5"/>
        </xdr:cNvPr>
        <xdr:cNvSpPr/>
      </xdr:nvSpPr>
      <xdr:spPr>
        <a:xfrm>
          <a:off x="14563725" y="356235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Zamówienia</a:t>
          </a:r>
        </a:p>
      </xdr:txBody>
    </xdr:sp>
    <xdr:clientData/>
  </xdr:twoCellAnchor>
  <xdr:twoCellAnchor>
    <xdr:from>
      <xdr:col>24</xdr:col>
      <xdr:colOff>342900</xdr:colOff>
      <xdr:row>19</xdr:row>
      <xdr:rowOff>133350</xdr:rowOff>
    </xdr:from>
    <xdr:to>
      <xdr:col>26</xdr:col>
      <xdr:colOff>390525</xdr:colOff>
      <xdr:row>22</xdr:row>
      <xdr:rowOff>57150</xdr:rowOff>
    </xdr:to>
    <xdr:sp macro="" textlink="">
      <xdr:nvSpPr>
        <xdr:cNvPr id="21" name="Pentagon 20">
          <a:hlinkClick xmlns:r="http://schemas.openxmlformats.org/officeDocument/2006/relationships" r:id="rId6"/>
        </xdr:cNvPr>
        <xdr:cNvSpPr/>
      </xdr:nvSpPr>
      <xdr:spPr>
        <a:xfrm>
          <a:off x="14563725" y="4171950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produkcji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342900</xdr:colOff>
      <xdr:row>23</xdr:row>
      <xdr:rowOff>0</xdr:rowOff>
    </xdr:from>
    <xdr:to>
      <xdr:col>26</xdr:col>
      <xdr:colOff>409575</xdr:colOff>
      <xdr:row>25</xdr:row>
      <xdr:rowOff>180975</xdr:rowOff>
    </xdr:to>
    <xdr:sp macro="" textlink="">
      <xdr:nvSpPr>
        <xdr:cNvPr id="22" name="Pentagon 21">
          <a:hlinkClick xmlns:r="http://schemas.openxmlformats.org/officeDocument/2006/relationships" r:id="rId7"/>
        </xdr:cNvPr>
        <xdr:cNvSpPr/>
      </xdr:nvSpPr>
      <xdr:spPr>
        <a:xfrm>
          <a:off x="14563725" y="4800600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utrzymania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352424</xdr:colOff>
      <xdr:row>26</xdr:row>
      <xdr:rowOff>114300</xdr:rowOff>
    </xdr:from>
    <xdr:to>
      <xdr:col>26</xdr:col>
      <xdr:colOff>371474</xdr:colOff>
      <xdr:row>29</xdr:row>
      <xdr:rowOff>19050</xdr:rowOff>
    </xdr:to>
    <xdr:sp macro="" textlink="">
      <xdr:nvSpPr>
        <xdr:cNvPr id="23" name="Pentagon 22">
          <a:hlinkClick xmlns:r="http://schemas.openxmlformats.org/officeDocument/2006/relationships" r:id="rId8"/>
        </xdr:cNvPr>
        <xdr:cNvSpPr/>
      </xdr:nvSpPr>
      <xdr:spPr>
        <a:xfrm>
          <a:off x="14573249" y="5486400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Podsumowanie</a:t>
          </a:r>
        </a:p>
      </xdr:txBody>
    </xdr:sp>
    <xdr:clientData/>
  </xdr:twoCellAnchor>
  <xdr:twoCellAnchor>
    <xdr:from>
      <xdr:col>24</xdr:col>
      <xdr:colOff>342900</xdr:colOff>
      <xdr:row>29</xdr:row>
      <xdr:rowOff>180975</xdr:rowOff>
    </xdr:from>
    <xdr:to>
      <xdr:col>26</xdr:col>
      <xdr:colOff>409575</xdr:colOff>
      <xdr:row>32</xdr:row>
      <xdr:rowOff>171450</xdr:rowOff>
    </xdr:to>
    <xdr:sp macro="" textlink="">
      <xdr:nvSpPr>
        <xdr:cNvPr id="24" name="Pentagon 23">
          <a:hlinkClick xmlns:r="http://schemas.openxmlformats.org/officeDocument/2006/relationships" r:id="rId9"/>
        </xdr:cNvPr>
        <xdr:cNvSpPr/>
      </xdr:nvSpPr>
      <xdr:spPr>
        <a:xfrm>
          <a:off x="14563725" y="6124575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 kosztów utrzymania</a:t>
          </a:r>
          <a:r>
            <a:rPr lang="pl-PL" sz="1400" baseline="0">
              <a:solidFill>
                <a:schemeClr val="bg1"/>
              </a:solidFill>
            </a:rPr>
            <a:t>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333374</xdr:colOff>
      <xdr:row>33</xdr:row>
      <xdr:rowOff>133350</xdr:rowOff>
    </xdr:from>
    <xdr:to>
      <xdr:col>26</xdr:col>
      <xdr:colOff>352424</xdr:colOff>
      <xdr:row>36</xdr:row>
      <xdr:rowOff>38100</xdr:rowOff>
    </xdr:to>
    <xdr:sp macro="" textlink="">
      <xdr:nvSpPr>
        <xdr:cNvPr id="25" name="Pentagon 24">
          <a:hlinkClick xmlns:r="http://schemas.openxmlformats.org/officeDocument/2006/relationships" r:id="rId10"/>
        </xdr:cNvPr>
        <xdr:cNvSpPr/>
      </xdr:nvSpPr>
      <xdr:spPr>
        <a:xfrm>
          <a:off x="14554199" y="6838950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</a:t>
          </a:r>
          <a:r>
            <a:rPr lang="pl-PL" sz="1400" baseline="0">
              <a:solidFill>
                <a:schemeClr val="bg1"/>
              </a:solidFill>
            </a:rPr>
            <a:t> zamówień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342900</xdr:colOff>
      <xdr:row>2</xdr:row>
      <xdr:rowOff>161925</xdr:rowOff>
    </xdr:from>
    <xdr:to>
      <xdr:col>26</xdr:col>
      <xdr:colOff>352425</xdr:colOff>
      <xdr:row>5</xdr:row>
      <xdr:rowOff>66675</xdr:rowOff>
    </xdr:to>
    <xdr:sp macro="" textlink="">
      <xdr:nvSpPr>
        <xdr:cNvPr id="26" name="Pentagon 25">
          <a:hlinkClick xmlns:r="http://schemas.openxmlformats.org/officeDocument/2006/relationships" r:id="rId11"/>
        </xdr:cNvPr>
        <xdr:cNvSpPr/>
      </xdr:nvSpPr>
      <xdr:spPr>
        <a:xfrm>
          <a:off x="14563725" y="542925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Wstęp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5</xdr:row>
      <xdr:rowOff>161925</xdr:rowOff>
    </xdr:from>
    <xdr:to>
      <xdr:col>16</xdr:col>
      <xdr:colOff>342900</xdr:colOff>
      <xdr:row>8</xdr:row>
      <xdr:rowOff>66675</xdr:rowOff>
    </xdr:to>
    <xdr:sp macro="" textlink="">
      <xdr:nvSpPr>
        <xdr:cNvPr id="2" name="Pentagon 1">
          <a:hlinkClick xmlns:r="http://schemas.openxmlformats.org/officeDocument/2006/relationships" r:id="rId1"/>
        </xdr:cNvPr>
        <xdr:cNvSpPr/>
      </xdr:nvSpPr>
      <xdr:spPr>
        <a:xfrm>
          <a:off x="14306550" y="1114425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Zmienne</a:t>
          </a:r>
        </a:p>
      </xdr:txBody>
    </xdr:sp>
    <xdr:clientData/>
  </xdr:twoCellAnchor>
  <xdr:twoCellAnchor>
    <xdr:from>
      <xdr:col>13</xdr:col>
      <xdr:colOff>247650</xdr:colOff>
      <xdr:row>9</xdr:row>
      <xdr:rowOff>9525</xdr:rowOff>
    </xdr:from>
    <xdr:to>
      <xdr:col>16</xdr:col>
      <xdr:colOff>171450</xdr:colOff>
      <xdr:row>11</xdr:row>
      <xdr:rowOff>123825</xdr:rowOff>
    </xdr:to>
    <xdr:sp macro="" textlink="">
      <xdr:nvSpPr>
        <xdr:cNvPr id="3" name="Pentagon 2">
          <a:hlinkClick xmlns:r="http://schemas.openxmlformats.org/officeDocument/2006/relationships" r:id="rId2"/>
        </xdr:cNvPr>
        <xdr:cNvSpPr/>
      </xdr:nvSpPr>
      <xdr:spPr>
        <a:xfrm flipH="1">
          <a:off x="14097000" y="1724025"/>
          <a:ext cx="1752600" cy="495300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2">
                  <a:lumMod val="10000"/>
                </a:schemeClr>
              </a:solidFill>
            </a:rPr>
            <a:t>Fabryki</a:t>
          </a:r>
        </a:p>
      </xdr:txBody>
    </xdr:sp>
    <xdr:clientData/>
  </xdr:twoCellAnchor>
  <xdr:twoCellAnchor>
    <xdr:from>
      <xdr:col>13</xdr:col>
      <xdr:colOff>447675</xdr:colOff>
      <xdr:row>12</xdr:row>
      <xdr:rowOff>66675</xdr:rowOff>
    </xdr:from>
    <xdr:to>
      <xdr:col>16</xdr:col>
      <xdr:colOff>390525</xdr:colOff>
      <xdr:row>14</xdr:row>
      <xdr:rowOff>171450</xdr:rowOff>
    </xdr:to>
    <xdr:sp macro="" textlink="">
      <xdr:nvSpPr>
        <xdr:cNvPr id="4" name="Pentagon 3">
          <a:hlinkClick xmlns:r="http://schemas.openxmlformats.org/officeDocument/2006/relationships" r:id="rId3"/>
        </xdr:cNvPr>
        <xdr:cNvSpPr/>
      </xdr:nvSpPr>
      <xdr:spPr>
        <a:xfrm>
          <a:off x="14297025" y="2352675"/>
          <a:ext cx="1771650" cy="4857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Kadra</a:t>
          </a:r>
          <a:r>
            <a:rPr lang="pl-PL" sz="1400" baseline="0">
              <a:solidFill>
                <a:schemeClr val="bg1"/>
              </a:solidFill>
            </a:rPr>
            <a:t> </a:t>
          </a:r>
          <a:r>
            <a:rPr lang="pl-PL" sz="1400">
              <a:solidFill>
                <a:schemeClr val="bg1"/>
              </a:solidFill>
            </a:rPr>
            <a:t>pracownicza</a:t>
          </a:r>
        </a:p>
      </xdr:txBody>
    </xdr:sp>
    <xdr:clientData/>
  </xdr:twoCellAnchor>
  <xdr:twoCellAnchor>
    <xdr:from>
      <xdr:col>13</xdr:col>
      <xdr:colOff>457199</xdr:colOff>
      <xdr:row>15</xdr:row>
      <xdr:rowOff>95250</xdr:rowOff>
    </xdr:from>
    <xdr:to>
      <xdr:col>16</xdr:col>
      <xdr:colOff>352425</xdr:colOff>
      <xdr:row>17</xdr:row>
      <xdr:rowOff>123825</xdr:rowOff>
    </xdr:to>
    <xdr:sp macro="" textlink="">
      <xdr:nvSpPr>
        <xdr:cNvPr id="5" name="Pentagon 4">
          <a:hlinkClick xmlns:r="http://schemas.openxmlformats.org/officeDocument/2006/relationships" r:id="rId4"/>
        </xdr:cNvPr>
        <xdr:cNvSpPr/>
      </xdr:nvSpPr>
      <xdr:spPr>
        <a:xfrm>
          <a:off x="14306549" y="2952750"/>
          <a:ext cx="1724026" cy="4095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Oferta</a:t>
          </a:r>
        </a:p>
      </xdr:txBody>
    </xdr:sp>
    <xdr:clientData/>
  </xdr:twoCellAnchor>
  <xdr:twoCellAnchor>
    <xdr:from>
      <xdr:col>13</xdr:col>
      <xdr:colOff>466725</xdr:colOff>
      <xdr:row>18</xdr:row>
      <xdr:rowOff>85725</xdr:rowOff>
    </xdr:from>
    <xdr:to>
      <xdr:col>16</xdr:col>
      <xdr:colOff>352425</xdr:colOff>
      <xdr:row>20</xdr:row>
      <xdr:rowOff>180975</xdr:rowOff>
    </xdr:to>
    <xdr:sp macro="" textlink="">
      <xdr:nvSpPr>
        <xdr:cNvPr id="6" name="Pentagon 5">
          <a:hlinkClick xmlns:r="http://schemas.openxmlformats.org/officeDocument/2006/relationships" r:id="rId5"/>
        </xdr:cNvPr>
        <xdr:cNvSpPr/>
      </xdr:nvSpPr>
      <xdr:spPr>
        <a:xfrm>
          <a:off x="14316075" y="3514725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Zamówienia</a:t>
          </a:r>
        </a:p>
      </xdr:txBody>
    </xdr:sp>
    <xdr:clientData/>
  </xdr:twoCellAnchor>
  <xdr:twoCellAnchor>
    <xdr:from>
      <xdr:col>13</xdr:col>
      <xdr:colOff>466725</xdr:colOff>
      <xdr:row>21</xdr:row>
      <xdr:rowOff>123825</xdr:rowOff>
    </xdr:from>
    <xdr:to>
      <xdr:col>16</xdr:col>
      <xdr:colOff>390525</xdr:colOff>
      <xdr:row>24</xdr:row>
      <xdr:rowOff>47625</xdr:rowOff>
    </xdr:to>
    <xdr:sp macro="" textlink="">
      <xdr:nvSpPr>
        <xdr:cNvPr id="7" name="Pentagon 6">
          <a:hlinkClick xmlns:r="http://schemas.openxmlformats.org/officeDocument/2006/relationships" r:id="rId6"/>
        </xdr:cNvPr>
        <xdr:cNvSpPr/>
      </xdr:nvSpPr>
      <xdr:spPr>
        <a:xfrm>
          <a:off x="14316075" y="4124325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produkcji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466725</xdr:colOff>
      <xdr:row>24</xdr:row>
      <xdr:rowOff>180975</xdr:rowOff>
    </xdr:from>
    <xdr:to>
      <xdr:col>16</xdr:col>
      <xdr:colOff>409575</xdr:colOff>
      <xdr:row>27</xdr:row>
      <xdr:rowOff>171450</xdr:rowOff>
    </xdr:to>
    <xdr:sp macro="" textlink="">
      <xdr:nvSpPr>
        <xdr:cNvPr id="8" name="Pentagon 7">
          <a:hlinkClick xmlns:r="http://schemas.openxmlformats.org/officeDocument/2006/relationships" r:id="rId7"/>
        </xdr:cNvPr>
        <xdr:cNvSpPr/>
      </xdr:nvSpPr>
      <xdr:spPr>
        <a:xfrm>
          <a:off x="14316075" y="4752975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utrzymania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476249</xdr:colOff>
      <xdr:row>28</xdr:row>
      <xdr:rowOff>104775</xdr:rowOff>
    </xdr:from>
    <xdr:to>
      <xdr:col>16</xdr:col>
      <xdr:colOff>371474</xdr:colOff>
      <xdr:row>31</xdr:row>
      <xdr:rowOff>9525</xdr:rowOff>
    </xdr:to>
    <xdr:sp macro="" textlink="">
      <xdr:nvSpPr>
        <xdr:cNvPr id="9" name="Pentagon 8">
          <a:hlinkClick xmlns:r="http://schemas.openxmlformats.org/officeDocument/2006/relationships" r:id="rId8"/>
        </xdr:cNvPr>
        <xdr:cNvSpPr/>
      </xdr:nvSpPr>
      <xdr:spPr>
        <a:xfrm>
          <a:off x="14325599" y="5438775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Podsumowanie</a:t>
          </a:r>
        </a:p>
      </xdr:txBody>
    </xdr:sp>
    <xdr:clientData/>
  </xdr:twoCellAnchor>
  <xdr:twoCellAnchor>
    <xdr:from>
      <xdr:col>13</xdr:col>
      <xdr:colOff>466725</xdr:colOff>
      <xdr:row>31</xdr:row>
      <xdr:rowOff>171450</xdr:rowOff>
    </xdr:from>
    <xdr:to>
      <xdr:col>16</xdr:col>
      <xdr:colOff>409575</xdr:colOff>
      <xdr:row>34</xdr:row>
      <xdr:rowOff>161925</xdr:rowOff>
    </xdr:to>
    <xdr:sp macro="" textlink="">
      <xdr:nvSpPr>
        <xdr:cNvPr id="10" name="Pentagon 9">
          <a:hlinkClick xmlns:r="http://schemas.openxmlformats.org/officeDocument/2006/relationships" r:id="rId9"/>
        </xdr:cNvPr>
        <xdr:cNvSpPr/>
      </xdr:nvSpPr>
      <xdr:spPr>
        <a:xfrm>
          <a:off x="14316075" y="6076950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 kosztów utrzymania</a:t>
          </a:r>
          <a:r>
            <a:rPr lang="pl-PL" sz="1400" baseline="0">
              <a:solidFill>
                <a:schemeClr val="bg1"/>
              </a:solidFill>
            </a:rPr>
            <a:t>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457199</xdr:colOff>
      <xdr:row>35</xdr:row>
      <xdr:rowOff>123825</xdr:rowOff>
    </xdr:from>
    <xdr:to>
      <xdr:col>16</xdr:col>
      <xdr:colOff>352424</xdr:colOff>
      <xdr:row>38</xdr:row>
      <xdr:rowOff>28575</xdr:rowOff>
    </xdr:to>
    <xdr:sp macro="" textlink="">
      <xdr:nvSpPr>
        <xdr:cNvPr id="11" name="Pentagon 10">
          <a:hlinkClick xmlns:r="http://schemas.openxmlformats.org/officeDocument/2006/relationships" r:id="rId10"/>
        </xdr:cNvPr>
        <xdr:cNvSpPr/>
      </xdr:nvSpPr>
      <xdr:spPr>
        <a:xfrm>
          <a:off x="14306549" y="6791325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</a:t>
          </a:r>
          <a:r>
            <a:rPr lang="pl-PL" sz="1400" baseline="0">
              <a:solidFill>
                <a:schemeClr val="bg1"/>
              </a:solidFill>
            </a:rPr>
            <a:t> zamówień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457200</xdr:colOff>
      <xdr:row>2</xdr:row>
      <xdr:rowOff>114300</xdr:rowOff>
    </xdr:from>
    <xdr:to>
      <xdr:col>16</xdr:col>
      <xdr:colOff>342900</xdr:colOff>
      <xdr:row>5</xdr:row>
      <xdr:rowOff>19050</xdr:rowOff>
    </xdr:to>
    <xdr:sp macro="" textlink="">
      <xdr:nvSpPr>
        <xdr:cNvPr id="12" name="Pentagon 11">
          <a:hlinkClick xmlns:r="http://schemas.openxmlformats.org/officeDocument/2006/relationships" r:id="rId11"/>
        </xdr:cNvPr>
        <xdr:cNvSpPr/>
      </xdr:nvSpPr>
      <xdr:spPr>
        <a:xfrm>
          <a:off x="14306550" y="49530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Wstęp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514350</xdr:colOff>
      <xdr:row>5</xdr:row>
      <xdr:rowOff>57150</xdr:rowOff>
    </xdr:from>
    <xdr:to>
      <xdr:col>15</xdr:col>
      <xdr:colOff>400050</xdr:colOff>
      <xdr:row>7</xdr:row>
      <xdr:rowOff>152400</xdr:rowOff>
    </xdr:to>
    <xdr:sp macro="" textlink="">
      <xdr:nvSpPr>
        <xdr:cNvPr id="2" name="Pentagon 1">
          <a:hlinkClick xmlns:r="http://schemas.openxmlformats.org/officeDocument/2006/relationships" r:id="rId1"/>
        </xdr:cNvPr>
        <xdr:cNvSpPr/>
      </xdr:nvSpPr>
      <xdr:spPr>
        <a:xfrm>
          <a:off x="14525625" y="100965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Zmienne</a:t>
          </a:r>
        </a:p>
      </xdr:txBody>
    </xdr:sp>
    <xdr:clientData/>
  </xdr:twoCellAnchor>
  <xdr:twoCellAnchor>
    <xdr:from>
      <xdr:col>12</xdr:col>
      <xdr:colOff>504825</xdr:colOff>
      <xdr:row>8</xdr:row>
      <xdr:rowOff>104775</xdr:rowOff>
    </xdr:from>
    <xdr:to>
      <xdr:col>15</xdr:col>
      <xdr:colOff>428625</xdr:colOff>
      <xdr:row>11</xdr:row>
      <xdr:rowOff>28575</xdr:rowOff>
    </xdr:to>
    <xdr:sp macro="" textlink="">
      <xdr:nvSpPr>
        <xdr:cNvPr id="3" name="Pentagon 2">
          <a:hlinkClick xmlns:r="http://schemas.openxmlformats.org/officeDocument/2006/relationships" r:id="rId2"/>
        </xdr:cNvPr>
        <xdr:cNvSpPr/>
      </xdr:nvSpPr>
      <xdr:spPr>
        <a:xfrm>
          <a:off x="14516100" y="1628775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Fabryki</a:t>
          </a:r>
        </a:p>
      </xdr:txBody>
    </xdr:sp>
    <xdr:clientData/>
  </xdr:twoCellAnchor>
  <xdr:twoCellAnchor>
    <xdr:from>
      <xdr:col>12</xdr:col>
      <xdr:colOff>295275</xdr:colOff>
      <xdr:row>11</xdr:row>
      <xdr:rowOff>142875</xdr:rowOff>
    </xdr:from>
    <xdr:to>
      <xdr:col>15</xdr:col>
      <xdr:colOff>238125</xdr:colOff>
      <xdr:row>14</xdr:row>
      <xdr:rowOff>57150</xdr:rowOff>
    </xdr:to>
    <xdr:sp macro="" textlink="">
      <xdr:nvSpPr>
        <xdr:cNvPr id="4" name="Pentagon 3">
          <a:hlinkClick xmlns:r="http://schemas.openxmlformats.org/officeDocument/2006/relationships" r:id="rId3"/>
        </xdr:cNvPr>
        <xdr:cNvSpPr/>
      </xdr:nvSpPr>
      <xdr:spPr>
        <a:xfrm flipH="1">
          <a:off x="14306550" y="2238375"/>
          <a:ext cx="1771650" cy="485775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>
              <a:solidFill>
                <a:schemeClr val="bg2">
                  <a:lumMod val="10000"/>
                </a:schemeClr>
              </a:solidFill>
            </a:rPr>
            <a:t>Kadra</a:t>
          </a:r>
          <a:r>
            <a:rPr lang="pl-PL" sz="1400" b="1" baseline="0">
              <a:solidFill>
                <a:schemeClr val="bg2">
                  <a:lumMod val="10000"/>
                </a:schemeClr>
              </a:solidFill>
            </a:rPr>
            <a:t> </a:t>
          </a:r>
          <a:r>
            <a:rPr lang="pl-PL" sz="1400" b="1">
              <a:solidFill>
                <a:schemeClr val="bg2">
                  <a:lumMod val="10000"/>
                </a:schemeClr>
              </a:solidFill>
            </a:rPr>
            <a:t>pracownicza</a:t>
          </a:r>
        </a:p>
      </xdr:txBody>
    </xdr:sp>
    <xdr:clientData/>
  </xdr:twoCellAnchor>
  <xdr:twoCellAnchor>
    <xdr:from>
      <xdr:col>12</xdr:col>
      <xdr:colOff>514349</xdr:colOff>
      <xdr:row>14</xdr:row>
      <xdr:rowOff>180975</xdr:rowOff>
    </xdr:from>
    <xdr:to>
      <xdr:col>15</xdr:col>
      <xdr:colOff>409575</xdr:colOff>
      <xdr:row>17</xdr:row>
      <xdr:rowOff>19050</xdr:rowOff>
    </xdr:to>
    <xdr:sp macro="" textlink="">
      <xdr:nvSpPr>
        <xdr:cNvPr id="5" name="Pentagon 4">
          <a:hlinkClick xmlns:r="http://schemas.openxmlformats.org/officeDocument/2006/relationships" r:id="rId4"/>
        </xdr:cNvPr>
        <xdr:cNvSpPr/>
      </xdr:nvSpPr>
      <xdr:spPr>
        <a:xfrm>
          <a:off x="14525624" y="2847975"/>
          <a:ext cx="1724026" cy="4095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Oferta</a:t>
          </a:r>
        </a:p>
      </xdr:txBody>
    </xdr:sp>
    <xdr:clientData/>
  </xdr:twoCellAnchor>
  <xdr:twoCellAnchor>
    <xdr:from>
      <xdr:col>12</xdr:col>
      <xdr:colOff>523875</xdr:colOff>
      <xdr:row>17</xdr:row>
      <xdr:rowOff>171450</xdr:rowOff>
    </xdr:from>
    <xdr:to>
      <xdr:col>15</xdr:col>
      <xdr:colOff>409575</xdr:colOff>
      <xdr:row>20</xdr:row>
      <xdr:rowOff>76200</xdr:rowOff>
    </xdr:to>
    <xdr:sp macro="" textlink="">
      <xdr:nvSpPr>
        <xdr:cNvPr id="6" name="Pentagon 5">
          <a:hlinkClick xmlns:r="http://schemas.openxmlformats.org/officeDocument/2006/relationships" r:id="rId5"/>
        </xdr:cNvPr>
        <xdr:cNvSpPr/>
      </xdr:nvSpPr>
      <xdr:spPr>
        <a:xfrm>
          <a:off x="14535150" y="340995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Zamówienia</a:t>
          </a:r>
        </a:p>
      </xdr:txBody>
    </xdr:sp>
    <xdr:clientData/>
  </xdr:twoCellAnchor>
  <xdr:twoCellAnchor>
    <xdr:from>
      <xdr:col>12</xdr:col>
      <xdr:colOff>523875</xdr:colOff>
      <xdr:row>21</xdr:row>
      <xdr:rowOff>19050</xdr:rowOff>
    </xdr:from>
    <xdr:to>
      <xdr:col>15</xdr:col>
      <xdr:colOff>447675</xdr:colOff>
      <xdr:row>23</xdr:row>
      <xdr:rowOff>133350</xdr:rowOff>
    </xdr:to>
    <xdr:sp macro="" textlink="">
      <xdr:nvSpPr>
        <xdr:cNvPr id="7" name="Pentagon 6">
          <a:hlinkClick xmlns:r="http://schemas.openxmlformats.org/officeDocument/2006/relationships" r:id="rId6"/>
        </xdr:cNvPr>
        <xdr:cNvSpPr/>
      </xdr:nvSpPr>
      <xdr:spPr>
        <a:xfrm>
          <a:off x="14535150" y="4019550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produkcji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523875</xdr:colOff>
      <xdr:row>24</xdr:row>
      <xdr:rowOff>76200</xdr:rowOff>
    </xdr:from>
    <xdr:to>
      <xdr:col>15</xdr:col>
      <xdr:colOff>466725</xdr:colOff>
      <xdr:row>27</xdr:row>
      <xdr:rowOff>66675</xdr:rowOff>
    </xdr:to>
    <xdr:sp macro="" textlink="">
      <xdr:nvSpPr>
        <xdr:cNvPr id="8" name="Pentagon 7">
          <a:hlinkClick xmlns:r="http://schemas.openxmlformats.org/officeDocument/2006/relationships" r:id="rId7"/>
        </xdr:cNvPr>
        <xdr:cNvSpPr/>
      </xdr:nvSpPr>
      <xdr:spPr>
        <a:xfrm>
          <a:off x="14535150" y="4648200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utrzymania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533399</xdr:colOff>
      <xdr:row>28</xdr:row>
      <xdr:rowOff>0</xdr:rowOff>
    </xdr:from>
    <xdr:to>
      <xdr:col>15</xdr:col>
      <xdr:colOff>428624</xdr:colOff>
      <xdr:row>30</xdr:row>
      <xdr:rowOff>95250</xdr:rowOff>
    </xdr:to>
    <xdr:sp macro="" textlink="">
      <xdr:nvSpPr>
        <xdr:cNvPr id="9" name="Pentagon 8">
          <a:hlinkClick xmlns:r="http://schemas.openxmlformats.org/officeDocument/2006/relationships" r:id="rId8"/>
        </xdr:cNvPr>
        <xdr:cNvSpPr/>
      </xdr:nvSpPr>
      <xdr:spPr>
        <a:xfrm>
          <a:off x="14544674" y="5334000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Podsumowanie</a:t>
          </a:r>
        </a:p>
      </xdr:txBody>
    </xdr:sp>
    <xdr:clientData/>
  </xdr:twoCellAnchor>
  <xdr:twoCellAnchor>
    <xdr:from>
      <xdr:col>12</xdr:col>
      <xdr:colOff>523875</xdr:colOff>
      <xdr:row>31</xdr:row>
      <xdr:rowOff>66675</xdr:rowOff>
    </xdr:from>
    <xdr:to>
      <xdr:col>15</xdr:col>
      <xdr:colOff>466725</xdr:colOff>
      <xdr:row>34</xdr:row>
      <xdr:rowOff>57150</xdr:rowOff>
    </xdr:to>
    <xdr:sp macro="" textlink="">
      <xdr:nvSpPr>
        <xdr:cNvPr id="10" name="Pentagon 9">
          <a:hlinkClick xmlns:r="http://schemas.openxmlformats.org/officeDocument/2006/relationships" r:id="rId9"/>
        </xdr:cNvPr>
        <xdr:cNvSpPr/>
      </xdr:nvSpPr>
      <xdr:spPr>
        <a:xfrm>
          <a:off x="14535150" y="5972175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 kosztów utrzymania</a:t>
          </a:r>
          <a:r>
            <a:rPr lang="pl-PL" sz="1400" baseline="0">
              <a:solidFill>
                <a:schemeClr val="bg1"/>
              </a:solidFill>
            </a:rPr>
            <a:t>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514349</xdr:colOff>
      <xdr:row>35</xdr:row>
      <xdr:rowOff>19050</xdr:rowOff>
    </xdr:from>
    <xdr:to>
      <xdr:col>15</xdr:col>
      <xdr:colOff>409574</xdr:colOff>
      <xdr:row>37</xdr:row>
      <xdr:rowOff>114300</xdr:rowOff>
    </xdr:to>
    <xdr:sp macro="" textlink="">
      <xdr:nvSpPr>
        <xdr:cNvPr id="11" name="Pentagon 10">
          <a:hlinkClick xmlns:r="http://schemas.openxmlformats.org/officeDocument/2006/relationships" r:id="rId10"/>
        </xdr:cNvPr>
        <xdr:cNvSpPr/>
      </xdr:nvSpPr>
      <xdr:spPr>
        <a:xfrm>
          <a:off x="14525624" y="6686550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</a:t>
          </a:r>
          <a:r>
            <a:rPr lang="pl-PL" sz="1400" baseline="0">
              <a:solidFill>
                <a:schemeClr val="bg1"/>
              </a:solidFill>
            </a:rPr>
            <a:t> zamówień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504825</xdr:colOff>
      <xdr:row>2</xdr:row>
      <xdr:rowOff>38100</xdr:rowOff>
    </xdr:from>
    <xdr:to>
      <xdr:col>15</xdr:col>
      <xdr:colOff>390525</xdr:colOff>
      <xdr:row>4</xdr:row>
      <xdr:rowOff>133350</xdr:rowOff>
    </xdr:to>
    <xdr:sp macro="" textlink="">
      <xdr:nvSpPr>
        <xdr:cNvPr id="12" name="Pentagon 11">
          <a:hlinkClick xmlns:r="http://schemas.openxmlformats.org/officeDocument/2006/relationships" r:id="rId11"/>
        </xdr:cNvPr>
        <xdr:cNvSpPr/>
      </xdr:nvSpPr>
      <xdr:spPr>
        <a:xfrm>
          <a:off x="14516100" y="41910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Wstęp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5</xdr:row>
      <xdr:rowOff>57150</xdr:rowOff>
    </xdr:from>
    <xdr:to>
      <xdr:col>19</xdr:col>
      <xdr:colOff>152400</xdr:colOff>
      <xdr:row>7</xdr:row>
      <xdr:rowOff>152400</xdr:rowOff>
    </xdr:to>
    <xdr:sp macro="" textlink="">
      <xdr:nvSpPr>
        <xdr:cNvPr id="2" name="Pentagon 1">
          <a:hlinkClick xmlns:r="http://schemas.openxmlformats.org/officeDocument/2006/relationships" r:id="rId1"/>
        </xdr:cNvPr>
        <xdr:cNvSpPr/>
      </xdr:nvSpPr>
      <xdr:spPr>
        <a:xfrm>
          <a:off x="14316075" y="100965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Zmienne</a:t>
          </a:r>
        </a:p>
      </xdr:txBody>
    </xdr:sp>
    <xdr:clientData/>
  </xdr:twoCellAnchor>
  <xdr:twoCellAnchor>
    <xdr:from>
      <xdr:col>16</xdr:col>
      <xdr:colOff>257175</xdr:colOff>
      <xdr:row>8</xdr:row>
      <xdr:rowOff>104775</xdr:rowOff>
    </xdr:from>
    <xdr:to>
      <xdr:col>19</xdr:col>
      <xdr:colOff>180975</xdr:colOff>
      <xdr:row>11</xdr:row>
      <xdr:rowOff>28575</xdr:rowOff>
    </xdr:to>
    <xdr:sp macro="" textlink="">
      <xdr:nvSpPr>
        <xdr:cNvPr id="3" name="Pentagon 2">
          <a:hlinkClick xmlns:r="http://schemas.openxmlformats.org/officeDocument/2006/relationships" r:id="rId2"/>
        </xdr:cNvPr>
        <xdr:cNvSpPr/>
      </xdr:nvSpPr>
      <xdr:spPr>
        <a:xfrm>
          <a:off x="14306550" y="1628775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Fabryki</a:t>
          </a:r>
        </a:p>
      </xdr:txBody>
    </xdr:sp>
    <xdr:clientData/>
  </xdr:twoCellAnchor>
  <xdr:twoCellAnchor>
    <xdr:from>
      <xdr:col>16</xdr:col>
      <xdr:colOff>257175</xdr:colOff>
      <xdr:row>11</xdr:row>
      <xdr:rowOff>152400</xdr:rowOff>
    </xdr:from>
    <xdr:to>
      <xdr:col>19</xdr:col>
      <xdr:colOff>200025</xdr:colOff>
      <xdr:row>14</xdr:row>
      <xdr:rowOff>66675</xdr:rowOff>
    </xdr:to>
    <xdr:sp macro="" textlink="">
      <xdr:nvSpPr>
        <xdr:cNvPr id="4" name="Pentagon 3">
          <a:hlinkClick xmlns:r="http://schemas.openxmlformats.org/officeDocument/2006/relationships" r:id="rId3"/>
        </xdr:cNvPr>
        <xdr:cNvSpPr/>
      </xdr:nvSpPr>
      <xdr:spPr>
        <a:xfrm>
          <a:off x="14306550" y="2247900"/>
          <a:ext cx="1771650" cy="4857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Kadra</a:t>
          </a:r>
          <a:r>
            <a:rPr lang="pl-PL" sz="1400" baseline="0">
              <a:solidFill>
                <a:schemeClr val="bg1"/>
              </a:solidFill>
            </a:rPr>
            <a:t> </a:t>
          </a:r>
          <a:r>
            <a:rPr lang="pl-PL" sz="1400">
              <a:solidFill>
                <a:schemeClr val="bg1"/>
              </a:solidFill>
            </a:rPr>
            <a:t>pracownicza</a:t>
          </a:r>
        </a:p>
      </xdr:txBody>
    </xdr:sp>
    <xdr:clientData/>
  </xdr:twoCellAnchor>
  <xdr:twoCellAnchor>
    <xdr:from>
      <xdr:col>16</xdr:col>
      <xdr:colOff>66674</xdr:colOff>
      <xdr:row>15</xdr:row>
      <xdr:rowOff>9525</xdr:rowOff>
    </xdr:from>
    <xdr:to>
      <xdr:col>18</xdr:col>
      <xdr:colOff>571500</xdr:colOff>
      <xdr:row>17</xdr:row>
      <xdr:rowOff>38100</xdr:rowOff>
    </xdr:to>
    <xdr:sp macro="" textlink="">
      <xdr:nvSpPr>
        <xdr:cNvPr id="5" name="Pentagon 4">
          <a:hlinkClick xmlns:r="http://schemas.openxmlformats.org/officeDocument/2006/relationships" r:id="rId4"/>
        </xdr:cNvPr>
        <xdr:cNvSpPr/>
      </xdr:nvSpPr>
      <xdr:spPr>
        <a:xfrm flipH="1">
          <a:off x="14116049" y="2867025"/>
          <a:ext cx="1724026" cy="409575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>
              <a:solidFill>
                <a:schemeClr val="bg2">
                  <a:lumMod val="10000"/>
                </a:schemeClr>
              </a:solidFill>
            </a:rPr>
            <a:t>Oferta</a:t>
          </a:r>
        </a:p>
      </xdr:txBody>
    </xdr:sp>
    <xdr:clientData/>
  </xdr:twoCellAnchor>
  <xdr:twoCellAnchor>
    <xdr:from>
      <xdr:col>16</xdr:col>
      <xdr:colOff>276225</xdr:colOff>
      <xdr:row>17</xdr:row>
      <xdr:rowOff>171450</xdr:rowOff>
    </xdr:from>
    <xdr:to>
      <xdr:col>19</xdr:col>
      <xdr:colOff>161925</xdr:colOff>
      <xdr:row>20</xdr:row>
      <xdr:rowOff>76200</xdr:rowOff>
    </xdr:to>
    <xdr:sp macro="" textlink="">
      <xdr:nvSpPr>
        <xdr:cNvPr id="6" name="Pentagon 5">
          <a:hlinkClick xmlns:r="http://schemas.openxmlformats.org/officeDocument/2006/relationships" r:id="rId5"/>
        </xdr:cNvPr>
        <xdr:cNvSpPr/>
      </xdr:nvSpPr>
      <xdr:spPr>
        <a:xfrm>
          <a:off x="14325600" y="340995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Zamówienia</a:t>
          </a:r>
        </a:p>
      </xdr:txBody>
    </xdr:sp>
    <xdr:clientData/>
  </xdr:twoCellAnchor>
  <xdr:twoCellAnchor>
    <xdr:from>
      <xdr:col>16</xdr:col>
      <xdr:colOff>276225</xdr:colOff>
      <xdr:row>21</xdr:row>
      <xdr:rowOff>19050</xdr:rowOff>
    </xdr:from>
    <xdr:to>
      <xdr:col>19</xdr:col>
      <xdr:colOff>200025</xdr:colOff>
      <xdr:row>23</xdr:row>
      <xdr:rowOff>133350</xdr:rowOff>
    </xdr:to>
    <xdr:sp macro="" textlink="">
      <xdr:nvSpPr>
        <xdr:cNvPr id="7" name="Pentagon 6">
          <a:hlinkClick xmlns:r="http://schemas.openxmlformats.org/officeDocument/2006/relationships" r:id="rId6"/>
        </xdr:cNvPr>
        <xdr:cNvSpPr/>
      </xdr:nvSpPr>
      <xdr:spPr>
        <a:xfrm>
          <a:off x="14325600" y="4019550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produkcji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276225</xdr:colOff>
      <xdr:row>24</xdr:row>
      <xdr:rowOff>76200</xdr:rowOff>
    </xdr:from>
    <xdr:to>
      <xdr:col>19</xdr:col>
      <xdr:colOff>219075</xdr:colOff>
      <xdr:row>27</xdr:row>
      <xdr:rowOff>66675</xdr:rowOff>
    </xdr:to>
    <xdr:sp macro="" textlink="">
      <xdr:nvSpPr>
        <xdr:cNvPr id="8" name="Pentagon 7">
          <a:hlinkClick xmlns:r="http://schemas.openxmlformats.org/officeDocument/2006/relationships" r:id="rId7"/>
        </xdr:cNvPr>
        <xdr:cNvSpPr/>
      </xdr:nvSpPr>
      <xdr:spPr>
        <a:xfrm>
          <a:off x="14325600" y="4648200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utrzymania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285749</xdr:colOff>
      <xdr:row>28</xdr:row>
      <xdr:rowOff>0</xdr:rowOff>
    </xdr:from>
    <xdr:to>
      <xdr:col>19</xdr:col>
      <xdr:colOff>180974</xdr:colOff>
      <xdr:row>30</xdr:row>
      <xdr:rowOff>95250</xdr:rowOff>
    </xdr:to>
    <xdr:sp macro="" textlink="">
      <xdr:nvSpPr>
        <xdr:cNvPr id="9" name="Pentagon 8">
          <a:hlinkClick xmlns:r="http://schemas.openxmlformats.org/officeDocument/2006/relationships" r:id="rId8"/>
        </xdr:cNvPr>
        <xdr:cNvSpPr/>
      </xdr:nvSpPr>
      <xdr:spPr>
        <a:xfrm>
          <a:off x="14335124" y="5334000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Podsumowanie</a:t>
          </a:r>
        </a:p>
      </xdr:txBody>
    </xdr:sp>
    <xdr:clientData/>
  </xdr:twoCellAnchor>
  <xdr:twoCellAnchor>
    <xdr:from>
      <xdr:col>16</xdr:col>
      <xdr:colOff>276225</xdr:colOff>
      <xdr:row>31</xdr:row>
      <xdr:rowOff>66675</xdr:rowOff>
    </xdr:from>
    <xdr:to>
      <xdr:col>19</xdr:col>
      <xdr:colOff>219075</xdr:colOff>
      <xdr:row>34</xdr:row>
      <xdr:rowOff>57150</xdr:rowOff>
    </xdr:to>
    <xdr:sp macro="" textlink="">
      <xdr:nvSpPr>
        <xdr:cNvPr id="10" name="Pentagon 9">
          <a:hlinkClick xmlns:r="http://schemas.openxmlformats.org/officeDocument/2006/relationships" r:id="rId9"/>
        </xdr:cNvPr>
        <xdr:cNvSpPr/>
      </xdr:nvSpPr>
      <xdr:spPr>
        <a:xfrm>
          <a:off x="14325600" y="5972175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 kosztów utrzymania</a:t>
          </a:r>
          <a:r>
            <a:rPr lang="pl-PL" sz="1400" baseline="0">
              <a:solidFill>
                <a:schemeClr val="bg1"/>
              </a:solidFill>
            </a:rPr>
            <a:t>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266699</xdr:colOff>
      <xdr:row>35</xdr:row>
      <xdr:rowOff>19050</xdr:rowOff>
    </xdr:from>
    <xdr:to>
      <xdr:col>19</xdr:col>
      <xdr:colOff>161924</xdr:colOff>
      <xdr:row>37</xdr:row>
      <xdr:rowOff>114300</xdr:rowOff>
    </xdr:to>
    <xdr:sp macro="" textlink="">
      <xdr:nvSpPr>
        <xdr:cNvPr id="11" name="Pentagon 10">
          <a:hlinkClick xmlns:r="http://schemas.openxmlformats.org/officeDocument/2006/relationships" r:id="rId10"/>
        </xdr:cNvPr>
        <xdr:cNvSpPr/>
      </xdr:nvSpPr>
      <xdr:spPr>
        <a:xfrm>
          <a:off x="14316074" y="6686550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</a:t>
          </a:r>
          <a:r>
            <a:rPr lang="pl-PL" sz="1400" baseline="0">
              <a:solidFill>
                <a:schemeClr val="bg1"/>
              </a:solidFill>
            </a:rPr>
            <a:t> zamówień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276225</xdr:colOff>
      <xdr:row>2</xdr:row>
      <xdr:rowOff>38100</xdr:rowOff>
    </xdr:from>
    <xdr:to>
      <xdr:col>19</xdr:col>
      <xdr:colOff>161925</xdr:colOff>
      <xdr:row>4</xdr:row>
      <xdr:rowOff>133350</xdr:rowOff>
    </xdr:to>
    <xdr:sp macro="" textlink="">
      <xdr:nvSpPr>
        <xdr:cNvPr id="12" name="Pentagon 11">
          <a:hlinkClick xmlns:r="http://schemas.openxmlformats.org/officeDocument/2006/relationships" r:id="rId11"/>
        </xdr:cNvPr>
        <xdr:cNvSpPr/>
      </xdr:nvSpPr>
      <xdr:spPr>
        <a:xfrm>
          <a:off x="14325600" y="41910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Wstęp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133350</xdr:colOff>
      <xdr:row>5</xdr:row>
      <xdr:rowOff>47625</xdr:rowOff>
    </xdr:from>
    <xdr:to>
      <xdr:col>18</xdr:col>
      <xdr:colOff>19050</xdr:colOff>
      <xdr:row>7</xdr:row>
      <xdr:rowOff>142875</xdr:rowOff>
    </xdr:to>
    <xdr:sp macro="" textlink="">
      <xdr:nvSpPr>
        <xdr:cNvPr id="2" name="Pentagon 1">
          <a:hlinkClick xmlns:r="http://schemas.openxmlformats.org/officeDocument/2006/relationships" r:id="rId1"/>
        </xdr:cNvPr>
        <xdr:cNvSpPr/>
      </xdr:nvSpPr>
      <xdr:spPr>
        <a:xfrm>
          <a:off x="14563725" y="1000125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Zmienne</a:t>
          </a:r>
        </a:p>
      </xdr:txBody>
    </xdr:sp>
    <xdr:clientData/>
  </xdr:twoCellAnchor>
  <xdr:twoCellAnchor>
    <xdr:from>
      <xdr:col>15</xdr:col>
      <xdr:colOff>123825</xdr:colOff>
      <xdr:row>8</xdr:row>
      <xdr:rowOff>95250</xdr:rowOff>
    </xdr:from>
    <xdr:to>
      <xdr:col>18</xdr:col>
      <xdr:colOff>47625</xdr:colOff>
      <xdr:row>11</xdr:row>
      <xdr:rowOff>19050</xdr:rowOff>
    </xdr:to>
    <xdr:sp macro="" textlink="">
      <xdr:nvSpPr>
        <xdr:cNvPr id="3" name="Pentagon 2">
          <a:hlinkClick xmlns:r="http://schemas.openxmlformats.org/officeDocument/2006/relationships" r:id="rId2"/>
        </xdr:cNvPr>
        <xdr:cNvSpPr/>
      </xdr:nvSpPr>
      <xdr:spPr>
        <a:xfrm>
          <a:off x="14554200" y="1619250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Fabryki</a:t>
          </a:r>
        </a:p>
      </xdr:txBody>
    </xdr:sp>
    <xdr:clientData/>
  </xdr:twoCellAnchor>
  <xdr:twoCellAnchor>
    <xdr:from>
      <xdr:col>15</xdr:col>
      <xdr:colOff>123825</xdr:colOff>
      <xdr:row>11</xdr:row>
      <xdr:rowOff>142875</xdr:rowOff>
    </xdr:from>
    <xdr:to>
      <xdr:col>18</xdr:col>
      <xdr:colOff>66675</xdr:colOff>
      <xdr:row>14</xdr:row>
      <xdr:rowOff>57150</xdr:rowOff>
    </xdr:to>
    <xdr:sp macro="" textlink="">
      <xdr:nvSpPr>
        <xdr:cNvPr id="4" name="Pentagon 3">
          <a:hlinkClick xmlns:r="http://schemas.openxmlformats.org/officeDocument/2006/relationships" r:id="rId3"/>
        </xdr:cNvPr>
        <xdr:cNvSpPr/>
      </xdr:nvSpPr>
      <xdr:spPr>
        <a:xfrm>
          <a:off x="14554200" y="2238375"/>
          <a:ext cx="1771650" cy="4857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Kadra</a:t>
          </a:r>
          <a:r>
            <a:rPr lang="pl-PL" sz="1400" baseline="0">
              <a:solidFill>
                <a:schemeClr val="bg1"/>
              </a:solidFill>
            </a:rPr>
            <a:t> </a:t>
          </a:r>
          <a:r>
            <a:rPr lang="pl-PL" sz="1400">
              <a:solidFill>
                <a:schemeClr val="bg1"/>
              </a:solidFill>
            </a:rPr>
            <a:t>pracownicza</a:t>
          </a:r>
        </a:p>
      </xdr:txBody>
    </xdr:sp>
    <xdr:clientData/>
  </xdr:twoCellAnchor>
  <xdr:twoCellAnchor>
    <xdr:from>
      <xdr:col>15</xdr:col>
      <xdr:colOff>133349</xdr:colOff>
      <xdr:row>14</xdr:row>
      <xdr:rowOff>171450</xdr:rowOff>
    </xdr:from>
    <xdr:to>
      <xdr:col>18</xdr:col>
      <xdr:colOff>28575</xdr:colOff>
      <xdr:row>17</xdr:row>
      <xdr:rowOff>9525</xdr:rowOff>
    </xdr:to>
    <xdr:sp macro="" textlink="">
      <xdr:nvSpPr>
        <xdr:cNvPr id="5" name="Pentagon 4">
          <a:hlinkClick xmlns:r="http://schemas.openxmlformats.org/officeDocument/2006/relationships" r:id="rId4"/>
        </xdr:cNvPr>
        <xdr:cNvSpPr/>
      </xdr:nvSpPr>
      <xdr:spPr>
        <a:xfrm>
          <a:off x="14563724" y="2838450"/>
          <a:ext cx="1724026" cy="4095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Oferta</a:t>
          </a:r>
        </a:p>
      </xdr:txBody>
    </xdr:sp>
    <xdr:clientData/>
  </xdr:twoCellAnchor>
  <xdr:twoCellAnchor>
    <xdr:from>
      <xdr:col>14</xdr:col>
      <xdr:colOff>514350</xdr:colOff>
      <xdr:row>17</xdr:row>
      <xdr:rowOff>161925</xdr:rowOff>
    </xdr:from>
    <xdr:to>
      <xdr:col>17</xdr:col>
      <xdr:colOff>400050</xdr:colOff>
      <xdr:row>20</xdr:row>
      <xdr:rowOff>66675</xdr:rowOff>
    </xdr:to>
    <xdr:sp macro="" textlink="">
      <xdr:nvSpPr>
        <xdr:cNvPr id="6" name="Pentagon 5">
          <a:hlinkClick xmlns:r="http://schemas.openxmlformats.org/officeDocument/2006/relationships" r:id="rId5"/>
        </xdr:cNvPr>
        <xdr:cNvSpPr/>
      </xdr:nvSpPr>
      <xdr:spPr>
        <a:xfrm flipH="1">
          <a:off x="14335125" y="3400425"/>
          <a:ext cx="1714500" cy="476250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>
              <a:solidFill>
                <a:schemeClr val="bg2">
                  <a:lumMod val="10000"/>
                </a:schemeClr>
              </a:solidFill>
            </a:rPr>
            <a:t>Zamówienia</a:t>
          </a:r>
        </a:p>
      </xdr:txBody>
    </xdr:sp>
    <xdr:clientData/>
  </xdr:twoCellAnchor>
  <xdr:twoCellAnchor>
    <xdr:from>
      <xdr:col>15</xdr:col>
      <xdr:colOff>142875</xdr:colOff>
      <xdr:row>21</xdr:row>
      <xdr:rowOff>9525</xdr:rowOff>
    </xdr:from>
    <xdr:to>
      <xdr:col>18</xdr:col>
      <xdr:colOff>66675</xdr:colOff>
      <xdr:row>23</xdr:row>
      <xdr:rowOff>123825</xdr:rowOff>
    </xdr:to>
    <xdr:sp macro="" textlink="">
      <xdr:nvSpPr>
        <xdr:cNvPr id="7" name="Pentagon 6">
          <a:hlinkClick xmlns:r="http://schemas.openxmlformats.org/officeDocument/2006/relationships" r:id="rId6"/>
        </xdr:cNvPr>
        <xdr:cNvSpPr/>
      </xdr:nvSpPr>
      <xdr:spPr>
        <a:xfrm>
          <a:off x="14573250" y="4010025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produkcji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142875</xdr:colOff>
      <xdr:row>24</xdr:row>
      <xdr:rowOff>66675</xdr:rowOff>
    </xdr:from>
    <xdr:to>
      <xdr:col>18</xdr:col>
      <xdr:colOff>85725</xdr:colOff>
      <xdr:row>27</xdr:row>
      <xdr:rowOff>57150</xdr:rowOff>
    </xdr:to>
    <xdr:sp macro="" textlink="">
      <xdr:nvSpPr>
        <xdr:cNvPr id="8" name="Pentagon 7">
          <a:hlinkClick xmlns:r="http://schemas.openxmlformats.org/officeDocument/2006/relationships" r:id="rId7"/>
        </xdr:cNvPr>
        <xdr:cNvSpPr/>
      </xdr:nvSpPr>
      <xdr:spPr>
        <a:xfrm>
          <a:off x="14573250" y="4638675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utrzymania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152399</xdr:colOff>
      <xdr:row>27</xdr:row>
      <xdr:rowOff>180975</xdr:rowOff>
    </xdr:from>
    <xdr:to>
      <xdr:col>18</xdr:col>
      <xdr:colOff>47624</xdr:colOff>
      <xdr:row>30</xdr:row>
      <xdr:rowOff>85725</xdr:rowOff>
    </xdr:to>
    <xdr:sp macro="" textlink="">
      <xdr:nvSpPr>
        <xdr:cNvPr id="9" name="Pentagon 8">
          <a:hlinkClick xmlns:r="http://schemas.openxmlformats.org/officeDocument/2006/relationships" r:id="rId8"/>
        </xdr:cNvPr>
        <xdr:cNvSpPr/>
      </xdr:nvSpPr>
      <xdr:spPr>
        <a:xfrm>
          <a:off x="14582774" y="5324475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Podsumowanie</a:t>
          </a:r>
        </a:p>
      </xdr:txBody>
    </xdr:sp>
    <xdr:clientData/>
  </xdr:twoCellAnchor>
  <xdr:twoCellAnchor>
    <xdr:from>
      <xdr:col>15</xdr:col>
      <xdr:colOff>142875</xdr:colOff>
      <xdr:row>31</xdr:row>
      <xdr:rowOff>57150</xdr:rowOff>
    </xdr:from>
    <xdr:to>
      <xdr:col>18</xdr:col>
      <xdr:colOff>85725</xdr:colOff>
      <xdr:row>34</xdr:row>
      <xdr:rowOff>47625</xdr:rowOff>
    </xdr:to>
    <xdr:sp macro="" textlink="">
      <xdr:nvSpPr>
        <xdr:cNvPr id="10" name="Pentagon 9">
          <a:hlinkClick xmlns:r="http://schemas.openxmlformats.org/officeDocument/2006/relationships" r:id="rId9"/>
        </xdr:cNvPr>
        <xdr:cNvSpPr/>
      </xdr:nvSpPr>
      <xdr:spPr>
        <a:xfrm>
          <a:off x="14573250" y="5962650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 kosztów utrzymania</a:t>
          </a:r>
          <a:r>
            <a:rPr lang="pl-PL" sz="1400" baseline="0">
              <a:solidFill>
                <a:schemeClr val="bg1"/>
              </a:solidFill>
            </a:rPr>
            <a:t>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133349</xdr:colOff>
      <xdr:row>35</xdr:row>
      <xdr:rowOff>9525</xdr:rowOff>
    </xdr:from>
    <xdr:to>
      <xdr:col>18</xdr:col>
      <xdr:colOff>28574</xdr:colOff>
      <xdr:row>37</xdr:row>
      <xdr:rowOff>104775</xdr:rowOff>
    </xdr:to>
    <xdr:sp macro="" textlink="">
      <xdr:nvSpPr>
        <xdr:cNvPr id="11" name="Pentagon 10">
          <a:hlinkClick xmlns:r="http://schemas.openxmlformats.org/officeDocument/2006/relationships" r:id="rId10"/>
        </xdr:cNvPr>
        <xdr:cNvSpPr/>
      </xdr:nvSpPr>
      <xdr:spPr>
        <a:xfrm>
          <a:off x="14563724" y="6677025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</a:t>
          </a:r>
          <a:r>
            <a:rPr lang="pl-PL" sz="1400" baseline="0">
              <a:solidFill>
                <a:schemeClr val="bg1"/>
              </a:solidFill>
            </a:rPr>
            <a:t> zamówień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133350</xdr:colOff>
      <xdr:row>2</xdr:row>
      <xdr:rowOff>28575</xdr:rowOff>
    </xdr:from>
    <xdr:to>
      <xdr:col>18</xdr:col>
      <xdr:colOff>19050</xdr:colOff>
      <xdr:row>4</xdr:row>
      <xdr:rowOff>123825</xdr:rowOff>
    </xdr:to>
    <xdr:sp macro="" textlink="">
      <xdr:nvSpPr>
        <xdr:cNvPr id="12" name="Pentagon 11">
          <a:hlinkClick xmlns:r="http://schemas.openxmlformats.org/officeDocument/2006/relationships" r:id="rId11"/>
        </xdr:cNvPr>
        <xdr:cNvSpPr/>
      </xdr:nvSpPr>
      <xdr:spPr>
        <a:xfrm>
          <a:off x="14563725" y="409575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Wstęp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5</xdr:row>
      <xdr:rowOff>47625</xdr:rowOff>
    </xdr:from>
    <xdr:to>
      <xdr:col>17</xdr:col>
      <xdr:colOff>171450</xdr:colOff>
      <xdr:row>7</xdr:row>
      <xdr:rowOff>142875</xdr:rowOff>
    </xdr:to>
    <xdr:sp macro="" textlink="">
      <xdr:nvSpPr>
        <xdr:cNvPr id="13" name="Pentagon 12">
          <a:hlinkClick xmlns:r="http://schemas.openxmlformats.org/officeDocument/2006/relationships" r:id="rId1"/>
        </xdr:cNvPr>
        <xdr:cNvSpPr/>
      </xdr:nvSpPr>
      <xdr:spPr>
        <a:xfrm>
          <a:off x="14620875" y="1000125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Zmienne</a:t>
          </a:r>
        </a:p>
      </xdr:txBody>
    </xdr:sp>
    <xdr:clientData/>
  </xdr:twoCellAnchor>
  <xdr:twoCellAnchor>
    <xdr:from>
      <xdr:col>14</xdr:col>
      <xdr:colOff>276225</xdr:colOff>
      <xdr:row>8</xdr:row>
      <xdr:rowOff>95250</xdr:rowOff>
    </xdr:from>
    <xdr:to>
      <xdr:col>17</xdr:col>
      <xdr:colOff>200025</xdr:colOff>
      <xdr:row>11</xdr:row>
      <xdr:rowOff>19050</xdr:rowOff>
    </xdr:to>
    <xdr:sp macro="" textlink="">
      <xdr:nvSpPr>
        <xdr:cNvPr id="14" name="Pentagon 13">
          <a:hlinkClick xmlns:r="http://schemas.openxmlformats.org/officeDocument/2006/relationships" r:id="rId2"/>
        </xdr:cNvPr>
        <xdr:cNvSpPr/>
      </xdr:nvSpPr>
      <xdr:spPr>
        <a:xfrm>
          <a:off x="14611350" y="1619250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Fabryki</a:t>
          </a:r>
        </a:p>
      </xdr:txBody>
    </xdr:sp>
    <xdr:clientData/>
  </xdr:twoCellAnchor>
  <xdr:twoCellAnchor>
    <xdr:from>
      <xdr:col>14</xdr:col>
      <xdr:colOff>276225</xdr:colOff>
      <xdr:row>11</xdr:row>
      <xdr:rowOff>142875</xdr:rowOff>
    </xdr:from>
    <xdr:to>
      <xdr:col>17</xdr:col>
      <xdr:colOff>219075</xdr:colOff>
      <xdr:row>14</xdr:row>
      <xdr:rowOff>57150</xdr:rowOff>
    </xdr:to>
    <xdr:sp macro="" textlink="">
      <xdr:nvSpPr>
        <xdr:cNvPr id="15" name="Pentagon 14">
          <a:hlinkClick xmlns:r="http://schemas.openxmlformats.org/officeDocument/2006/relationships" r:id="rId3"/>
        </xdr:cNvPr>
        <xdr:cNvSpPr/>
      </xdr:nvSpPr>
      <xdr:spPr>
        <a:xfrm>
          <a:off x="14611350" y="2238375"/>
          <a:ext cx="1771650" cy="4857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Kadra</a:t>
          </a:r>
          <a:r>
            <a:rPr lang="pl-PL" sz="1400" baseline="0">
              <a:solidFill>
                <a:schemeClr val="bg1"/>
              </a:solidFill>
            </a:rPr>
            <a:t> </a:t>
          </a:r>
          <a:r>
            <a:rPr lang="pl-PL" sz="1400">
              <a:solidFill>
                <a:schemeClr val="bg1"/>
              </a:solidFill>
            </a:rPr>
            <a:t>pracownicza</a:t>
          </a:r>
        </a:p>
      </xdr:txBody>
    </xdr:sp>
    <xdr:clientData/>
  </xdr:twoCellAnchor>
  <xdr:twoCellAnchor>
    <xdr:from>
      <xdr:col>14</xdr:col>
      <xdr:colOff>285749</xdr:colOff>
      <xdr:row>14</xdr:row>
      <xdr:rowOff>171450</xdr:rowOff>
    </xdr:from>
    <xdr:to>
      <xdr:col>17</xdr:col>
      <xdr:colOff>180975</xdr:colOff>
      <xdr:row>17</xdr:row>
      <xdr:rowOff>9525</xdr:rowOff>
    </xdr:to>
    <xdr:sp macro="" textlink="">
      <xdr:nvSpPr>
        <xdr:cNvPr id="16" name="Pentagon 15">
          <a:hlinkClick xmlns:r="http://schemas.openxmlformats.org/officeDocument/2006/relationships" r:id="rId4"/>
        </xdr:cNvPr>
        <xdr:cNvSpPr/>
      </xdr:nvSpPr>
      <xdr:spPr>
        <a:xfrm>
          <a:off x="14620874" y="2838450"/>
          <a:ext cx="1724026" cy="4095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Oferta</a:t>
          </a:r>
        </a:p>
      </xdr:txBody>
    </xdr:sp>
    <xdr:clientData/>
  </xdr:twoCellAnchor>
  <xdr:twoCellAnchor>
    <xdr:from>
      <xdr:col>14</xdr:col>
      <xdr:colOff>295275</xdr:colOff>
      <xdr:row>17</xdr:row>
      <xdr:rowOff>161925</xdr:rowOff>
    </xdr:from>
    <xdr:to>
      <xdr:col>17</xdr:col>
      <xdr:colOff>180975</xdr:colOff>
      <xdr:row>20</xdr:row>
      <xdr:rowOff>66675</xdr:rowOff>
    </xdr:to>
    <xdr:sp macro="" textlink="">
      <xdr:nvSpPr>
        <xdr:cNvPr id="17" name="Pentagon 16">
          <a:hlinkClick xmlns:r="http://schemas.openxmlformats.org/officeDocument/2006/relationships" r:id="rId5"/>
        </xdr:cNvPr>
        <xdr:cNvSpPr/>
      </xdr:nvSpPr>
      <xdr:spPr>
        <a:xfrm>
          <a:off x="14630400" y="3400425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Zamówienia</a:t>
          </a:r>
        </a:p>
      </xdr:txBody>
    </xdr:sp>
    <xdr:clientData/>
  </xdr:twoCellAnchor>
  <xdr:twoCellAnchor>
    <xdr:from>
      <xdr:col>14</xdr:col>
      <xdr:colOff>47625</xdr:colOff>
      <xdr:row>21</xdr:row>
      <xdr:rowOff>0</xdr:rowOff>
    </xdr:from>
    <xdr:to>
      <xdr:col>16</xdr:col>
      <xdr:colOff>581025</xdr:colOff>
      <xdr:row>23</xdr:row>
      <xdr:rowOff>114300</xdr:rowOff>
    </xdr:to>
    <xdr:sp macro="" textlink="">
      <xdr:nvSpPr>
        <xdr:cNvPr id="18" name="Pentagon 17">
          <a:hlinkClick xmlns:r="http://schemas.openxmlformats.org/officeDocument/2006/relationships" r:id="rId6"/>
        </xdr:cNvPr>
        <xdr:cNvSpPr/>
      </xdr:nvSpPr>
      <xdr:spPr>
        <a:xfrm flipH="1">
          <a:off x="14382750" y="4000500"/>
          <a:ext cx="1752600" cy="495300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>
              <a:solidFill>
                <a:schemeClr val="bg2">
                  <a:lumMod val="10000"/>
                </a:schemeClr>
              </a:solidFill>
            </a:rPr>
            <a:t>Koszty</a:t>
          </a:r>
          <a:r>
            <a:rPr lang="pl-PL" sz="1400" b="1" baseline="0">
              <a:solidFill>
                <a:schemeClr val="bg2">
                  <a:lumMod val="10000"/>
                </a:schemeClr>
              </a:solidFill>
            </a:rPr>
            <a:t> produkcji</a:t>
          </a:r>
          <a:endParaRPr lang="pl-PL" sz="1400" b="1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14</xdr:col>
      <xdr:colOff>295275</xdr:colOff>
      <xdr:row>24</xdr:row>
      <xdr:rowOff>66675</xdr:rowOff>
    </xdr:from>
    <xdr:to>
      <xdr:col>17</xdr:col>
      <xdr:colOff>238125</xdr:colOff>
      <xdr:row>27</xdr:row>
      <xdr:rowOff>57150</xdr:rowOff>
    </xdr:to>
    <xdr:sp macro="" textlink="">
      <xdr:nvSpPr>
        <xdr:cNvPr id="19" name="Pentagon 18">
          <a:hlinkClick xmlns:r="http://schemas.openxmlformats.org/officeDocument/2006/relationships" r:id="rId7"/>
        </xdr:cNvPr>
        <xdr:cNvSpPr/>
      </xdr:nvSpPr>
      <xdr:spPr>
        <a:xfrm>
          <a:off x="14630400" y="4638675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utrzymania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304799</xdr:colOff>
      <xdr:row>27</xdr:row>
      <xdr:rowOff>180975</xdr:rowOff>
    </xdr:from>
    <xdr:to>
      <xdr:col>17</xdr:col>
      <xdr:colOff>200024</xdr:colOff>
      <xdr:row>30</xdr:row>
      <xdr:rowOff>85725</xdr:rowOff>
    </xdr:to>
    <xdr:sp macro="" textlink="">
      <xdr:nvSpPr>
        <xdr:cNvPr id="20" name="Pentagon 19">
          <a:hlinkClick xmlns:r="http://schemas.openxmlformats.org/officeDocument/2006/relationships" r:id="rId8"/>
        </xdr:cNvPr>
        <xdr:cNvSpPr/>
      </xdr:nvSpPr>
      <xdr:spPr>
        <a:xfrm>
          <a:off x="14639924" y="5324475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Podsumowanie</a:t>
          </a:r>
        </a:p>
      </xdr:txBody>
    </xdr:sp>
    <xdr:clientData/>
  </xdr:twoCellAnchor>
  <xdr:twoCellAnchor>
    <xdr:from>
      <xdr:col>14</xdr:col>
      <xdr:colOff>295275</xdr:colOff>
      <xdr:row>31</xdr:row>
      <xdr:rowOff>57150</xdr:rowOff>
    </xdr:from>
    <xdr:to>
      <xdr:col>17</xdr:col>
      <xdr:colOff>238125</xdr:colOff>
      <xdr:row>34</xdr:row>
      <xdr:rowOff>47625</xdr:rowOff>
    </xdr:to>
    <xdr:sp macro="" textlink="">
      <xdr:nvSpPr>
        <xdr:cNvPr id="21" name="Pentagon 20">
          <a:hlinkClick xmlns:r="http://schemas.openxmlformats.org/officeDocument/2006/relationships" r:id="rId9"/>
        </xdr:cNvPr>
        <xdr:cNvSpPr/>
      </xdr:nvSpPr>
      <xdr:spPr>
        <a:xfrm>
          <a:off x="14630400" y="5962650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 kosztów utrzymania</a:t>
          </a:r>
          <a:r>
            <a:rPr lang="pl-PL" sz="1400" baseline="0">
              <a:solidFill>
                <a:schemeClr val="bg1"/>
              </a:solidFill>
            </a:rPr>
            <a:t>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285749</xdr:colOff>
      <xdr:row>35</xdr:row>
      <xdr:rowOff>9525</xdr:rowOff>
    </xdr:from>
    <xdr:to>
      <xdr:col>17</xdr:col>
      <xdr:colOff>180974</xdr:colOff>
      <xdr:row>37</xdr:row>
      <xdr:rowOff>104775</xdr:rowOff>
    </xdr:to>
    <xdr:sp macro="" textlink="">
      <xdr:nvSpPr>
        <xdr:cNvPr id="22" name="Pentagon 21">
          <a:hlinkClick xmlns:r="http://schemas.openxmlformats.org/officeDocument/2006/relationships" r:id="rId10"/>
        </xdr:cNvPr>
        <xdr:cNvSpPr/>
      </xdr:nvSpPr>
      <xdr:spPr>
        <a:xfrm>
          <a:off x="14620874" y="6677025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</a:t>
          </a:r>
          <a:r>
            <a:rPr lang="pl-PL" sz="1400" baseline="0">
              <a:solidFill>
                <a:schemeClr val="bg1"/>
              </a:solidFill>
            </a:rPr>
            <a:t> zamówień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285750</xdr:colOff>
      <xdr:row>2</xdr:row>
      <xdr:rowOff>19050</xdr:rowOff>
    </xdr:from>
    <xdr:to>
      <xdr:col>17</xdr:col>
      <xdr:colOff>171450</xdr:colOff>
      <xdr:row>4</xdr:row>
      <xdr:rowOff>114300</xdr:rowOff>
    </xdr:to>
    <xdr:sp macro="" textlink="">
      <xdr:nvSpPr>
        <xdr:cNvPr id="23" name="Pentagon 22">
          <a:hlinkClick xmlns:r="http://schemas.openxmlformats.org/officeDocument/2006/relationships" r:id="rId11"/>
        </xdr:cNvPr>
        <xdr:cNvSpPr/>
      </xdr:nvSpPr>
      <xdr:spPr>
        <a:xfrm>
          <a:off x="14620875" y="40005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Wstęp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438150</xdr:colOff>
      <xdr:row>5</xdr:row>
      <xdr:rowOff>66675</xdr:rowOff>
    </xdr:from>
    <xdr:to>
      <xdr:col>21</xdr:col>
      <xdr:colOff>323850</xdr:colOff>
      <xdr:row>7</xdr:row>
      <xdr:rowOff>161925</xdr:rowOff>
    </xdr:to>
    <xdr:sp macro="" textlink="">
      <xdr:nvSpPr>
        <xdr:cNvPr id="2" name="Pentagon 1">
          <a:hlinkClick xmlns:r="http://schemas.openxmlformats.org/officeDocument/2006/relationships" r:id="rId1"/>
        </xdr:cNvPr>
        <xdr:cNvSpPr/>
      </xdr:nvSpPr>
      <xdr:spPr>
        <a:xfrm>
          <a:off x="13887450" y="1019175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Zmienne</a:t>
          </a:r>
        </a:p>
      </xdr:txBody>
    </xdr:sp>
    <xdr:clientData/>
  </xdr:twoCellAnchor>
  <xdr:twoCellAnchor>
    <xdr:from>
      <xdr:col>18</xdr:col>
      <xdr:colOff>428625</xdr:colOff>
      <xdr:row>8</xdr:row>
      <xdr:rowOff>114300</xdr:rowOff>
    </xdr:from>
    <xdr:to>
      <xdr:col>21</xdr:col>
      <xdr:colOff>352425</xdr:colOff>
      <xdr:row>11</xdr:row>
      <xdr:rowOff>38100</xdr:rowOff>
    </xdr:to>
    <xdr:sp macro="" textlink="">
      <xdr:nvSpPr>
        <xdr:cNvPr id="3" name="Pentagon 2">
          <a:hlinkClick xmlns:r="http://schemas.openxmlformats.org/officeDocument/2006/relationships" r:id="rId2"/>
        </xdr:cNvPr>
        <xdr:cNvSpPr/>
      </xdr:nvSpPr>
      <xdr:spPr>
        <a:xfrm>
          <a:off x="13877925" y="1638300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Fabryki</a:t>
          </a:r>
        </a:p>
      </xdr:txBody>
    </xdr:sp>
    <xdr:clientData/>
  </xdr:twoCellAnchor>
  <xdr:twoCellAnchor>
    <xdr:from>
      <xdr:col>18</xdr:col>
      <xdr:colOff>428625</xdr:colOff>
      <xdr:row>11</xdr:row>
      <xdr:rowOff>161925</xdr:rowOff>
    </xdr:from>
    <xdr:to>
      <xdr:col>21</xdr:col>
      <xdr:colOff>371475</xdr:colOff>
      <xdr:row>14</xdr:row>
      <xdr:rowOff>76200</xdr:rowOff>
    </xdr:to>
    <xdr:sp macro="" textlink="">
      <xdr:nvSpPr>
        <xdr:cNvPr id="4" name="Pentagon 3">
          <a:hlinkClick xmlns:r="http://schemas.openxmlformats.org/officeDocument/2006/relationships" r:id="rId3"/>
        </xdr:cNvPr>
        <xdr:cNvSpPr/>
      </xdr:nvSpPr>
      <xdr:spPr>
        <a:xfrm>
          <a:off x="13877925" y="2257425"/>
          <a:ext cx="1771650" cy="4857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Kadra</a:t>
          </a:r>
          <a:r>
            <a:rPr lang="pl-PL" sz="1400" baseline="0">
              <a:solidFill>
                <a:schemeClr val="bg1"/>
              </a:solidFill>
            </a:rPr>
            <a:t> </a:t>
          </a:r>
          <a:r>
            <a:rPr lang="pl-PL" sz="1400">
              <a:solidFill>
                <a:schemeClr val="bg1"/>
              </a:solidFill>
            </a:rPr>
            <a:t>pracownicza</a:t>
          </a:r>
        </a:p>
      </xdr:txBody>
    </xdr:sp>
    <xdr:clientData/>
  </xdr:twoCellAnchor>
  <xdr:twoCellAnchor>
    <xdr:from>
      <xdr:col>18</xdr:col>
      <xdr:colOff>438149</xdr:colOff>
      <xdr:row>15</xdr:row>
      <xdr:rowOff>0</xdr:rowOff>
    </xdr:from>
    <xdr:to>
      <xdr:col>21</xdr:col>
      <xdr:colOff>333375</xdr:colOff>
      <xdr:row>17</xdr:row>
      <xdr:rowOff>28575</xdr:rowOff>
    </xdr:to>
    <xdr:sp macro="" textlink="">
      <xdr:nvSpPr>
        <xdr:cNvPr id="5" name="Pentagon 4">
          <a:hlinkClick xmlns:r="http://schemas.openxmlformats.org/officeDocument/2006/relationships" r:id="rId4"/>
        </xdr:cNvPr>
        <xdr:cNvSpPr/>
      </xdr:nvSpPr>
      <xdr:spPr>
        <a:xfrm>
          <a:off x="13887449" y="2857500"/>
          <a:ext cx="1724026" cy="4095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Oferta</a:t>
          </a:r>
        </a:p>
      </xdr:txBody>
    </xdr:sp>
    <xdr:clientData/>
  </xdr:twoCellAnchor>
  <xdr:twoCellAnchor>
    <xdr:from>
      <xdr:col>18</xdr:col>
      <xdr:colOff>447675</xdr:colOff>
      <xdr:row>17</xdr:row>
      <xdr:rowOff>180975</xdr:rowOff>
    </xdr:from>
    <xdr:to>
      <xdr:col>21</xdr:col>
      <xdr:colOff>333375</xdr:colOff>
      <xdr:row>20</xdr:row>
      <xdr:rowOff>85725</xdr:rowOff>
    </xdr:to>
    <xdr:sp macro="" textlink="">
      <xdr:nvSpPr>
        <xdr:cNvPr id="6" name="Pentagon 5">
          <a:hlinkClick xmlns:r="http://schemas.openxmlformats.org/officeDocument/2006/relationships" r:id="rId5"/>
        </xdr:cNvPr>
        <xdr:cNvSpPr/>
      </xdr:nvSpPr>
      <xdr:spPr>
        <a:xfrm>
          <a:off x="13896975" y="3419475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Zamówienia</a:t>
          </a:r>
        </a:p>
      </xdr:txBody>
    </xdr:sp>
    <xdr:clientData/>
  </xdr:twoCellAnchor>
  <xdr:twoCellAnchor>
    <xdr:from>
      <xdr:col>18</xdr:col>
      <xdr:colOff>447675</xdr:colOff>
      <xdr:row>21</xdr:row>
      <xdr:rowOff>28575</xdr:rowOff>
    </xdr:from>
    <xdr:to>
      <xdr:col>21</xdr:col>
      <xdr:colOff>371475</xdr:colOff>
      <xdr:row>23</xdr:row>
      <xdr:rowOff>142875</xdr:rowOff>
    </xdr:to>
    <xdr:sp macro="" textlink="">
      <xdr:nvSpPr>
        <xdr:cNvPr id="7" name="Pentagon 6">
          <a:hlinkClick xmlns:r="http://schemas.openxmlformats.org/officeDocument/2006/relationships" r:id="rId6"/>
        </xdr:cNvPr>
        <xdr:cNvSpPr/>
      </xdr:nvSpPr>
      <xdr:spPr>
        <a:xfrm>
          <a:off x="13896975" y="4029075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produkcji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180975</xdr:colOff>
      <xdr:row>24</xdr:row>
      <xdr:rowOff>76200</xdr:rowOff>
    </xdr:from>
    <xdr:to>
      <xdr:col>21</xdr:col>
      <xdr:colOff>123825</xdr:colOff>
      <xdr:row>27</xdr:row>
      <xdr:rowOff>66675</xdr:rowOff>
    </xdr:to>
    <xdr:sp macro="" textlink="">
      <xdr:nvSpPr>
        <xdr:cNvPr id="8" name="Pentagon 7">
          <a:hlinkClick xmlns:r="http://schemas.openxmlformats.org/officeDocument/2006/relationships" r:id="rId7"/>
        </xdr:cNvPr>
        <xdr:cNvSpPr/>
      </xdr:nvSpPr>
      <xdr:spPr>
        <a:xfrm flipH="1">
          <a:off x="13630275" y="4648200"/>
          <a:ext cx="1771650" cy="561975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>
              <a:solidFill>
                <a:schemeClr val="bg2">
                  <a:lumMod val="10000"/>
                </a:schemeClr>
              </a:solidFill>
            </a:rPr>
            <a:t>Koszty</a:t>
          </a:r>
          <a:r>
            <a:rPr lang="pl-PL" sz="1400" b="1" baseline="0">
              <a:solidFill>
                <a:schemeClr val="bg2">
                  <a:lumMod val="10000"/>
                </a:schemeClr>
              </a:solidFill>
            </a:rPr>
            <a:t> utrzymania fabryk</a:t>
          </a:r>
          <a:endParaRPr lang="pl-PL" sz="1400" b="1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18</xdr:col>
      <xdr:colOff>457199</xdr:colOff>
      <xdr:row>28</xdr:row>
      <xdr:rowOff>9525</xdr:rowOff>
    </xdr:from>
    <xdr:to>
      <xdr:col>21</xdr:col>
      <xdr:colOff>352424</xdr:colOff>
      <xdr:row>30</xdr:row>
      <xdr:rowOff>104775</xdr:rowOff>
    </xdr:to>
    <xdr:sp macro="" textlink="">
      <xdr:nvSpPr>
        <xdr:cNvPr id="9" name="Pentagon 8">
          <a:hlinkClick xmlns:r="http://schemas.openxmlformats.org/officeDocument/2006/relationships" r:id="rId8"/>
        </xdr:cNvPr>
        <xdr:cNvSpPr/>
      </xdr:nvSpPr>
      <xdr:spPr>
        <a:xfrm>
          <a:off x="13906499" y="5343525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Podsumowanie</a:t>
          </a:r>
        </a:p>
      </xdr:txBody>
    </xdr:sp>
    <xdr:clientData/>
  </xdr:twoCellAnchor>
  <xdr:twoCellAnchor>
    <xdr:from>
      <xdr:col>18</xdr:col>
      <xdr:colOff>447675</xdr:colOff>
      <xdr:row>31</xdr:row>
      <xdr:rowOff>76200</xdr:rowOff>
    </xdr:from>
    <xdr:to>
      <xdr:col>21</xdr:col>
      <xdr:colOff>390525</xdr:colOff>
      <xdr:row>34</xdr:row>
      <xdr:rowOff>66675</xdr:rowOff>
    </xdr:to>
    <xdr:sp macro="" textlink="">
      <xdr:nvSpPr>
        <xdr:cNvPr id="10" name="Pentagon 9">
          <a:hlinkClick xmlns:r="http://schemas.openxmlformats.org/officeDocument/2006/relationships" r:id="rId9"/>
        </xdr:cNvPr>
        <xdr:cNvSpPr/>
      </xdr:nvSpPr>
      <xdr:spPr>
        <a:xfrm>
          <a:off x="13896975" y="5981700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 kosztów utrzymania</a:t>
          </a:r>
          <a:r>
            <a:rPr lang="pl-PL" sz="1400" baseline="0">
              <a:solidFill>
                <a:schemeClr val="bg1"/>
              </a:solidFill>
            </a:rPr>
            <a:t>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438149</xdr:colOff>
      <xdr:row>35</xdr:row>
      <xdr:rowOff>28575</xdr:rowOff>
    </xdr:from>
    <xdr:to>
      <xdr:col>21</xdr:col>
      <xdr:colOff>333374</xdr:colOff>
      <xdr:row>37</xdr:row>
      <xdr:rowOff>123825</xdr:rowOff>
    </xdr:to>
    <xdr:sp macro="" textlink="">
      <xdr:nvSpPr>
        <xdr:cNvPr id="11" name="Pentagon 10">
          <a:hlinkClick xmlns:r="http://schemas.openxmlformats.org/officeDocument/2006/relationships" r:id="rId10"/>
        </xdr:cNvPr>
        <xdr:cNvSpPr/>
      </xdr:nvSpPr>
      <xdr:spPr>
        <a:xfrm>
          <a:off x="13887449" y="6696075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</a:t>
          </a:r>
          <a:r>
            <a:rPr lang="pl-PL" sz="1400" baseline="0">
              <a:solidFill>
                <a:schemeClr val="bg1"/>
              </a:solidFill>
            </a:rPr>
            <a:t> zamówień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447675</xdr:colOff>
      <xdr:row>2</xdr:row>
      <xdr:rowOff>19050</xdr:rowOff>
    </xdr:from>
    <xdr:to>
      <xdr:col>21</xdr:col>
      <xdr:colOff>333375</xdr:colOff>
      <xdr:row>4</xdr:row>
      <xdr:rowOff>114300</xdr:rowOff>
    </xdr:to>
    <xdr:sp macro="" textlink="">
      <xdr:nvSpPr>
        <xdr:cNvPr id="12" name="Pentagon 11">
          <a:hlinkClick xmlns:r="http://schemas.openxmlformats.org/officeDocument/2006/relationships" r:id="rId11"/>
        </xdr:cNvPr>
        <xdr:cNvSpPr/>
      </xdr:nvSpPr>
      <xdr:spPr>
        <a:xfrm>
          <a:off x="13896975" y="40005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Wstęp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781050</xdr:colOff>
      <xdr:row>5</xdr:row>
      <xdr:rowOff>9525</xdr:rowOff>
    </xdr:from>
    <xdr:to>
      <xdr:col>10</xdr:col>
      <xdr:colOff>1076325</xdr:colOff>
      <xdr:row>7</xdr:row>
      <xdr:rowOff>104775</xdr:rowOff>
    </xdr:to>
    <xdr:sp macro="" textlink="">
      <xdr:nvSpPr>
        <xdr:cNvPr id="2" name="Pentagon 1">
          <a:hlinkClick xmlns:r="http://schemas.openxmlformats.org/officeDocument/2006/relationships" r:id="rId1"/>
        </xdr:cNvPr>
        <xdr:cNvSpPr/>
      </xdr:nvSpPr>
      <xdr:spPr>
        <a:xfrm>
          <a:off x="14792325" y="962025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Zmienne</a:t>
          </a:r>
        </a:p>
      </xdr:txBody>
    </xdr:sp>
    <xdr:clientData/>
  </xdr:twoCellAnchor>
  <xdr:twoCellAnchor>
    <xdr:from>
      <xdr:col>9</xdr:col>
      <xdr:colOff>771525</xdr:colOff>
      <xdr:row>8</xdr:row>
      <xdr:rowOff>57150</xdr:rowOff>
    </xdr:from>
    <xdr:to>
      <xdr:col>11</xdr:col>
      <xdr:colOff>9525</xdr:colOff>
      <xdr:row>9</xdr:row>
      <xdr:rowOff>219075</xdr:rowOff>
    </xdr:to>
    <xdr:sp macro="" textlink="">
      <xdr:nvSpPr>
        <xdr:cNvPr id="3" name="Pentagon 2">
          <a:hlinkClick xmlns:r="http://schemas.openxmlformats.org/officeDocument/2006/relationships" r:id="rId2"/>
        </xdr:cNvPr>
        <xdr:cNvSpPr/>
      </xdr:nvSpPr>
      <xdr:spPr>
        <a:xfrm>
          <a:off x="14782800" y="1581150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Fabryki</a:t>
          </a:r>
        </a:p>
      </xdr:txBody>
    </xdr:sp>
    <xdr:clientData/>
  </xdr:twoCellAnchor>
  <xdr:twoCellAnchor>
    <xdr:from>
      <xdr:col>9</xdr:col>
      <xdr:colOff>771525</xdr:colOff>
      <xdr:row>10</xdr:row>
      <xdr:rowOff>104775</xdr:rowOff>
    </xdr:from>
    <xdr:to>
      <xdr:col>11</xdr:col>
      <xdr:colOff>28575</xdr:colOff>
      <xdr:row>12</xdr:row>
      <xdr:rowOff>114300</xdr:rowOff>
    </xdr:to>
    <xdr:sp macro="" textlink="">
      <xdr:nvSpPr>
        <xdr:cNvPr id="4" name="Pentagon 3">
          <a:hlinkClick xmlns:r="http://schemas.openxmlformats.org/officeDocument/2006/relationships" r:id="rId3"/>
        </xdr:cNvPr>
        <xdr:cNvSpPr/>
      </xdr:nvSpPr>
      <xdr:spPr>
        <a:xfrm>
          <a:off x="14782800" y="2200275"/>
          <a:ext cx="1771650" cy="4857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Kadra</a:t>
          </a:r>
          <a:r>
            <a:rPr lang="pl-PL" sz="1400" baseline="0">
              <a:solidFill>
                <a:schemeClr val="bg1"/>
              </a:solidFill>
            </a:rPr>
            <a:t> </a:t>
          </a:r>
          <a:r>
            <a:rPr lang="pl-PL" sz="1400">
              <a:solidFill>
                <a:schemeClr val="bg1"/>
              </a:solidFill>
            </a:rPr>
            <a:t>pracownicza</a:t>
          </a:r>
        </a:p>
      </xdr:txBody>
    </xdr:sp>
    <xdr:clientData/>
  </xdr:twoCellAnchor>
  <xdr:twoCellAnchor>
    <xdr:from>
      <xdr:col>9</xdr:col>
      <xdr:colOff>781049</xdr:colOff>
      <xdr:row>12</xdr:row>
      <xdr:rowOff>228600</xdr:rowOff>
    </xdr:from>
    <xdr:to>
      <xdr:col>10</xdr:col>
      <xdr:colOff>1085850</xdr:colOff>
      <xdr:row>14</xdr:row>
      <xdr:rowOff>161925</xdr:rowOff>
    </xdr:to>
    <xdr:sp macro="" textlink="">
      <xdr:nvSpPr>
        <xdr:cNvPr id="5" name="Pentagon 4">
          <a:hlinkClick xmlns:r="http://schemas.openxmlformats.org/officeDocument/2006/relationships" r:id="rId4"/>
        </xdr:cNvPr>
        <xdr:cNvSpPr/>
      </xdr:nvSpPr>
      <xdr:spPr>
        <a:xfrm>
          <a:off x="14792324" y="2800350"/>
          <a:ext cx="1724026" cy="4095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Oferta</a:t>
          </a:r>
        </a:p>
      </xdr:txBody>
    </xdr:sp>
    <xdr:clientData/>
  </xdr:twoCellAnchor>
  <xdr:twoCellAnchor>
    <xdr:from>
      <xdr:col>9</xdr:col>
      <xdr:colOff>790575</xdr:colOff>
      <xdr:row>15</xdr:row>
      <xdr:rowOff>76200</xdr:rowOff>
    </xdr:from>
    <xdr:to>
      <xdr:col>10</xdr:col>
      <xdr:colOff>1085850</xdr:colOff>
      <xdr:row>17</xdr:row>
      <xdr:rowOff>76200</xdr:rowOff>
    </xdr:to>
    <xdr:sp macro="" textlink="">
      <xdr:nvSpPr>
        <xdr:cNvPr id="6" name="Pentagon 5">
          <a:hlinkClick xmlns:r="http://schemas.openxmlformats.org/officeDocument/2006/relationships" r:id="rId5"/>
        </xdr:cNvPr>
        <xdr:cNvSpPr/>
      </xdr:nvSpPr>
      <xdr:spPr>
        <a:xfrm>
          <a:off x="14801850" y="3362325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Zamówienia</a:t>
          </a:r>
        </a:p>
      </xdr:txBody>
    </xdr:sp>
    <xdr:clientData/>
  </xdr:twoCellAnchor>
  <xdr:twoCellAnchor>
    <xdr:from>
      <xdr:col>9</xdr:col>
      <xdr:colOff>790575</xdr:colOff>
      <xdr:row>17</xdr:row>
      <xdr:rowOff>209550</xdr:rowOff>
    </xdr:from>
    <xdr:to>
      <xdr:col>11</xdr:col>
      <xdr:colOff>28575</xdr:colOff>
      <xdr:row>19</xdr:row>
      <xdr:rowOff>228600</xdr:rowOff>
    </xdr:to>
    <xdr:sp macro="" textlink="">
      <xdr:nvSpPr>
        <xdr:cNvPr id="7" name="Pentagon 6">
          <a:hlinkClick xmlns:r="http://schemas.openxmlformats.org/officeDocument/2006/relationships" r:id="rId6"/>
        </xdr:cNvPr>
        <xdr:cNvSpPr/>
      </xdr:nvSpPr>
      <xdr:spPr>
        <a:xfrm>
          <a:off x="14801850" y="3971925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produkcji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790575</xdr:colOff>
      <xdr:row>20</xdr:row>
      <xdr:rowOff>123825</xdr:rowOff>
    </xdr:from>
    <xdr:to>
      <xdr:col>11</xdr:col>
      <xdr:colOff>47625</xdr:colOff>
      <xdr:row>22</xdr:row>
      <xdr:rowOff>209550</xdr:rowOff>
    </xdr:to>
    <xdr:sp macro="" textlink="">
      <xdr:nvSpPr>
        <xdr:cNvPr id="8" name="Pentagon 7">
          <a:hlinkClick xmlns:r="http://schemas.openxmlformats.org/officeDocument/2006/relationships" r:id="rId7"/>
        </xdr:cNvPr>
        <xdr:cNvSpPr/>
      </xdr:nvSpPr>
      <xdr:spPr>
        <a:xfrm>
          <a:off x="14801850" y="4600575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utrzymania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581024</xdr:colOff>
      <xdr:row>23</xdr:row>
      <xdr:rowOff>114300</xdr:rowOff>
    </xdr:from>
    <xdr:to>
      <xdr:col>10</xdr:col>
      <xdr:colOff>885824</xdr:colOff>
      <xdr:row>25</xdr:row>
      <xdr:rowOff>161925</xdr:rowOff>
    </xdr:to>
    <xdr:sp macro="" textlink="">
      <xdr:nvSpPr>
        <xdr:cNvPr id="9" name="Pentagon 8">
          <a:hlinkClick xmlns:r="http://schemas.openxmlformats.org/officeDocument/2006/relationships" r:id="rId8"/>
        </xdr:cNvPr>
        <xdr:cNvSpPr/>
      </xdr:nvSpPr>
      <xdr:spPr>
        <a:xfrm flipH="1">
          <a:off x="14592299" y="5305425"/>
          <a:ext cx="1724025" cy="476250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>
              <a:solidFill>
                <a:schemeClr val="bg2">
                  <a:lumMod val="10000"/>
                </a:schemeClr>
              </a:solidFill>
            </a:rPr>
            <a:t>Podsumowanie</a:t>
          </a:r>
        </a:p>
      </xdr:txBody>
    </xdr:sp>
    <xdr:clientData/>
  </xdr:twoCellAnchor>
  <xdr:twoCellAnchor>
    <xdr:from>
      <xdr:col>9</xdr:col>
      <xdr:colOff>790575</xdr:colOff>
      <xdr:row>26</xdr:row>
      <xdr:rowOff>114300</xdr:rowOff>
    </xdr:from>
    <xdr:to>
      <xdr:col>11</xdr:col>
      <xdr:colOff>47625</xdr:colOff>
      <xdr:row>29</xdr:row>
      <xdr:rowOff>104775</xdr:rowOff>
    </xdr:to>
    <xdr:sp macro="" textlink="">
      <xdr:nvSpPr>
        <xdr:cNvPr id="10" name="Pentagon 9">
          <a:hlinkClick xmlns:r="http://schemas.openxmlformats.org/officeDocument/2006/relationships" r:id="rId9"/>
        </xdr:cNvPr>
        <xdr:cNvSpPr/>
      </xdr:nvSpPr>
      <xdr:spPr>
        <a:xfrm>
          <a:off x="14801850" y="5924550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 kosztów utrzymania</a:t>
          </a:r>
          <a:r>
            <a:rPr lang="pl-PL" sz="1400" baseline="0">
              <a:solidFill>
                <a:schemeClr val="bg1"/>
              </a:solidFill>
            </a:rPr>
            <a:t>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781049</xdr:colOff>
      <xdr:row>30</xdr:row>
      <xdr:rowOff>66675</xdr:rowOff>
    </xdr:from>
    <xdr:to>
      <xdr:col>10</xdr:col>
      <xdr:colOff>1085849</xdr:colOff>
      <xdr:row>32</xdr:row>
      <xdr:rowOff>161925</xdr:rowOff>
    </xdr:to>
    <xdr:sp macro="" textlink="">
      <xdr:nvSpPr>
        <xdr:cNvPr id="11" name="Pentagon 10">
          <a:hlinkClick xmlns:r="http://schemas.openxmlformats.org/officeDocument/2006/relationships" r:id="rId10"/>
        </xdr:cNvPr>
        <xdr:cNvSpPr/>
      </xdr:nvSpPr>
      <xdr:spPr>
        <a:xfrm>
          <a:off x="14792324" y="6638925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</a:t>
          </a:r>
          <a:r>
            <a:rPr lang="pl-PL" sz="1400" baseline="0">
              <a:solidFill>
                <a:schemeClr val="bg1"/>
              </a:solidFill>
            </a:rPr>
            <a:t> zamówień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771525</xdr:colOff>
      <xdr:row>1</xdr:row>
      <xdr:rowOff>161925</xdr:rowOff>
    </xdr:from>
    <xdr:to>
      <xdr:col>10</xdr:col>
      <xdr:colOff>1066800</xdr:colOff>
      <xdr:row>4</xdr:row>
      <xdr:rowOff>66675</xdr:rowOff>
    </xdr:to>
    <xdr:sp macro="" textlink="">
      <xdr:nvSpPr>
        <xdr:cNvPr id="12" name="Pentagon 11">
          <a:hlinkClick xmlns:r="http://schemas.openxmlformats.org/officeDocument/2006/relationships" r:id="rId11"/>
        </xdr:cNvPr>
        <xdr:cNvSpPr/>
      </xdr:nvSpPr>
      <xdr:spPr>
        <a:xfrm>
          <a:off x="14782800" y="352425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Wstęp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723901</xdr:colOff>
      <xdr:row>0</xdr:row>
      <xdr:rowOff>0</xdr:rowOff>
    </xdr:from>
    <xdr:to>
      <xdr:col>17</xdr:col>
      <xdr:colOff>276226</xdr:colOff>
      <xdr:row>15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428625</xdr:colOff>
      <xdr:row>0</xdr:row>
      <xdr:rowOff>9525</xdr:rowOff>
    </xdr:from>
    <xdr:to>
      <xdr:col>9</xdr:col>
      <xdr:colOff>419100</xdr:colOff>
      <xdr:row>15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16</xdr:row>
      <xdr:rowOff>47625</xdr:rowOff>
    </xdr:from>
    <xdr:to>
      <xdr:col>13</xdr:col>
      <xdr:colOff>238125</xdr:colOff>
      <xdr:row>32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161925</xdr:colOff>
      <xdr:row>4</xdr:row>
      <xdr:rowOff>171450</xdr:rowOff>
    </xdr:from>
    <xdr:to>
      <xdr:col>22</xdr:col>
      <xdr:colOff>47625</xdr:colOff>
      <xdr:row>7</xdr:row>
      <xdr:rowOff>76200</xdr:rowOff>
    </xdr:to>
    <xdr:sp macro="" textlink="">
      <xdr:nvSpPr>
        <xdr:cNvPr id="6" name="Pentagon 5">
          <a:hlinkClick xmlns:r="http://schemas.openxmlformats.org/officeDocument/2006/relationships" r:id="rId4"/>
        </xdr:cNvPr>
        <xdr:cNvSpPr/>
      </xdr:nvSpPr>
      <xdr:spPr>
        <a:xfrm>
          <a:off x="14116050" y="93345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Zmienne</a:t>
          </a:r>
        </a:p>
      </xdr:txBody>
    </xdr:sp>
    <xdr:clientData/>
  </xdr:twoCellAnchor>
  <xdr:twoCellAnchor>
    <xdr:from>
      <xdr:col>19</xdr:col>
      <xdr:colOff>152400</xdr:colOff>
      <xdr:row>8</xdr:row>
      <xdr:rowOff>28575</xdr:rowOff>
    </xdr:from>
    <xdr:to>
      <xdr:col>22</xdr:col>
      <xdr:colOff>76200</xdr:colOff>
      <xdr:row>10</xdr:row>
      <xdr:rowOff>142875</xdr:rowOff>
    </xdr:to>
    <xdr:sp macro="" textlink="">
      <xdr:nvSpPr>
        <xdr:cNvPr id="7" name="Pentagon 6">
          <a:hlinkClick xmlns:r="http://schemas.openxmlformats.org/officeDocument/2006/relationships" r:id="rId5"/>
        </xdr:cNvPr>
        <xdr:cNvSpPr/>
      </xdr:nvSpPr>
      <xdr:spPr>
        <a:xfrm>
          <a:off x="14106525" y="1552575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Fabryki</a:t>
          </a:r>
        </a:p>
      </xdr:txBody>
    </xdr:sp>
    <xdr:clientData/>
  </xdr:twoCellAnchor>
  <xdr:twoCellAnchor>
    <xdr:from>
      <xdr:col>19</xdr:col>
      <xdr:colOff>152400</xdr:colOff>
      <xdr:row>11</xdr:row>
      <xdr:rowOff>76200</xdr:rowOff>
    </xdr:from>
    <xdr:to>
      <xdr:col>22</xdr:col>
      <xdr:colOff>95250</xdr:colOff>
      <xdr:row>13</xdr:row>
      <xdr:rowOff>180975</xdr:rowOff>
    </xdr:to>
    <xdr:sp macro="" textlink="">
      <xdr:nvSpPr>
        <xdr:cNvPr id="8" name="Pentagon 7">
          <a:hlinkClick xmlns:r="http://schemas.openxmlformats.org/officeDocument/2006/relationships" r:id="rId6"/>
        </xdr:cNvPr>
        <xdr:cNvSpPr/>
      </xdr:nvSpPr>
      <xdr:spPr>
        <a:xfrm>
          <a:off x="14106525" y="2171700"/>
          <a:ext cx="1771650" cy="4857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Kadra</a:t>
          </a:r>
          <a:r>
            <a:rPr lang="pl-PL" sz="1400" baseline="0">
              <a:solidFill>
                <a:schemeClr val="bg1"/>
              </a:solidFill>
            </a:rPr>
            <a:t> </a:t>
          </a:r>
          <a:r>
            <a:rPr lang="pl-PL" sz="1400">
              <a:solidFill>
                <a:schemeClr val="bg1"/>
              </a:solidFill>
            </a:rPr>
            <a:t>pracownicza</a:t>
          </a:r>
        </a:p>
      </xdr:txBody>
    </xdr:sp>
    <xdr:clientData/>
  </xdr:twoCellAnchor>
  <xdr:twoCellAnchor>
    <xdr:from>
      <xdr:col>19</xdr:col>
      <xdr:colOff>161924</xdr:colOff>
      <xdr:row>14</xdr:row>
      <xdr:rowOff>104775</xdr:rowOff>
    </xdr:from>
    <xdr:to>
      <xdr:col>22</xdr:col>
      <xdr:colOff>57150</xdr:colOff>
      <xdr:row>16</xdr:row>
      <xdr:rowOff>133350</xdr:rowOff>
    </xdr:to>
    <xdr:sp macro="" textlink="">
      <xdr:nvSpPr>
        <xdr:cNvPr id="9" name="Pentagon 8">
          <a:hlinkClick xmlns:r="http://schemas.openxmlformats.org/officeDocument/2006/relationships" r:id="rId7"/>
        </xdr:cNvPr>
        <xdr:cNvSpPr/>
      </xdr:nvSpPr>
      <xdr:spPr>
        <a:xfrm>
          <a:off x="14116049" y="2771775"/>
          <a:ext cx="1724026" cy="4095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Oferta</a:t>
          </a:r>
        </a:p>
      </xdr:txBody>
    </xdr:sp>
    <xdr:clientData/>
  </xdr:twoCellAnchor>
  <xdr:twoCellAnchor>
    <xdr:from>
      <xdr:col>19</xdr:col>
      <xdr:colOff>171450</xdr:colOff>
      <xdr:row>17</xdr:row>
      <xdr:rowOff>95250</xdr:rowOff>
    </xdr:from>
    <xdr:to>
      <xdr:col>22</xdr:col>
      <xdr:colOff>57150</xdr:colOff>
      <xdr:row>20</xdr:row>
      <xdr:rowOff>0</xdr:rowOff>
    </xdr:to>
    <xdr:sp macro="" textlink="">
      <xdr:nvSpPr>
        <xdr:cNvPr id="10" name="Pentagon 9">
          <a:hlinkClick xmlns:r="http://schemas.openxmlformats.org/officeDocument/2006/relationships" r:id="rId8"/>
        </xdr:cNvPr>
        <xdr:cNvSpPr/>
      </xdr:nvSpPr>
      <xdr:spPr>
        <a:xfrm>
          <a:off x="14125575" y="333375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Zamówienia</a:t>
          </a:r>
        </a:p>
      </xdr:txBody>
    </xdr:sp>
    <xdr:clientData/>
  </xdr:twoCellAnchor>
  <xdr:twoCellAnchor>
    <xdr:from>
      <xdr:col>19</xdr:col>
      <xdr:colOff>171450</xdr:colOff>
      <xdr:row>20</xdr:row>
      <xdr:rowOff>133350</xdr:rowOff>
    </xdr:from>
    <xdr:to>
      <xdr:col>22</xdr:col>
      <xdr:colOff>95250</xdr:colOff>
      <xdr:row>23</xdr:row>
      <xdr:rowOff>57150</xdr:rowOff>
    </xdr:to>
    <xdr:sp macro="" textlink="">
      <xdr:nvSpPr>
        <xdr:cNvPr id="11" name="Pentagon 10">
          <a:hlinkClick xmlns:r="http://schemas.openxmlformats.org/officeDocument/2006/relationships" r:id="rId9"/>
        </xdr:cNvPr>
        <xdr:cNvSpPr/>
      </xdr:nvSpPr>
      <xdr:spPr>
        <a:xfrm>
          <a:off x="14125575" y="3943350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produkcji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171450</xdr:colOff>
      <xdr:row>24</xdr:row>
      <xdr:rowOff>0</xdr:rowOff>
    </xdr:from>
    <xdr:to>
      <xdr:col>22</xdr:col>
      <xdr:colOff>114300</xdr:colOff>
      <xdr:row>26</xdr:row>
      <xdr:rowOff>180975</xdr:rowOff>
    </xdr:to>
    <xdr:sp macro="" textlink="">
      <xdr:nvSpPr>
        <xdr:cNvPr id="12" name="Pentagon 11">
          <a:hlinkClick xmlns:r="http://schemas.openxmlformats.org/officeDocument/2006/relationships" r:id="rId10"/>
        </xdr:cNvPr>
        <xdr:cNvSpPr/>
      </xdr:nvSpPr>
      <xdr:spPr>
        <a:xfrm>
          <a:off x="14125575" y="4572000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utrzymania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180974</xdr:colOff>
      <xdr:row>27</xdr:row>
      <xdr:rowOff>114300</xdr:rowOff>
    </xdr:from>
    <xdr:to>
      <xdr:col>22</xdr:col>
      <xdr:colOff>76199</xdr:colOff>
      <xdr:row>30</xdr:row>
      <xdr:rowOff>19050</xdr:rowOff>
    </xdr:to>
    <xdr:sp macro="" textlink="">
      <xdr:nvSpPr>
        <xdr:cNvPr id="13" name="Pentagon 12">
          <a:hlinkClick xmlns:r="http://schemas.openxmlformats.org/officeDocument/2006/relationships" r:id="rId11"/>
        </xdr:cNvPr>
        <xdr:cNvSpPr/>
      </xdr:nvSpPr>
      <xdr:spPr>
        <a:xfrm>
          <a:off x="14135099" y="5257800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Podsumowanie</a:t>
          </a:r>
        </a:p>
      </xdr:txBody>
    </xdr:sp>
    <xdr:clientData/>
  </xdr:twoCellAnchor>
  <xdr:twoCellAnchor>
    <xdr:from>
      <xdr:col>18</xdr:col>
      <xdr:colOff>495300</xdr:colOff>
      <xdr:row>30</xdr:row>
      <xdr:rowOff>180975</xdr:rowOff>
    </xdr:from>
    <xdr:to>
      <xdr:col>21</xdr:col>
      <xdr:colOff>438150</xdr:colOff>
      <xdr:row>33</xdr:row>
      <xdr:rowOff>171450</xdr:rowOff>
    </xdr:to>
    <xdr:sp macro="" textlink="">
      <xdr:nvSpPr>
        <xdr:cNvPr id="14" name="Pentagon 13">
          <a:hlinkClick xmlns:r="http://schemas.openxmlformats.org/officeDocument/2006/relationships" r:id="rId12"/>
        </xdr:cNvPr>
        <xdr:cNvSpPr/>
      </xdr:nvSpPr>
      <xdr:spPr>
        <a:xfrm flipH="1">
          <a:off x="13839825" y="5895975"/>
          <a:ext cx="1771650" cy="561975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>
              <a:solidFill>
                <a:schemeClr val="bg2">
                  <a:lumMod val="10000"/>
                </a:schemeClr>
              </a:solidFill>
            </a:rPr>
            <a:t>Analiza kosztów utrzymania</a:t>
          </a:r>
          <a:r>
            <a:rPr lang="pl-PL" sz="1400" b="1" baseline="0">
              <a:solidFill>
                <a:schemeClr val="bg2">
                  <a:lumMod val="10000"/>
                </a:schemeClr>
              </a:solidFill>
            </a:rPr>
            <a:t> fabryk</a:t>
          </a:r>
          <a:endParaRPr lang="pl-PL" sz="1400" b="1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19</xdr:col>
      <xdr:colOff>161924</xdr:colOff>
      <xdr:row>34</xdr:row>
      <xdr:rowOff>133350</xdr:rowOff>
    </xdr:from>
    <xdr:to>
      <xdr:col>22</xdr:col>
      <xdr:colOff>57149</xdr:colOff>
      <xdr:row>37</xdr:row>
      <xdr:rowOff>38100</xdr:rowOff>
    </xdr:to>
    <xdr:sp macro="" textlink="">
      <xdr:nvSpPr>
        <xdr:cNvPr id="15" name="Pentagon 14">
          <a:hlinkClick xmlns:r="http://schemas.openxmlformats.org/officeDocument/2006/relationships" r:id="rId13"/>
        </xdr:cNvPr>
        <xdr:cNvSpPr/>
      </xdr:nvSpPr>
      <xdr:spPr>
        <a:xfrm>
          <a:off x="14116049" y="6610350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</a:t>
          </a:r>
          <a:r>
            <a:rPr lang="pl-PL" sz="1400" baseline="0">
              <a:solidFill>
                <a:schemeClr val="bg1"/>
              </a:solidFill>
            </a:rPr>
            <a:t> zamówień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161925</xdr:colOff>
      <xdr:row>1</xdr:row>
      <xdr:rowOff>152400</xdr:rowOff>
    </xdr:from>
    <xdr:to>
      <xdr:col>22</xdr:col>
      <xdr:colOff>47625</xdr:colOff>
      <xdr:row>4</xdr:row>
      <xdr:rowOff>57150</xdr:rowOff>
    </xdr:to>
    <xdr:sp macro="" textlink="">
      <xdr:nvSpPr>
        <xdr:cNvPr id="16" name="Pentagon 15">
          <a:hlinkClick xmlns:r="http://schemas.openxmlformats.org/officeDocument/2006/relationships" r:id="rId14"/>
        </xdr:cNvPr>
        <xdr:cNvSpPr/>
      </xdr:nvSpPr>
      <xdr:spPr>
        <a:xfrm>
          <a:off x="14116050" y="34290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Wstęp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9525</xdr:rowOff>
    </xdr:from>
    <xdr:to>
      <xdr:col>11</xdr:col>
      <xdr:colOff>95250</xdr:colOff>
      <xdr:row>16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0</xdr:row>
      <xdr:rowOff>9525</xdr:rowOff>
    </xdr:from>
    <xdr:to>
      <xdr:col>19</xdr:col>
      <xdr:colOff>266700</xdr:colOff>
      <xdr:row>16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266700</xdr:colOff>
      <xdr:row>18</xdr:row>
      <xdr:rowOff>66674</xdr:rowOff>
    </xdr:from>
    <xdr:to>
      <xdr:col>11</xdr:col>
      <xdr:colOff>28575</xdr:colOff>
      <xdr:row>35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323850</xdr:colOff>
      <xdr:row>18</xdr:row>
      <xdr:rowOff>85724</xdr:rowOff>
    </xdr:from>
    <xdr:to>
      <xdr:col>19</xdr:col>
      <xdr:colOff>190500</xdr:colOff>
      <xdr:row>35</xdr:row>
      <xdr:rowOff>114299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152400</xdr:colOff>
      <xdr:row>5</xdr:row>
      <xdr:rowOff>0</xdr:rowOff>
    </xdr:from>
    <xdr:to>
      <xdr:col>26</xdr:col>
      <xdr:colOff>38100</xdr:colOff>
      <xdr:row>7</xdr:row>
      <xdr:rowOff>95250</xdr:rowOff>
    </xdr:to>
    <xdr:sp macro="" textlink="">
      <xdr:nvSpPr>
        <xdr:cNvPr id="6" name="Pentagon 5">
          <a:hlinkClick xmlns:r="http://schemas.openxmlformats.org/officeDocument/2006/relationships" r:id="rId5"/>
        </xdr:cNvPr>
        <xdr:cNvSpPr/>
      </xdr:nvSpPr>
      <xdr:spPr>
        <a:xfrm>
          <a:off x="13896975" y="95250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Zmienne</a:t>
          </a:r>
        </a:p>
      </xdr:txBody>
    </xdr:sp>
    <xdr:clientData/>
  </xdr:twoCellAnchor>
  <xdr:twoCellAnchor>
    <xdr:from>
      <xdr:col>23</xdr:col>
      <xdr:colOff>142875</xdr:colOff>
      <xdr:row>8</xdr:row>
      <xdr:rowOff>47625</xdr:rowOff>
    </xdr:from>
    <xdr:to>
      <xdr:col>26</xdr:col>
      <xdr:colOff>66675</xdr:colOff>
      <xdr:row>10</xdr:row>
      <xdr:rowOff>161925</xdr:rowOff>
    </xdr:to>
    <xdr:sp macro="" textlink="">
      <xdr:nvSpPr>
        <xdr:cNvPr id="7" name="Pentagon 6">
          <a:hlinkClick xmlns:r="http://schemas.openxmlformats.org/officeDocument/2006/relationships" r:id="rId6"/>
        </xdr:cNvPr>
        <xdr:cNvSpPr/>
      </xdr:nvSpPr>
      <xdr:spPr>
        <a:xfrm>
          <a:off x="13887450" y="1571625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Fabryki</a:t>
          </a:r>
        </a:p>
      </xdr:txBody>
    </xdr:sp>
    <xdr:clientData/>
  </xdr:twoCellAnchor>
  <xdr:twoCellAnchor>
    <xdr:from>
      <xdr:col>23</xdr:col>
      <xdr:colOff>142875</xdr:colOff>
      <xdr:row>11</xdr:row>
      <xdr:rowOff>95250</xdr:rowOff>
    </xdr:from>
    <xdr:to>
      <xdr:col>26</xdr:col>
      <xdr:colOff>85725</xdr:colOff>
      <xdr:row>14</xdr:row>
      <xdr:rowOff>9525</xdr:rowOff>
    </xdr:to>
    <xdr:sp macro="" textlink="">
      <xdr:nvSpPr>
        <xdr:cNvPr id="8" name="Pentagon 7">
          <a:hlinkClick xmlns:r="http://schemas.openxmlformats.org/officeDocument/2006/relationships" r:id="rId7"/>
        </xdr:cNvPr>
        <xdr:cNvSpPr/>
      </xdr:nvSpPr>
      <xdr:spPr>
        <a:xfrm>
          <a:off x="13887450" y="2190750"/>
          <a:ext cx="1771650" cy="4857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Kadra</a:t>
          </a:r>
          <a:r>
            <a:rPr lang="pl-PL" sz="1400" baseline="0">
              <a:solidFill>
                <a:schemeClr val="bg1"/>
              </a:solidFill>
            </a:rPr>
            <a:t> </a:t>
          </a:r>
          <a:r>
            <a:rPr lang="pl-PL" sz="1400">
              <a:solidFill>
                <a:schemeClr val="bg1"/>
              </a:solidFill>
            </a:rPr>
            <a:t>pracownicza</a:t>
          </a:r>
        </a:p>
      </xdr:txBody>
    </xdr:sp>
    <xdr:clientData/>
  </xdr:twoCellAnchor>
  <xdr:twoCellAnchor>
    <xdr:from>
      <xdr:col>23</xdr:col>
      <xdr:colOff>152399</xdr:colOff>
      <xdr:row>14</xdr:row>
      <xdr:rowOff>123825</xdr:rowOff>
    </xdr:from>
    <xdr:to>
      <xdr:col>26</xdr:col>
      <xdr:colOff>47625</xdr:colOff>
      <xdr:row>16</xdr:row>
      <xdr:rowOff>152400</xdr:rowOff>
    </xdr:to>
    <xdr:sp macro="" textlink="">
      <xdr:nvSpPr>
        <xdr:cNvPr id="9" name="Pentagon 8">
          <a:hlinkClick xmlns:r="http://schemas.openxmlformats.org/officeDocument/2006/relationships" r:id="rId8"/>
        </xdr:cNvPr>
        <xdr:cNvSpPr/>
      </xdr:nvSpPr>
      <xdr:spPr>
        <a:xfrm>
          <a:off x="13896974" y="2790825"/>
          <a:ext cx="1724026" cy="4095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Oferta</a:t>
          </a:r>
        </a:p>
      </xdr:txBody>
    </xdr:sp>
    <xdr:clientData/>
  </xdr:twoCellAnchor>
  <xdr:twoCellAnchor>
    <xdr:from>
      <xdr:col>23</xdr:col>
      <xdr:colOff>161925</xdr:colOff>
      <xdr:row>17</xdr:row>
      <xdr:rowOff>114300</xdr:rowOff>
    </xdr:from>
    <xdr:to>
      <xdr:col>26</xdr:col>
      <xdr:colOff>47625</xdr:colOff>
      <xdr:row>20</xdr:row>
      <xdr:rowOff>19050</xdr:rowOff>
    </xdr:to>
    <xdr:sp macro="" textlink="">
      <xdr:nvSpPr>
        <xdr:cNvPr id="10" name="Pentagon 9">
          <a:hlinkClick xmlns:r="http://schemas.openxmlformats.org/officeDocument/2006/relationships" r:id="rId9"/>
        </xdr:cNvPr>
        <xdr:cNvSpPr/>
      </xdr:nvSpPr>
      <xdr:spPr>
        <a:xfrm>
          <a:off x="13906500" y="3352800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Zamówienia</a:t>
          </a:r>
        </a:p>
      </xdr:txBody>
    </xdr:sp>
    <xdr:clientData/>
  </xdr:twoCellAnchor>
  <xdr:twoCellAnchor>
    <xdr:from>
      <xdr:col>23</xdr:col>
      <xdr:colOff>161925</xdr:colOff>
      <xdr:row>20</xdr:row>
      <xdr:rowOff>152400</xdr:rowOff>
    </xdr:from>
    <xdr:to>
      <xdr:col>26</xdr:col>
      <xdr:colOff>85725</xdr:colOff>
      <xdr:row>23</xdr:row>
      <xdr:rowOff>76200</xdr:rowOff>
    </xdr:to>
    <xdr:sp macro="" textlink="">
      <xdr:nvSpPr>
        <xdr:cNvPr id="11" name="Pentagon 10">
          <a:hlinkClick xmlns:r="http://schemas.openxmlformats.org/officeDocument/2006/relationships" r:id="rId10"/>
        </xdr:cNvPr>
        <xdr:cNvSpPr/>
      </xdr:nvSpPr>
      <xdr:spPr>
        <a:xfrm>
          <a:off x="13906500" y="3962400"/>
          <a:ext cx="1752600" cy="49530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produkcji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161925</xdr:colOff>
      <xdr:row>24</xdr:row>
      <xdr:rowOff>19050</xdr:rowOff>
    </xdr:from>
    <xdr:to>
      <xdr:col>26</xdr:col>
      <xdr:colOff>104775</xdr:colOff>
      <xdr:row>27</xdr:row>
      <xdr:rowOff>0</xdr:rowOff>
    </xdr:to>
    <xdr:sp macro="" textlink="">
      <xdr:nvSpPr>
        <xdr:cNvPr id="12" name="Pentagon 11">
          <a:hlinkClick xmlns:r="http://schemas.openxmlformats.org/officeDocument/2006/relationships" r:id="rId11"/>
        </xdr:cNvPr>
        <xdr:cNvSpPr/>
      </xdr:nvSpPr>
      <xdr:spPr>
        <a:xfrm>
          <a:off x="13906500" y="4591050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Koszty</a:t>
          </a:r>
          <a:r>
            <a:rPr lang="pl-PL" sz="1400" baseline="0">
              <a:solidFill>
                <a:schemeClr val="bg1"/>
              </a:solidFill>
            </a:rPr>
            <a:t> utrzymania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171449</xdr:colOff>
      <xdr:row>27</xdr:row>
      <xdr:rowOff>123825</xdr:rowOff>
    </xdr:from>
    <xdr:to>
      <xdr:col>26</xdr:col>
      <xdr:colOff>66674</xdr:colOff>
      <xdr:row>30</xdr:row>
      <xdr:rowOff>19050</xdr:rowOff>
    </xdr:to>
    <xdr:sp macro="" textlink="">
      <xdr:nvSpPr>
        <xdr:cNvPr id="13" name="Pentagon 12">
          <a:hlinkClick xmlns:r="http://schemas.openxmlformats.org/officeDocument/2006/relationships" r:id="rId12"/>
        </xdr:cNvPr>
        <xdr:cNvSpPr/>
      </xdr:nvSpPr>
      <xdr:spPr>
        <a:xfrm>
          <a:off x="13916024" y="5276850"/>
          <a:ext cx="1724025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Podsumowanie</a:t>
          </a:r>
        </a:p>
      </xdr:txBody>
    </xdr:sp>
    <xdr:clientData/>
  </xdr:twoCellAnchor>
  <xdr:twoCellAnchor>
    <xdr:from>
      <xdr:col>23</xdr:col>
      <xdr:colOff>161925</xdr:colOff>
      <xdr:row>30</xdr:row>
      <xdr:rowOff>180975</xdr:rowOff>
    </xdr:from>
    <xdr:to>
      <xdr:col>26</xdr:col>
      <xdr:colOff>104775</xdr:colOff>
      <xdr:row>33</xdr:row>
      <xdr:rowOff>171450</xdr:rowOff>
    </xdr:to>
    <xdr:sp macro="" textlink="">
      <xdr:nvSpPr>
        <xdr:cNvPr id="14" name="Pentagon 13">
          <a:hlinkClick xmlns:r="http://schemas.openxmlformats.org/officeDocument/2006/relationships" r:id="rId13"/>
        </xdr:cNvPr>
        <xdr:cNvSpPr/>
      </xdr:nvSpPr>
      <xdr:spPr>
        <a:xfrm>
          <a:off x="13906500" y="5915025"/>
          <a:ext cx="1771650" cy="561975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Analiza kosztów utrzymania</a:t>
          </a:r>
          <a:r>
            <a:rPr lang="pl-PL" sz="1400" baseline="0">
              <a:solidFill>
                <a:schemeClr val="bg1"/>
              </a:solidFill>
            </a:rPr>
            <a:t> fabryk</a:t>
          </a:r>
          <a:endParaRPr lang="pl-PL" sz="14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561974</xdr:colOff>
      <xdr:row>34</xdr:row>
      <xdr:rowOff>133350</xdr:rowOff>
    </xdr:from>
    <xdr:to>
      <xdr:col>25</xdr:col>
      <xdr:colOff>457199</xdr:colOff>
      <xdr:row>37</xdr:row>
      <xdr:rowOff>38100</xdr:rowOff>
    </xdr:to>
    <xdr:sp macro="" textlink="">
      <xdr:nvSpPr>
        <xdr:cNvPr id="15" name="Pentagon 14">
          <a:hlinkClick xmlns:r="http://schemas.openxmlformats.org/officeDocument/2006/relationships" r:id="rId14"/>
        </xdr:cNvPr>
        <xdr:cNvSpPr/>
      </xdr:nvSpPr>
      <xdr:spPr>
        <a:xfrm flipH="1">
          <a:off x="13696949" y="6629400"/>
          <a:ext cx="1724025" cy="476250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>
              <a:solidFill>
                <a:schemeClr val="bg2">
                  <a:lumMod val="10000"/>
                </a:schemeClr>
              </a:solidFill>
            </a:rPr>
            <a:t>Analiza</a:t>
          </a:r>
          <a:r>
            <a:rPr lang="pl-PL" sz="1400" b="1" baseline="0">
              <a:solidFill>
                <a:schemeClr val="bg2">
                  <a:lumMod val="10000"/>
                </a:schemeClr>
              </a:solidFill>
            </a:rPr>
            <a:t> zamówień</a:t>
          </a:r>
          <a:endParaRPr lang="pl-PL" sz="1400" b="1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23</xdr:col>
      <xdr:colOff>152400</xdr:colOff>
      <xdr:row>1</xdr:row>
      <xdr:rowOff>142875</xdr:rowOff>
    </xdr:from>
    <xdr:to>
      <xdr:col>26</xdr:col>
      <xdr:colOff>38100</xdr:colOff>
      <xdr:row>4</xdr:row>
      <xdr:rowOff>47625</xdr:rowOff>
    </xdr:to>
    <xdr:sp macro="" textlink="">
      <xdr:nvSpPr>
        <xdr:cNvPr id="16" name="Pentagon 15">
          <a:hlinkClick xmlns:r="http://schemas.openxmlformats.org/officeDocument/2006/relationships" r:id="rId15"/>
        </xdr:cNvPr>
        <xdr:cNvSpPr/>
      </xdr:nvSpPr>
      <xdr:spPr>
        <a:xfrm>
          <a:off x="13896975" y="333375"/>
          <a:ext cx="1714500" cy="47625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bg1"/>
              </a:solidFill>
            </a:rPr>
            <a:t>Wstęp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lo" refreshedDate="42766.702121064816" createdVersion="5" refreshedVersion="5" minRefreshableVersion="3" recordCount="12">
  <cacheSource type="worksheet">
    <worksheetSource name="=Koszty_fabryki"/>
  </cacheSource>
  <cacheFields count="6">
    <cacheField name="FABRYKA" numFmtId="0">
      <sharedItems count="5">
        <s v="Katowice"/>
        <s v="Toruń"/>
        <s v="Szczecin"/>
        <s v="Łódź"/>
        <s v="Radom"/>
      </sharedItems>
    </cacheField>
    <cacheField name="TYTUŁ" numFmtId="0">
      <sharedItems count="4">
        <s v="opłata za prąd"/>
        <s v="przebudowa"/>
        <s v="inwentaryzacja"/>
        <s v="woda"/>
      </sharedItems>
    </cacheField>
    <cacheField name="ILOŚĆ" numFmtId="0">
      <sharedItems containsSemiMixedTypes="0" containsString="0" containsNumber="1" containsInteger="1" minValue="1" maxValue="30000"/>
    </cacheField>
    <cacheField name="CENA ZA SZT." numFmtId="165">
      <sharedItems containsSemiMixedTypes="0" containsString="0" containsNumber="1" minValue="0.4" maxValue="15000"/>
    </cacheField>
    <cacheField name="KOSZT" numFmtId="165">
      <sharedItems containsSemiMixedTypes="0" containsString="0" containsNumber="1" minValue="520" maxValue="15900"/>
    </cacheField>
    <cacheField name="DATA" numFmtId="164">
      <sharedItems containsSemiMixedTypes="0" containsNonDate="0" containsDate="1" containsString="0" minDate="2005-01-01T00:00:00" maxDate="2007-02-03T00:00:00" count="4">
        <d v="2005-01-01T00:00:00"/>
        <d v="2005-05-01T00:00:00"/>
        <d v="2007-01-02T00:00:00"/>
        <d v="2007-02-02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lo" refreshedDate="42766.727255092592" createdVersion="5" refreshedVersion="5" minRefreshableVersion="3" recordCount="15">
  <cacheSource type="worksheet">
    <worksheetSource name="=Zamówienia"/>
  </cacheSource>
  <cacheFields count="15">
    <cacheField name="ID" numFmtId="0">
      <sharedItems containsSemiMixedTypes="0" containsString="0" containsNumber="1" containsInteger="1" minValue="1" maxValue="15"/>
    </cacheField>
    <cacheField name="FABRYKA" numFmtId="0">
      <sharedItems count="5">
        <s v="Radom"/>
        <s v="Katowice"/>
        <s v="Szczecin"/>
        <s v="Łódź"/>
        <s v="Toruń"/>
      </sharedItems>
    </cacheField>
    <cacheField name="MODEL" numFmtId="0">
      <sharedItems count="3">
        <s v="SOLID"/>
        <s v="CASUAL"/>
        <s v="FAST"/>
      </sharedItems>
    </cacheField>
    <cacheField name="DATA PRZYJĘCIA ZLEC." numFmtId="164">
      <sharedItems containsSemiMixedTypes="0" containsNonDate="0" containsDate="1" containsString="0" minDate="2015-01-01T00:00:00" maxDate="2015-02-15T00:00:00" count="3">
        <d v="2015-01-01T00:00:00"/>
        <d v="2015-02-01T00:00:00"/>
        <d v="2015-02-14T00:00:00"/>
      </sharedItems>
    </cacheField>
    <cacheField name="DATA WYDANIA" numFmtId="164">
      <sharedItems containsSemiMixedTypes="0" containsNonDate="0" containsDate="1" containsString="0" minDate="2015-01-14T00:00:00" maxDate="2015-03-02T00:00:00"/>
    </cacheField>
    <cacheField name="KLIMATYZACJA" numFmtId="0">
      <sharedItems count="2">
        <s v="TAK"/>
        <s v="NIE"/>
      </sharedItems>
    </cacheField>
    <cacheField name="PODGRZEWANE FOTELE" numFmtId="0">
      <sharedItems count="2">
        <s v="TAK"/>
        <s v="NIE"/>
      </sharedItems>
    </cacheField>
    <cacheField name="4x4" numFmtId="0">
      <sharedItems count="2">
        <s v="NIE"/>
        <s v="TAK"/>
      </sharedItems>
    </cacheField>
    <cacheField name="CZUJNIKI COFANIA" numFmtId="0">
      <sharedItems count="2">
        <s v="NIE"/>
        <s v="TAK"/>
      </sharedItems>
    </cacheField>
    <cacheField name="REJESTRATOR" numFmtId="0">
      <sharedItems count="1">
        <s v="TAK"/>
      </sharedItems>
    </cacheField>
    <cacheField name="CENA BRUTTO" numFmtId="165">
      <sharedItems containsSemiMixedTypes="0" containsString="0" containsNumber="1" containsInteger="1" minValue="20800" maxValue="116100"/>
    </cacheField>
    <cacheField name="KOSZT PRODUKCJI" numFmtId="165">
      <sharedItems containsSemiMixedTypes="0" containsString="0" containsNumber="1" containsInteger="1" minValue="8700" maxValue="30300"/>
    </cacheField>
    <cacheField name="KLIMATYZACJ" numFmtId="0" formula=" 0" databaseField="0"/>
    <cacheField name="Field1" numFmtId="0" formula="KLIMATYZACJA" databaseField="0"/>
    <cacheField name="Field2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n v="10000"/>
    <n v="0.4"/>
    <n v="4000"/>
    <x v="0"/>
  </r>
  <r>
    <x v="1"/>
    <x v="0"/>
    <n v="20000"/>
    <n v="0.54"/>
    <n v="10800"/>
    <x v="0"/>
  </r>
  <r>
    <x v="2"/>
    <x v="0"/>
    <n v="30000"/>
    <n v="0.53"/>
    <n v="15900"/>
    <x v="0"/>
  </r>
  <r>
    <x v="3"/>
    <x v="0"/>
    <n v="25000"/>
    <n v="0.45"/>
    <n v="11250"/>
    <x v="0"/>
  </r>
  <r>
    <x v="4"/>
    <x v="0"/>
    <n v="15000"/>
    <n v="0.5"/>
    <n v="7500"/>
    <x v="0"/>
  </r>
  <r>
    <x v="4"/>
    <x v="1"/>
    <n v="1"/>
    <n v="15000"/>
    <n v="15000"/>
    <x v="1"/>
  </r>
  <r>
    <x v="2"/>
    <x v="2"/>
    <n v="1"/>
    <n v="2000"/>
    <n v="2000"/>
    <x v="2"/>
  </r>
  <r>
    <x v="0"/>
    <x v="3"/>
    <n v="150"/>
    <n v="5.53"/>
    <n v="829.5"/>
    <x v="3"/>
  </r>
  <r>
    <x v="3"/>
    <x v="3"/>
    <n v="200"/>
    <n v="5.2"/>
    <n v="1040"/>
    <x v="3"/>
  </r>
  <r>
    <x v="2"/>
    <x v="3"/>
    <n v="300"/>
    <n v="5"/>
    <n v="1500"/>
    <x v="3"/>
  </r>
  <r>
    <x v="1"/>
    <x v="3"/>
    <n v="170"/>
    <n v="3.3"/>
    <n v="561"/>
    <x v="3"/>
  </r>
  <r>
    <x v="4"/>
    <x v="3"/>
    <n v="200"/>
    <n v="2.6"/>
    <n v="52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">
  <r>
    <n v="1"/>
    <x v="0"/>
    <x v="0"/>
    <x v="0"/>
    <d v="2015-01-14T00:00:00"/>
    <x v="0"/>
    <x v="0"/>
    <x v="0"/>
    <x v="0"/>
    <x v="0"/>
    <n v="105100"/>
    <n v="27100"/>
  </r>
  <r>
    <n v="2"/>
    <x v="1"/>
    <x v="1"/>
    <x v="1"/>
    <d v="2015-02-14T00:00:00"/>
    <x v="1"/>
    <x v="1"/>
    <x v="0"/>
    <x v="1"/>
    <x v="0"/>
    <n v="20800"/>
    <n v="8700"/>
  </r>
  <r>
    <n v="3"/>
    <x v="0"/>
    <x v="2"/>
    <x v="1"/>
    <d v="2015-02-14T00:00:00"/>
    <x v="0"/>
    <x v="0"/>
    <x v="1"/>
    <x v="1"/>
    <x v="0"/>
    <n v="40500"/>
    <n v="13150"/>
  </r>
  <r>
    <n v="4"/>
    <x v="2"/>
    <x v="0"/>
    <x v="2"/>
    <d v="2015-03-01T00:00:00"/>
    <x v="1"/>
    <x v="1"/>
    <x v="1"/>
    <x v="0"/>
    <x v="0"/>
    <n v="110600"/>
    <n v="28100"/>
  </r>
  <r>
    <n v="5"/>
    <x v="3"/>
    <x v="0"/>
    <x v="2"/>
    <d v="2015-03-01T00:00:00"/>
    <x v="1"/>
    <x v="0"/>
    <x v="1"/>
    <x v="0"/>
    <x v="0"/>
    <n v="112600"/>
    <n v="29100"/>
  </r>
  <r>
    <n v="6"/>
    <x v="4"/>
    <x v="1"/>
    <x v="2"/>
    <d v="2015-03-01T00:00:00"/>
    <x v="0"/>
    <x v="0"/>
    <x v="1"/>
    <x v="0"/>
    <x v="0"/>
    <n v="25300"/>
    <n v="10200"/>
  </r>
  <r>
    <n v="7"/>
    <x v="4"/>
    <x v="0"/>
    <x v="2"/>
    <d v="2015-03-01T00:00:00"/>
    <x v="0"/>
    <x v="0"/>
    <x v="1"/>
    <x v="1"/>
    <x v="0"/>
    <n v="116100"/>
    <n v="30300"/>
  </r>
  <r>
    <n v="8"/>
    <x v="2"/>
    <x v="0"/>
    <x v="2"/>
    <d v="2015-03-01T00:00:00"/>
    <x v="1"/>
    <x v="1"/>
    <x v="1"/>
    <x v="0"/>
    <x v="0"/>
    <n v="110600"/>
    <n v="28100"/>
  </r>
  <r>
    <n v="9"/>
    <x v="3"/>
    <x v="0"/>
    <x v="2"/>
    <d v="2015-03-01T00:00:00"/>
    <x v="1"/>
    <x v="0"/>
    <x v="1"/>
    <x v="0"/>
    <x v="0"/>
    <n v="112600"/>
    <n v="29100"/>
  </r>
  <r>
    <n v="10"/>
    <x v="4"/>
    <x v="1"/>
    <x v="2"/>
    <d v="2015-03-01T00:00:00"/>
    <x v="0"/>
    <x v="0"/>
    <x v="1"/>
    <x v="0"/>
    <x v="0"/>
    <n v="25300"/>
    <n v="10200"/>
  </r>
  <r>
    <n v="11"/>
    <x v="4"/>
    <x v="0"/>
    <x v="2"/>
    <d v="2015-03-01T00:00:00"/>
    <x v="0"/>
    <x v="0"/>
    <x v="1"/>
    <x v="1"/>
    <x v="0"/>
    <n v="116100"/>
    <n v="30300"/>
  </r>
  <r>
    <n v="12"/>
    <x v="2"/>
    <x v="0"/>
    <x v="2"/>
    <d v="2015-03-01T00:00:00"/>
    <x v="1"/>
    <x v="1"/>
    <x v="1"/>
    <x v="0"/>
    <x v="0"/>
    <n v="110600"/>
    <n v="28100"/>
  </r>
  <r>
    <n v="13"/>
    <x v="3"/>
    <x v="0"/>
    <x v="2"/>
    <d v="2015-03-01T00:00:00"/>
    <x v="1"/>
    <x v="0"/>
    <x v="1"/>
    <x v="0"/>
    <x v="0"/>
    <n v="112600"/>
    <n v="29100"/>
  </r>
  <r>
    <n v="14"/>
    <x v="4"/>
    <x v="1"/>
    <x v="2"/>
    <d v="2015-03-01T00:00:00"/>
    <x v="0"/>
    <x v="0"/>
    <x v="1"/>
    <x v="0"/>
    <x v="0"/>
    <n v="25300"/>
    <n v="10200"/>
  </r>
  <r>
    <n v="15"/>
    <x v="4"/>
    <x v="0"/>
    <x v="2"/>
    <d v="2015-03-01T00:00:00"/>
    <x v="0"/>
    <x v="0"/>
    <x v="1"/>
    <x v="1"/>
    <x v="0"/>
    <n v="116100"/>
    <n v="30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grandTotalCaption="RAZEM" updatedVersion="5" minRefreshableVersion="3" useAutoFormatting="1" itemPrintTitles="1" createdVersion="5" indent="0" outline="1" outlineData="1" multipleFieldFilters="0" chartFormat="2" rowHeaderCaption="TYTUŁ">
  <location ref="A9:B14" firstHeaderRow="1" firstDataRow="1" firstDataCol="1"/>
  <pivotFields count="6"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numFmtId="165" showAll="0"/>
    <pivotField dataField="1" numFmtId="165" showAll="0"/>
    <pivotField numFmtId="164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KOSZTÓW" fld="4" baseField="0" baseItem="0" numFmtId="165"/>
  </dataFields>
  <formats count="7">
    <format dxfId="24">
      <pivotArea outline="0" collapsedLevelsAreSubtotals="1" fieldPosition="0"/>
    </format>
    <format dxfId="23">
      <pivotArea field="1" type="button" dataOnly="0" labelOnly="1" outline="0" axis="axisRow" fieldPosition="0"/>
    </format>
    <format dxfId="22">
      <pivotArea dataOnly="0" labelOnly="1" outline="0" axis="axisValues" fieldPosition="0"/>
    </format>
    <format dxfId="21">
      <pivotArea field="1" type="button" dataOnly="0" labelOnly="1" outline="0" axis="axisRow" fieldPosition="0"/>
    </format>
    <format dxfId="20">
      <pivotArea dataOnly="0" labelOnly="1" outline="0" axis="axisValues" fieldPosition="0"/>
    </format>
    <format dxfId="19">
      <pivotArea collapsedLevelsAreSubtotals="1" fieldPosition="0">
        <references count="1">
          <reference field="1" count="0"/>
        </references>
      </pivotArea>
    </format>
    <format dxfId="18">
      <pivotArea collapsedLevelsAreSubtotals="1" fieldPosition="0">
        <references count="1">
          <reference field="1" count="0"/>
        </references>
      </pivotArea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grandTotalCaption="RAZEM" updatedVersion="5" minRefreshableVersion="3" useAutoFormatting="1" itemPrintTitles="1" createdVersion="5" indent="0" outline="1" outlineData="1" multipleFieldFilters="0" chartFormat="25" rowHeaderCaption="DATA" colHeaderCaption="FABRYKI">
  <location ref="A35:G41" firstHeaderRow="1" firstDataRow="2" firstDataCol="1"/>
  <pivotFields count="6">
    <pivotField axis="axisCol" showAll="0">
      <items count="6">
        <item x="0"/>
        <item x="3"/>
        <item x="4"/>
        <item x="2"/>
        <item x="1"/>
        <item t="default"/>
      </items>
    </pivotField>
    <pivotField showAll="0"/>
    <pivotField showAll="0"/>
    <pivotField numFmtId="165" showAll="0"/>
    <pivotField dataField="1" numFmtId="165" showAll="0"/>
    <pivotField axis="axisRow" numFmtId="164"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KOSZTÓW" fld="4" baseField="0" baseItem="0" numFmtId="165"/>
  </dataFields>
  <formats count="9">
    <format dxfId="33">
      <pivotArea outline="0" collapsedLevelsAreSubtotals="1" fieldPosition="0"/>
    </format>
    <format dxfId="32">
      <pivotArea dataOnly="0" labelOnly="1" fieldPosition="0">
        <references count="1">
          <reference field="0" count="0"/>
        </references>
      </pivotArea>
    </format>
    <format dxfId="31">
      <pivotArea dataOnly="0" labelOnly="1" grandCol="1" outline="0" fieldPosition="0"/>
    </format>
    <format dxfId="30">
      <pivotArea dataOnly="0" labelOnly="1" fieldPosition="0">
        <references count="1">
          <reference field="0" count="0"/>
        </references>
      </pivotArea>
    </format>
    <format dxfId="29">
      <pivotArea dataOnly="0" labelOnly="1" grandCol="1" outline="0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grandCol="1" outline="0" fieldPosition="0"/>
    </format>
    <format dxfId="26">
      <pivotArea field="0" type="button" dataOnly="0" labelOnly="1" outline="0" axis="axisCol" fieldPosition="0"/>
    </format>
    <format dxfId="25">
      <pivotArea dataOnly="0" labelOnly="1" fieldPosition="0">
        <references count="1">
          <reference field="0" count="1">
            <x v="0"/>
          </reference>
        </references>
      </pivotArea>
    </format>
  </formats>
  <chartFormats count="5">
    <chartFormat chart="2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Suma_kosztów_fabryk" cacheId="0" applyNumberFormats="0" applyBorderFormats="0" applyFontFormats="0" applyPatternFormats="0" applyAlignmentFormats="0" applyWidthHeightFormats="1" dataCaption="Values" grandTotalCaption="RAZEM" updatedVersion="5" minRefreshableVersion="3" useAutoFormatting="1" itemPrintTitles="1" createdVersion="5" indent="0" outline="1" outlineData="1" multipleFieldFilters="0" chartFormat="2" rowHeaderCaption="FABRYKA">
  <location ref="A1:B7" firstHeaderRow="1" firstDataRow="1" firstDataCol="1"/>
  <pivotFields count="6">
    <pivotField axis="axisRow" showAll="0">
      <items count="6">
        <item x="0"/>
        <item x="3"/>
        <item x="4"/>
        <item x="2"/>
        <item x="1"/>
        <item t="default"/>
      </items>
    </pivotField>
    <pivotField showAll="0"/>
    <pivotField showAll="0"/>
    <pivotField numFmtId="165" showAll="0"/>
    <pivotField dataField="1" numFmtId="165" showAll="0"/>
    <pivotField numFmtId="16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ZUMA KOSZTÓW" fld="4" baseField="0" baseItem="0" numFmtId="165"/>
  </dataFields>
  <formats count="5">
    <format dxfId="38">
      <pivotArea outline="0" collapsedLevelsAreSubtotals="1" fieldPosition="0"/>
    </format>
    <format dxfId="37">
      <pivotArea field="0" type="button" dataOnly="0" labelOnly="1" outline="0" axis="axisRow" fieldPosition="0"/>
    </format>
    <format dxfId="36">
      <pivotArea dataOnly="0" labelOnly="1" outline="0" axis="axisValues" fieldPosition="0"/>
    </format>
    <format dxfId="35">
      <pivotArea field="0" type="button" dataOnly="0" labelOnly="1" outline="0" axis="axisRow" fieldPosition="0"/>
    </format>
    <format dxfId="34">
      <pivotArea dataOnly="0" labelOnly="1" outline="0" axis="axisValues" fieldPosition="0"/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grandTotalCaption="RAZEM" updatedVersion="5" minRefreshableVersion="3" useAutoFormatting="1" itemPrintTitles="1" createdVersion="5" indent="0" outline="1" outlineData="1" multipleFieldFilters="0" chartFormat="2" rowHeaderCaption="MODEL">
  <location ref="A7:B11" firstHeaderRow="1" firstDataRow="1" firstDataCol="1"/>
  <pivotFields count="15">
    <pivotField dataField="1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  <pivotField numFmtId="164" showAll="0"/>
    <pivotField showAll="0"/>
    <pivotField showAll="0"/>
    <pivotField showAll="0"/>
    <pivotField showAll="0"/>
    <pivotField showAll="0"/>
    <pivotField numFmtId="165" showAll="0"/>
    <pivotField numFmtId="165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ILOŚĆ" fld="0" subtotal="count" baseField="2" baseItem="0"/>
  </dataFields>
  <formats count="4">
    <format dxfId="7">
      <pivotArea field="2" type="button" dataOnly="0" labelOnly="1" outline="0" axis="axisRow" fieldPosition="0"/>
    </format>
    <format dxfId="6">
      <pivotArea dataOnly="0" labelOnly="1" outline="0" axis="axisValues" fieldPosition="0"/>
    </format>
    <format dxfId="5">
      <pivotArea field="2" type="button" dataOnly="0" labelOnly="1" outline="0" axis="axisRow" fieldPosition="0"/>
    </format>
    <format dxfId="4">
      <pivotArea dataOnly="0" labelOnly="1" outline="0" axis="axisValues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grandTotalCaption="RAZEM" updatedVersion="5" minRefreshableVersion="3" useAutoFormatting="1" itemPrintTitles="1" createdVersion="5" indent="0" outline="1" outlineData="1" multipleFieldFilters="0" chartFormat="4" rowHeaderCaption="DATA">
  <location ref="A1:B5" firstHeaderRow="1" firstDataRow="1" firstDataCol="1"/>
  <pivotFields count="15">
    <pivotField dataField="1" showAll="0"/>
    <pivotField showAll="0"/>
    <pivotField showAll="0"/>
    <pivotField axis="axisRow" numFmtId="164" showAll="0">
      <items count="4">
        <item x="0"/>
        <item x="1"/>
        <item x="2"/>
        <item t="default"/>
      </items>
    </pivotField>
    <pivotField numFmtId="164" showAll="0"/>
    <pivotField showAll="0"/>
    <pivotField showAll="0"/>
    <pivotField showAll="0"/>
    <pivotField showAll="0"/>
    <pivotField showAll="0"/>
    <pivotField numFmtId="165" showAll="0"/>
    <pivotField numFmtId="165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ILOŚĆ" fld="0" subtotal="count" baseField="3" baseItem="0"/>
  </dataFields>
  <formats count="4">
    <format dxfId="11">
      <pivotArea field="3" type="button" dataOnly="0" labelOnly="1" outline="0" axis="axisRow" fieldPosition="0"/>
    </format>
    <format dxfId="10">
      <pivotArea dataOnly="0" labelOnly="1" outline="0" axis="axisValues" fieldPosition="0"/>
    </format>
    <format dxfId="9">
      <pivotArea field="3" type="button" dataOnly="0" labelOnly="1" outline="0" axis="axisRow" fieldPosition="0"/>
    </format>
    <format dxfId="8">
      <pivotArea dataOnly="0" labelOnly="1" outline="0" axis="axisValues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grandTotalCaption="RAZEM" updatedVersion="5" minRefreshableVersion="3" useAutoFormatting="1" itemPrintTitles="1" createdVersion="5" indent="0" outline="1" outlineData="1" multipleFieldFilters="0" chartFormat="9" rowHeaderCaption="FABRYKA">
  <location ref="A13:B19" firstHeaderRow="1" firstDataRow="1" firstDataCol="1"/>
  <pivotFields count="15">
    <pivotField dataField="1" showAll="0"/>
    <pivotField axis="axisRow" showAll="0">
      <items count="6">
        <item x="1"/>
        <item x="3"/>
        <item x="0"/>
        <item x="2"/>
        <item x="4"/>
        <item t="default"/>
      </items>
    </pivotField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numFmtId="165" showAll="0"/>
    <pivotField numFmtId="165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ILOŚĆ" fld="0" subtotal="count" baseField="1" baseItem="0"/>
  </dataFields>
  <formats count="4">
    <format dxfId="15">
      <pivotArea field="1" type="button" dataOnly="0" labelOnly="1" outline="0" axis="axisRow" fieldPosition="0"/>
    </format>
    <format dxfId="14">
      <pivotArea dataOnly="0" labelOnly="1" outline="0" axis="axisValues" fieldPosition="0"/>
    </format>
    <format dxfId="13">
      <pivotArea field="1" type="button" dataOnly="0" labelOnly="1" outline="0" axis="axisRow" fieldPosition="0"/>
    </format>
    <format dxfId="12">
      <pivotArea dataOnly="0" labelOnly="1" outline="0" axis="axisValues" fieldPosition="0"/>
    </format>
  </format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kładki" displayName="Składki" ref="D11:E16" totalsRowShown="0" headerRowDxfId="101" dataDxfId="100">
  <tableColumns count="2">
    <tableColumn id="1" name="TYP" dataDxfId="99"/>
    <tableColumn id="2" name="CZĘŚĆ" dataDxfId="9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Podatki" displayName="Podatki" ref="L12:M14" totalsRowShown="0" headerRowDxfId="97" dataDxfId="96">
  <tableColumns count="2">
    <tableColumn id="1" name="PODATEK" dataDxfId="95" dataCellStyle="Normal"/>
    <tableColumn id="2" name="CZĘŚĆ" dataDxfId="94" dataCellStyle="Norm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9" name="Ceny_prądu" displayName="Ceny_prądu" ref="U11:V16" totalsRowShown="0" headerRowDxfId="93" dataDxfId="92" headerRowCellStyle="Normal" dataCellStyle="Normal">
  <tableColumns count="2">
    <tableColumn id="1" name="MIASTO" dataDxfId="91" dataCellStyle="Normal"/>
    <tableColumn id="2" name="CENA" dataDxfId="90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Fabryki" displayName="Fabryki" ref="A1:F6" totalsRowShown="0" headerRowDxfId="89">
  <tableColumns count="6">
    <tableColumn id="1" name="MIEJSCOWOŚĆ"/>
    <tableColumn id="2" name="WIELKOŚĆ KADRY PRAC." dataDxfId="88">
      <calculatedColumnFormula>COUNTIF(Kadra_pracownicza[FABRYKA],A2)</calculatedColumnFormula>
    </tableColumn>
    <tableColumn id="4" name="IL. SPRZEDANYCH AUT" dataDxfId="87">
      <calculatedColumnFormula>COUNTIF(Zamówienia[FABRYKA],A2)</calculatedColumnFormula>
    </tableColumn>
    <tableColumn id="5" name="PRZYCHÓD" dataDxfId="86">
      <calculatedColumnFormula>SUMIF(Zamówienia[FABRYKA],A2,Zamówienia[CENA BRUTTO])</calculatedColumnFormula>
    </tableColumn>
    <tableColumn id="6" name="KOSZTY" dataDxfId="85">
      <calculatedColumnFormula>SUMIF(Koszty_fabryki[FABRYKA],Fabryki[[#This Row],[MIEJSCOWOŚĆ]],Koszty_fabryki[KOSZT]) + SUMIF(Kadra_pracownicza[FABRYKA],Fabryki[[#This Row],[MIEJSCOWOŚĆ]],Kadra_pracownicza[DOTYCHCZASOWY KOSZT])</calculatedColumnFormula>
    </tableColumn>
    <tableColumn id="7" name="DOCHÓD" dataDxfId="84">
      <calculatedColumnFormula>(1-Zmienne!$M$14)*Fabryki[[#This Row],[PRZYCHÓD]] -Fabryki[[#This Row],[KOSZTY]]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Kadra_pracownicza" displayName="Kadra_pracownicza" ref="A1:J10" totalsRowShown="0" headerRowDxfId="83">
  <tableColumns count="10">
    <tableColumn id="1" name="IMIĘ"/>
    <tableColumn id="2" name="NAZWISKO"/>
    <tableColumn id="3" name="FABRYKA"/>
    <tableColumn id="4" name="STANOWISKO"/>
    <tableColumn id="5" name="PENSJA BRUTTO" dataDxfId="82"/>
    <tableColumn id="6" name="KOSZT PRACOWNIKA(MIES.)" dataDxfId="81">
      <calculatedColumnFormula>E2*(Zmienne!$E$12+Zmienne!$E$13+Zmienne!$E$14+Zmienne!$E$15+Zmienne!$E$16) + E2</calculatedColumnFormula>
    </tableColumn>
    <tableColumn id="7" name="DATA ZATRUDNIENIA" dataDxfId="80"/>
    <tableColumn id="8" name="DATA ZWOLNIENIA" dataDxfId="79"/>
    <tableColumn id="9" name="OKRES PRACY(MIES)" dataDxfId="78">
      <calculatedColumnFormula>ROUNDDOWN(IF(H2 = "", TODAY()-G2,H2-G2)/12,0)</calculatedColumnFormula>
    </tableColumn>
    <tableColumn id="10" name="DOTYCHCZASOWY KOSZT" dataDxfId="77">
      <calculatedColumnFormula>Kadra_pracownicza[[#This Row],[KOSZT PRACOWNIKA(MIES.)]]*Kadra_pracownicza[[#This Row],[OKRES PRACY(MIES)]]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Oferta" displayName="Oferta" ref="A1:J4" totalsRowShown="0" headerRowDxfId="76">
  <tableColumns count="10">
    <tableColumn id="1" name="MODEL"/>
    <tableColumn id="2" name="TYP"/>
    <tableColumn id="3" name="PALIWO"/>
    <tableColumn id="4" name="POJ. SILNIKA"/>
    <tableColumn id="5" name="PODSTAWA" dataDxfId="75"/>
    <tableColumn id="6" name="KLIMATYZACJA" dataDxfId="74"/>
    <tableColumn id="7" name="PODGRZEWANE FOTELE" dataDxfId="73"/>
    <tableColumn id="8" name="4x4" dataDxfId="72"/>
    <tableColumn id="9" name="CZUJNIKI COFANIA" dataDxfId="71"/>
    <tableColumn id="10" name="REJESTRATOR" dataDxfId="7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6" name="Zamówienia" displayName="Zamówienia" ref="A1:L16" totalsRowShown="0" headerRowDxfId="69">
  <tableColumns count="12">
    <tableColumn id="1" name="ID"/>
    <tableColumn id="2" name="FABRYKA"/>
    <tableColumn id="3" name="MODEL"/>
    <tableColumn id="4" name="DATA PRZYJĘCIA ZLEC." dataDxfId="68"/>
    <tableColumn id="5" name="DATA WYDANIA" dataDxfId="67"/>
    <tableColumn id="6" name="KLIMATYZACJA"/>
    <tableColumn id="7" name="PODGRZEWANE FOTELE"/>
    <tableColumn id="8" name="4x4"/>
    <tableColumn id="9" name="CZUJNIKI COFANIA"/>
    <tableColumn id="10" name="REJESTRATOR"/>
    <tableColumn id="11" name="CENA BRUTTO" dataDxfId="66">
      <calculatedColumnFormula>INDEX(Oferta[PODSTAWA],MATCH(C2,Oferta[MODEL],0)) + IF(F2 = "TAK",INDEX(Oferta[KLIMATYZACJA],MATCH(C2,Oferta[MODEL],0)), 0) + IF(G2 = "TAK",INDEX(Oferta[PODGRZEWANE FOTELE],MATCH(C2,Oferta[MODEL],0)), 0) + IF(H2 = "TAK",INDEX(Oferta[4x4],MATCH(C2,Oferta[MODEL],0)), 0) +  IF(I2 = "TAK",INDEX(Oferta[CZUJNIKI COFANIA],MATCH(C2,Oferta[MODEL],0)), 0) + IF(J2 = "TAK",INDEX(Oferta[REJESTRATOR],MATCH(C2,Oferta[MODEL],0)), 0)</calculatedColumnFormula>
    </tableColumn>
    <tableColumn id="12" name="KOSZT PRODUKCJI" dataDxfId="65">
      <calculatedColumnFormula>INDEX(Koszty_produkcji[PODSTAWA],MATCH(C2,Koszty_produkcji[MODEL],0))+ IF(F2 = "TAK",INDEX(Koszty_produkcji[KLIMATYZACJA(OP.)],MATCH(C2,Koszty_produkcji[MODEL],0)), 0) + IF(G2 = "TAK",INDEX(Koszty_produkcji[PODGRZEWANE FOTELE(OP.)],MATCH(C2,Koszty_produkcji[MODEL],0)), 0) + IF(H2 = "TAK",INDEX(Koszty_produkcji[4x4(OP.)],MATCH(C2,Koszty_produkcji[MODEL],0)), 0) +  IF(I2 = "TAK",INDEX(Koszty_produkcji[CZUJNIKI COFANIA(OP.)],MATCH(C2,Koszty_produkcji[MODEL],0)), 0) + IF(J2 = "TAK",INDEX(Koszty_produkcji[REJESTRATOR(OP.)],MATCH(C2,Koszty_produkcji[MODEL],0)), 0)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7" name="Koszty_produkcji" displayName="Koszty_produkcji" ref="A1:M4" totalsRowShown="0" headerRowDxfId="64">
  <tableColumns count="13">
    <tableColumn id="1" name="MODEL"/>
    <tableColumn id="2" name="ZAWIESZENIE" dataDxfId="63"/>
    <tableColumn id="3" name="SILNIK" dataDxfId="62"/>
    <tableColumn id="4" name="MULTIMEDIA" dataDxfId="61"/>
    <tableColumn id="5" name="ELEKTRONIKA" dataDxfId="60"/>
    <tableColumn id="11" name="NADWOZIE" dataDxfId="59"/>
    <tableColumn id="6" name="KLIMATYZACJA(OP.)" dataDxfId="58"/>
    <tableColumn id="7" name="PODGRZEWANE FOTELE(OP.)" dataDxfId="57"/>
    <tableColumn id="8" name="4x4(OP.)" dataDxfId="56"/>
    <tableColumn id="9" name="CZUJNIKI COFANIA(OP.)" dataDxfId="55"/>
    <tableColumn id="10" name="REJESTRATOR(OP.)" dataDxfId="54"/>
    <tableColumn id="12" name="SUMA(OP.)" dataDxfId="53">
      <calculatedColumnFormula>SUM(B2:K2)</calculatedColumnFormula>
    </tableColumn>
    <tableColumn id="13" name="PODSTAWA" dataDxfId="52">
      <calculatedColumnFormula>SUM(B2:F2)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0" name="Koszty_fabryki" displayName="Koszty_fabryki" ref="A1:F13" totalsRowShown="0" headerRowDxfId="51">
  <tableColumns count="6">
    <tableColumn id="1" name="FABRYKA"/>
    <tableColumn id="2" name="TYTUŁ"/>
    <tableColumn id="3" name="ILOŚĆ"/>
    <tableColumn id="4" name="CENA ZA SZT." dataDxfId="50"/>
    <tableColumn id="5" name="KOSZT" dataDxfId="49">
      <calculatedColumnFormula>Koszty_fabryki[[#This Row],[ILOŚĆ]]*Koszty_fabryki[[#This Row],[CENA ZA SZT.]]</calculatedColumnFormula>
    </tableColumn>
    <tableColumn id="6" name="DATA" dataDxfId="4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D10:I24" totalsRowShown="0" headerRowDxfId="47" dataDxfId="46">
  <tableColumns count="6">
    <tableColumn id="1" name="." dataDxfId="45"/>
    <tableColumn id="2" name="Radom" dataDxfId="44"/>
    <tableColumn id="3" name="Katowice" dataDxfId="43"/>
    <tableColumn id="4" name="Łódź" dataDxfId="42"/>
    <tableColumn id="5" name="Toruń" dataDxfId="41"/>
    <tableColumn id="6" name="Szczecin" dataDxfId="4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8" name="Table8" displayName="Table8" ref="A1:F4" totalsRowShown="0">
  <autoFilter ref="A1:F4"/>
  <tableColumns count="6">
    <tableColumn id="1" name="FABRYKA"/>
    <tableColumn id="2" name="TYTUŁ"/>
    <tableColumn id="3" name="ILOŚĆ"/>
    <tableColumn id="4" name="CENA ZA SZT."/>
    <tableColumn id="5" name="KOSZT"/>
    <tableColumn id="6" name="DATA" dataDxfId="3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A1:L16" totalsRowShown="0">
  <autoFilter ref="A1:L16"/>
  <tableColumns count="12">
    <tableColumn id="1" name="ID"/>
    <tableColumn id="2" name="FABRYKA"/>
    <tableColumn id="3" name="MODEL"/>
    <tableColumn id="4" name="DATA PRZYJĘCIA ZLEC." dataDxfId="17"/>
    <tableColumn id="5" name="DATA WYDANIA" dataDxfId="16"/>
    <tableColumn id="6" name="KLIMATYZACJA"/>
    <tableColumn id="7" name="PODGRZEWANE FOTELE"/>
    <tableColumn id="8" name="4x4"/>
    <tableColumn id="9" name="CZUJNIKI COFANIA"/>
    <tableColumn id="10" name="REJESTRATOR"/>
    <tableColumn id="11" name="CENA BRUTTO"/>
    <tableColumn id="12" name="KOSZT PRODUKCJI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1:B27" totalsRowShown="0" headerRowDxfId="3" dataDxfId="2">
  <tableColumns count="2">
    <tableColumn id="1" name="OPCJA" dataDxfId="1"/>
    <tableColumn id="2" name="ILOŚĆ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table" Target="../tables/table13.xm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7"/>
  <sheetViews>
    <sheetView workbookViewId="0"/>
  </sheetViews>
  <sheetFormatPr defaultRowHeight="15" x14ac:dyDescent="0.25"/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workbookViewId="0"/>
  </sheetViews>
  <sheetFormatPr defaultRowHeight="15" x14ac:dyDescent="0.25"/>
  <cols>
    <col min="2" max="2" width="6.7109375" customWidth="1"/>
    <col min="3" max="3" width="9.140625" customWidth="1"/>
    <col min="4" max="4" width="19.140625" customWidth="1"/>
    <col min="5" max="5" width="10.85546875" customWidth="1"/>
    <col min="7" max="7" width="5" customWidth="1"/>
    <col min="8" max="8" width="6" customWidth="1"/>
    <col min="9" max="9" width="8.85546875" customWidth="1"/>
    <col min="10" max="10" width="11.140625" customWidth="1"/>
    <col min="11" max="11" width="9.7109375" customWidth="1"/>
    <col min="12" max="12" width="18.140625" customWidth="1"/>
    <col min="13" max="13" width="14.28515625" customWidth="1"/>
    <col min="14" max="14" width="15.140625" customWidth="1"/>
    <col min="15" max="15" width="3.28515625" customWidth="1"/>
    <col min="16" max="16" width="5.7109375" customWidth="1"/>
    <col min="17" max="17" width="2.42578125" customWidth="1"/>
    <col min="18" max="18" width="4" customWidth="1"/>
    <col min="19" max="19" width="3.28515625" customWidth="1"/>
    <col min="20" max="20" width="6.7109375" customWidth="1"/>
    <col min="21" max="21" width="11.140625" customWidth="1"/>
    <col min="22" max="22" width="7.5703125" bestFit="1" customWidth="1"/>
    <col min="23" max="23" width="7.5703125" customWidth="1"/>
    <col min="25" max="25" width="16.42578125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2"/>
      <c r="C8" s="2"/>
      <c r="D8" s="2"/>
      <c r="E8" s="2"/>
      <c r="F8" s="2"/>
      <c r="G8" s="2"/>
      <c r="H8" s="2"/>
      <c r="I8" s="1"/>
      <c r="J8" s="2"/>
      <c r="K8" s="2"/>
      <c r="L8" s="2"/>
      <c r="M8" s="2"/>
      <c r="N8" s="2"/>
      <c r="O8" s="2"/>
      <c r="P8" s="2"/>
      <c r="Q8" s="1"/>
      <c r="R8" s="1"/>
      <c r="S8" s="1"/>
      <c r="T8" s="2"/>
      <c r="U8" s="2"/>
      <c r="V8" s="2"/>
      <c r="W8" s="2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Q9" s="1"/>
      <c r="R9" s="1"/>
      <c r="S9" s="1"/>
      <c r="T9" s="2"/>
      <c r="U9" s="2"/>
      <c r="V9" s="2"/>
      <c r="W9" s="2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2"/>
      <c r="C10" s="2"/>
      <c r="D10" s="2"/>
      <c r="E10" s="2"/>
      <c r="F10" s="2"/>
      <c r="G10" s="2"/>
      <c r="H10" s="2"/>
      <c r="I10" s="1"/>
      <c r="J10" s="2"/>
      <c r="K10" s="2"/>
      <c r="L10" s="2"/>
      <c r="M10" s="2"/>
      <c r="N10" s="2"/>
      <c r="O10" s="2"/>
      <c r="P10" s="2"/>
      <c r="Q10" s="1"/>
      <c r="R10" s="1"/>
      <c r="S10" s="1"/>
      <c r="T10" s="2"/>
      <c r="U10" s="2"/>
      <c r="V10" s="2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1" x14ac:dyDescent="0.35">
      <c r="A11" s="1"/>
      <c r="B11" s="2"/>
      <c r="C11" s="2"/>
      <c r="D11" s="12" t="s">
        <v>6</v>
      </c>
      <c r="E11" s="13" t="s">
        <v>5</v>
      </c>
      <c r="F11" s="2"/>
      <c r="G11" s="2"/>
      <c r="H11" s="2"/>
      <c r="I11" s="1"/>
      <c r="J11" s="2"/>
      <c r="K11" s="2"/>
      <c r="L11" s="2"/>
      <c r="M11" s="2"/>
      <c r="N11" s="2"/>
      <c r="O11" s="2"/>
      <c r="P11" s="2"/>
      <c r="Q11" s="1"/>
      <c r="R11" s="1"/>
      <c r="S11" s="1"/>
      <c r="T11" s="2"/>
      <c r="U11" s="14" t="s">
        <v>89</v>
      </c>
      <c r="V11" s="14" t="s">
        <v>49</v>
      </c>
      <c r="W11" s="2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1" x14ac:dyDescent="0.35">
      <c r="A12" s="1"/>
      <c r="B12" s="2"/>
      <c r="C12" s="2"/>
      <c r="D12" s="8" t="s">
        <v>0</v>
      </c>
      <c r="E12" s="9">
        <v>9.7600000000000006E-2</v>
      </c>
      <c r="F12" s="2"/>
      <c r="G12" s="2"/>
      <c r="H12" s="2"/>
      <c r="I12" s="1"/>
      <c r="J12" s="2"/>
      <c r="K12" s="2"/>
      <c r="L12" s="14" t="s">
        <v>63</v>
      </c>
      <c r="M12" s="14" t="s">
        <v>5</v>
      </c>
      <c r="N12" s="2"/>
      <c r="O12" s="2"/>
      <c r="P12" s="2"/>
      <c r="Q12" s="1"/>
      <c r="R12" s="1"/>
      <c r="S12" s="1"/>
      <c r="T12" s="2"/>
      <c r="U12" s="7" t="s">
        <v>12</v>
      </c>
      <c r="V12" s="7">
        <v>0.5</v>
      </c>
      <c r="W12" s="2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1" x14ac:dyDescent="0.35">
      <c r="A13" s="1"/>
      <c r="B13" s="2"/>
      <c r="C13" s="2"/>
      <c r="D13" s="8" t="s">
        <v>1</v>
      </c>
      <c r="E13" s="9">
        <v>6.5000000000000002E-2</v>
      </c>
      <c r="F13" s="2"/>
      <c r="G13" s="2"/>
      <c r="H13" s="2"/>
      <c r="I13" s="1"/>
      <c r="J13" s="2"/>
      <c r="K13" s="2"/>
      <c r="L13" s="7" t="s">
        <v>64</v>
      </c>
      <c r="M13" s="10">
        <v>0.23</v>
      </c>
      <c r="N13" s="2"/>
      <c r="O13" s="2"/>
      <c r="P13" s="2"/>
      <c r="Q13" s="1"/>
      <c r="R13" s="1"/>
      <c r="S13" s="1"/>
      <c r="T13" s="2"/>
      <c r="U13" s="7" t="s">
        <v>15</v>
      </c>
      <c r="V13" s="7">
        <v>0.53</v>
      </c>
      <c r="W13" s="2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1" x14ac:dyDescent="0.35">
      <c r="A14" s="1"/>
      <c r="B14" s="2"/>
      <c r="C14" s="2"/>
      <c r="D14" s="8" t="s">
        <v>2</v>
      </c>
      <c r="E14" s="9">
        <v>1.7999999999999999E-2</v>
      </c>
      <c r="F14" s="2"/>
      <c r="G14" s="2"/>
      <c r="H14" s="2"/>
      <c r="I14" s="1"/>
      <c r="J14" s="2"/>
      <c r="K14" s="2"/>
      <c r="L14" s="11" t="s">
        <v>97</v>
      </c>
      <c r="M14" s="15">
        <v>0.19</v>
      </c>
      <c r="N14" s="2"/>
      <c r="O14" s="2"/>
      <c r="P14" s="2"/>
      <c r="Q14" s="1"/>
      <c r="R14" s="1"/>
      <c r="S14" s="1"/>
      <c r="T14" s="2"/>
      <c r="U14" s="7" t="s">
        <v>16</v>
      </c>
      <c r="V14" s="7">
        <v>0.54</v>
      </c>
      <c r="W14" s="2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1" x14ac:dyDescent="0.35">
      <c r="A15" s="1"/>
      <c r="B15" s="2"/>
      <c r="C15" s="2"/>
      <c r="D15" s="8" t="s">
        <v>3</v>
      </c>
      <c r="E15" s="9">
        <v>2.4500000000000001E-2</v>
      </c>
      <c r="F15" s="2"/>
      <c r="G15" s="2"/>
      <c r="H15" s="2"/>
      <c r="I15" s="1"/>
      <c r="J15" s="2"/>
      <c r="K15" s="2"/>
      <c r="L15" s="2"/>
      <c r="M15" s="2"/>
      <c r="N15" s="2"/>
      <c r="O15" s="2"/>
      <c r="P15" s="2"/>
      <c r="Q15" s="1"/>
      <c r="R15" s="1"/>
      <c r="S15" s="1"/>
      <c r="T15" s="2"/>
      <c r="U15" s="7" t="s">
        <v>14</v>
      </c>
      <c r="V15" s="7">
        <v>0.45</v>
      </c>
      <c r="W15" s="2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1" x14ac:dyDescent="0.35">
      <c r="A16" s="1"/>
      <c r="B16" s="2"/>
      <c r="C16" s="2"/>
      <c r="D16" s="8" t="s">
        <v>4</v>
      </c>
      <c r="E16" s="9">
        <v>1E-3</v>
      </c>
      <c r="F16" s="2"/>
      <c r="G16" s="2"/>
      <c r="H16" s="2"/>
      <c r="I16" s="1"/>
      <c r="J16" s="2"/>
      <c r="K16" s="2"/>
      <c r="L16" s="2"/>
      <c r="M16" s="2"/>
      <c r="N16" s="2"/>
      <c r="O16" s="2"/>
      <c r="P16" s="2"/>
      <c r="Q16" s="1"/>
      <c r="R16" s="1"/>
      <c r="S16" s="1"/>
      <c r="T16" s="2"/>
      <c r="U16" s="7" t="s">
        <v>13</v>
      </c>
      <c r="V16" s="7">
        <v>0.4</v>
      </c>
      <c r="W16" s="2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2"/>
      <c r="C17" s="2"/>
      <c r="E17" s="2"/>
      <c r="F17" s="2"/>
      <c r="G17" s="2"/>
      <c r="H17" s="2"/>
      <c r="I17" s="1"/>
      <c r="J17" s="2"/>
      <c r="K17" s="2"/>
      <c r="L17" s="2"/>
      <c r="M17" s="2"/>
      <c r="N17" s="2"/>
      <c r="O17" s="2"/>
      <c r="P17" s="2"/>
      <c r="Q17" s="1"/>
      <c r="R17" s="1"/>
      <c r="S17" s="1"/>
      <c r="T17" s="2"/>
      <c r="U17" s="2"/>
      <c r="V17" s="2"/>
      <c r="W17" s="2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2"/>
      <c r="C18" s="2"/>
      <c r="D18" s="2"/>
      <c r="E18" s="2"/>
      <c r="F18" s="2"/>
      <c r="G18" s="2"/>
      <c r="H18" s="2"/>
      <c r="I18" s="1"/>
      <c r="J18" s="2"/>
      <c r="K18" s="2"/>
      <c r="L18" s="2"/>
      <c r="M18" s="2"/>
      <c r="N18" s="2"/>
      <c r="O18" s="2"/>
      <c r="P18" s="2"/>
      <c r="Q18" s="1"/>
      <c r="R18" s="1"/>
      <c r="S18" s="1"/>
      <c r="T18" s="2"/>
      <c r="U18" s="2"/>
      <c r="V18" s="2"/>
      <c r="W18" s="2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2" customHeight="1" x14ac:dyDescent="0.25">
      <c r="A19" s="1"/>
      <c r="B19" s="2"/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2"/>
      <c r="P19" s="2"/>
      <c r="Q19" s="1"/>
      <c r="R19" s="1"/>
      <c r="S19" s="1"/>
      <c r="T19" s="2"/>
      <c r="U19" s="2"/>
      <c r="V19" s="2"/>
      <c r="W19" s="2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42578125" customWidth="1"/>
    <col min="2" max="2" width="23.140625" customWidth="1"/>
    <col min="3" max="3" width="30.140625" customWidth="1"/>
    <col min="4" max="5" width="22.5703125" customWidth="1"/>
    <col min="6" max="6" width="27" customWidth="1"/>
    <col min="7" max="7" width="11" customWidth="1"/>
  </cols>
  <sheetData>
    <row r="1" spans="1:27" x14ac:dyDescent="0.25">
      <c r="A1" s="39" t="s">
        <v>7</v>
      </c>
      <c r="B1" s="39" t="s">
        <v>71</v>
      </c>
      <c r="C1" s="39" t="s">
        <v>8</v>
      </c>
      <c r="D1" s="39" t="s">
        <v>9</v>
      </c>
      <c r="E1" s="39" t="s">
        <v>10</v>
      </c>
      <c r="F1" s="39" t="s">
        <v>11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7" x14ac:dyDescent="0.25">
      <c r="A2" t="s">
        <v>12</v>
      </c>
      <c r="B2">
        <f>COUNTIF(Kadra_pracownicza[FABRYKA],A2)</f>
        <v>2</v>
      </c>
      <c r="C2">
        <f>COUNTIF(Zamówienia[FABRYKA],A2)</f>
        <v>2</v>
      </c>
      <c r="D2" s="5">
        <f>SUMIF(Zamówienia[FABRYKA],A2,Zamówienia[CENA BRUTTO])</f>
        <v>145600</v>
      </c>
      <c r="E2" s="5">
        <f ca="1">SUMIF(Koszty_fabryki[FABRYKA],Fabryki[[#This Row],[MIEJSCOWOŚĆ]],Koszty_fabryki[KOSZT]) + SUMIF(Kadra_pracownicza[FABRYKA],Fabryki[[#This Row],[MIEJSCOWOŚĆ]],Kadra_pracownicza[DOTYCHCZASOWY KOSZT])</f>
        <v>218046.37</v>
      </c>
      <c r="F2" s="5">
        <f ca="1">(1-Zmienne!$M$14)*Fabryki[[#This Row],[PRZYCHÓD]] -Fabryki[[#This Row],[KOSZTY]]</f>
        <v>-100110.36999999998</v>
      </c>
    </row>
    <row r="3" spans="1:27" x14ac:dyDescent="0.25">
      <c r="A3" t="s">
        <v>13</v>
      </c>
      <c r="B3">
        <f>COUNTIF(Kadra_pracownicza[FABRYKA],A3)</f>
        <v>2</v>
      </c>
      <c r="C3">
        <f>COUNTIF(Zamówienia[FABRYKA],A3)</f>
        <v>1</v>
      </c>
      <c r="D3" s="5">
        <f>SUMIF(Zamówienia[FABRYKA],A3,Zamówienia[CENA BRUTTO])</f>
        <v>20800</v>
      </c>
      <c r="E3" s="5">
        <f ca="1">SUMIF(Koszty_fabryki[FABRYKA],Fabryki[[#This Row],[MIEJSCOWOŚĆ]],Koszty_fabryki[KOSZT]) + SUMIF(Kadra_pracownicza[FABRYKA],Fabryki[[#This Row],[MIEJSCOWOŚĆ]],Kadra_pracownicza[DOTYCHCZASOWY KOSZT])</f>
        <v>230973.25</v>
      </c>
      <c r="F3" s="5">
        <f ca="1">(1-Zmienne!$M$14)*Fabryki[[#This Row],[PRZYCHÓD]] -Fabryki[[#This Row],[KOSZTY]]</f>
        <v>-214125.25</v>
      </c>
    </row>
    <row r="4" spans="1:27" x14ac:dyDescent="0.25">
      <c r="A4" t="s">
        <v>14</v>
      </c>
      <c r="B4">
        <f>COUNTIF(Kadra_pracownicza[FABRYKA],A4)</f>
        <v>2</v>
      </c>
      <c r="C4">
        <f>COUNTIF(Zamówienia[FABRYKA],A4)</f>
        <v>3</v>
      </c>
      <c r="D4" s="5">
        <f>SUMIF(Zamówienia[FABRYKA],A4,Zamówienia[CENA BRUTTO])</f>
        <v>337800</v>
      </c>
      <c r="E4" s="5">
        <f ca="1">SUMIF(Koszty_fabryki[FABRYKA],Fabryki[[#This Row],[MIEJSCOWOŚĆ]],Koszty_fabryki[KOSZT]) + SUMIF(Kadra_pracownicza[FABRYKA],Fabryki[[#This Row],[MIEJSCOWOŚĆ]],Kadra_pracownicza[DOTYCHCZASOWY KOSZT])</f>
        <v>236745.21</v>
      </c>
      <c r="F4" s="5">
        <f ca="1">(1-Zmienne!$M$14)*Fabryki[[#This Row],[PRZYCHÓD]] -Fabryki[[#This Row],[KOSZTY]]</f>
        <v>36872.790000000008</v>
      </c>
    </row>
    <row r="5" spans="1:27" x14ac:dyDescent="0.25">
      <c r="A5" t="s">
        <v>15</v>
      </c>
      <c r="B5">
        <f>COUNTIF(Kadra_pracownicza[FABRYKA],A5)</f>
        <v>2</v>
      </c>
      <c r="C5">
        <f>COUNTIF(Zamówienia[FABRYKA],A5)</f>
        <v>3</v>
      </c>
      <c r="D5" s="5">
        <f>SUMIF(Zamówienia[FABRYKA],A5,Zamówienia[CENA BRUTTO])</f>
        <v>331800</v>
      </c>
      <c r="E5" s="5">
        <f ca="1">SUMIF(Koszty_fabryki[FABRYKA],Fabryki[[#This Row],[MIEJSCOWOŚĆ]],Koszty_fabryki[KOSZT]) + SUMIF(Kadra_pracownicza[FABRYKA],Fabryki[[#This Row],[MIEJSCOWOŚĆ]],Kadra_pracownicza[DOTYCHCZASOWY KOSZT])</f>
        <v>332986</v>
      </c>
      <c r="F5" s="5">
        <f ca="1">(1-Zmienne!$M$14)*Fabryki[[#This Row],[PRZYCHÓD]] -Fabryki[[#This Row],[KOSZTY]]</f>
        <v>-64228</v>
      </c>
    </row>
    <row r="6" spans="1:27" x14ac:dyDescent="0.25">
      <c r="A6" t="s">
        <v>16</v>
      </c>
      <c r="B6">
        <f>COUNTIF(Kadra_pracownicza[FABRYKA],A6)</f>
        <v>1</v>
      </c>
      <c r="C6">
        <f>COUNTIF(Zamówienia[FABRYKA],A6)</f>
        <v>6</v>
      </c>
      <c r="D6" s="5">
        <f>SUMIF(Zamówienia[FABRYKA],A6,Zamówienia[CENA BRUTTO])</f>
        <v>424200</v>
      </c>
      <c r="E6" s="5">
        <f ca="1">SUMIF(Koszty_fabryki[FABRYKA],Fabryki[[#This Row],[MIEJSCOWOŚĆ]],Koszty_fabryki[KOSZT]) + SUMIF(Kadra_pracownicza[FABRYKA],Fabryki[[#This Row],[MIEJSCOWOŚĆ]],Kadra_pracownicza[DOTYCHCZASOWY KOSZT])</f>
        <v>138725.16</v>
      </c>
      <c r="F6" s="5">
        <f ca="1">(1-Zmienne!$M$14)*Fabryki[[#This Row],[PRZYCHÓD]] -Fabryki[[#This Row],[KOSZTY]]</f>
        <v>204876.84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4.7109375" customWidth="1"/>
    <col min="3" max="3" width="14.5703125" customWidth="1"/>
    <col min="4" max="4" width="24.140625" customWidth="1"/>
    <col min="5" max="5" width="17.28515625" customWidth="1"/>
    <col min="6" max="6" width="25.140625" customWidth="1"/>
    <col min="7" max="7" width="21.85546875" customWidth="1"/>
    <col min="8" max="8" width="20" customWidth="1"/>
    <col min="9" max="9" width="21" customWidth="1"/>
    <col min="10" max="10" width="24" customWidth="1"/>
  </cols>
  <sheetData>
    <row r="1" spans="1:25" x14ac:dyDescent="0.25">
      <c r="A1" s="39" t="s">
        <v>17</v>
      </c>
      <c r="B1" s="39" t="s">
        <v>18</v>
      </c>
      <c r="C1" s="39" t="s">
        <v>19</v>
      </c>
      <c r="D1" s="39" t="s">
        <v>20</v>
      </c>
      <c r="E1" s="39" t="s">
        <v>21</v>
      </c>
      <c r="F1" s="39" t="s">
        <v>95</v>
      </c>
      <c r="G1" s="39" t="s">
        <v>22</v>
      </c>
      <c r="H1" s="39" t="s">
        <v>23</v>
      </c>
      <c r="I1" s="39" t="s">
        <v>27</v>
      </c>
      <c r="J1" s="39" t="s">
        <v>96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 spans="1:25" x14ac:dyDescent="0.25">
      <c r="A2" t="s">
        <v>24</v>
      </c>
      <c r="B2" t="s">
        <v>25</v>
      </c>
      <c r="C2" t="s">
        <v>12</v>
      </c>
      <c r="D2" t="s">
        <v>26</v>
      </c>
      <c r="E2" s="5">
        <v>2400</v>
      </c>
      <c r="F2" s="5">
        <f>E2*(Zmienne!$E$12+Zmienne!$E$13+Zmienne!$E$14+Zmienne!$E$15+Zmienne!$E$16) + E2</f>
        <v>2894.64</v>
      </c>
      <c r="G2" s="3">
        <v>42370</v>
      </c>
      <c r="H2" s="3"/>
      <c r="I2">
        <f t="shared" ref="I2:I3" ca="1" si="0">ROUNDDOWN(IF(H2 = "", TODAY()-G2,H2-G2)/12,0)</f>
        <v>33</v>
      </c>
      <c r="J2" s="5">
        <f ca="1">Kadra_pracownicza[[#This Row],[KOSZT PRACOWNIKA(MIES.)]]*Kadra_pracownicza[[#This Row],[OKRES PRACY(MIES)]]</f>
        <v>95523.12</v>
      </c>
    </row>
    <row r="3" spans="1:25" x14ac:dyDescent="0.25">
      <c r="A3" t="s">
        <v>28</v>
      </c>
      <c r="B3" t="s">
        <v>29</v>
      </c>
      <c r="C3" t="s">
        <v>14</v>
      </c>
      <c r="D3" t="s">
        <v>26</v>
      </c>
      <c r="E3" s="5">
        <v>2300</v>
      </c>
      <c r="F3" s="5">
        <f>E3*(Zmienne!$E$12+Zmienne!$E$13+Zmienne!$E$14+Zmienne!$E$15+Zmienne!$E$16) + E3</f>
        <v>2774.03</v>
      </c>
      <c r="G3" s="3">
        <v>42370</v>
      </c>
      <c r="H3" s="3">
        <v>42402</v>
      </c>
      <c r="I3">
        <f t="shared" ca="1" si="0"/>
        <v>2</v>
      </c>
      <c r="J3" s="5">
        <f ca="1">Kadra_pracownicza[[#This Row],[KOSZT PRACOWNIKA(MIES.)]]*Kadra_pracownicza[[#This Row],[OKRES PRACY(MIES)]]</f>
        <v>5548.06</v>
      </c>
    </row>
    <row r="4" spans="1:25" x14ac:dyDescent="0.25">
      <c r="A4" t="s">
        <v>30</v>
      </c>
      <c r="B4" t="s">
        <v>31</v>
      </c>
      <c r="C4" t="s">
        <v>12</v>
      </c>
      <c r="D4" t="s">
        <v>32</v>
      </c>
      <c r="E4" s="5">
        <v>2500</v>
      </c>
      <c r="F4" s="5">
        <f>E4*(Zmienne!$E$12+Zmienne!$E$13+Zmienne!$E$14+Zmienne!$E$15+Zmienne!$E$16) + E4</f>
        <v>3015.25</v>
      </c>
      <c r="G4" s="3">
        <v>42370</v>
      </c>
      <c r="H4" s="3"/>
      <c r="I4" s="4">
        <f t="shared" ref="I4:I10" ca="1" si="1">ROUNDDOWN(IF(H4 = "", TODAY()-G4,H4-G4)/12,0)</f>
        <v>33</v>
      </c>
      <c r="J4" s="5">
        <f ca="1">Kadra_pracownicza[[#This Row],[KOSZT PRACOWNIKA(MIES.)]]*Kadra_pracownicza[[#This Row],[OKRES PRACY(MIES)]]</f>
        <v>99503.25</v>
      </c>
    </row>
    <row r="5" spans="1:25" x14ac:dyDescent="0.25">
      <c r="A5" t="s">
        <v>33</v>
      </c>
      <c r="B5" t="s">
        <v>34</v>
      </c>
      <c r="C5" t="s">
        <v>15</v>
      </c>
      <c r="D5" t="s">
        <v>35</v>
      </c>
      <c r="E5" s="5">
        <v>3000</v>
      </c>
      <c r="F5" s="5">
        <f>E5*(Zmienne!$E$12+Zmienne!$E$13+Zmienne!$E$14+Zmienne!$E$15+Zmienne!$E$16) + E5</f>
        <v>3618.3</v>
      </c>
      <c r="G5" s="3">
        <v>42370</v>
      </c>
      <c r="H5" s="3">
        <v>42736</v>
      </c>
      <c r="I5" s="4">
        <f t="shared" ca="1" si="1"/>
        <v>30</v>
      </c>
      <c r="J5" s="5">
        <f ca="1">Kadra_pracownicza[[#This Row],[KOSZT PRACOWNIKA(MIES.)]]*Kadra_pracownicza[[#This Row],[OKRES PRACY(MIES)]]</f>
        <v>108549</v>
      </c>
    </row>
    <row r="6" spans="1:25" x14ac:dyDescent="0.25">
      <c r="A6" t="s">
        <v>36</v>
      </c>
      <c r="B6" t="s">
        <v>37</v>
      </c>
      <c r="C6" t="s">
        <v>16</v>
      </c>
      <c r="D6" t="s">
        <v>35</v>
      </c>
      <c r="E6" s="5">
        <v>3200</v>
      </c>
      <c r="F6" s="5">
        <f>E6*(Zmienne!$E$12+Zmienne!$E$13+Zmienne!$E$14+Zmienne!$E$15+Zmienne!$E$16) + E6</f>
        <v>3859.52</v>
      </c>
      <c r="G6" s="3">
        <v>42370</v>
      </c>
      <c r="H6" s="3">
        <v>42767</v>
      </c>
      <c r="I6" s="4">
        <f t="shared" ca="1" si="1"/>
        <v>33</v>
      </c>
      <c r="J6" s="5">
        <f ca="1">Kadra_pracownicza[[#This Row],[KOSZT PRACOWNIKA(MIES.)]]*Kadra_pracownicza[[#This Row],[OKRES PRACY(MIES)]]</f>
        <v>127364.16</v>
      </c>
    </row>
    <row r="7" spans="1:25" x14ac:dyDescent="0.25">
      <c r="A7" t="s">
        <v>38</v>
      </c>
      <c r="B7" t="s">
        <v>39</v>
      </c>
      <c r="C7" t="s">
        <v>13</v>
      </c>
      <c r="D7" t="s">
        <v>40</v>
      </c>
      <c r="E7" s="5">
        <v>2500</v>
      </c>
      <c r="F7" s="5">
        <f>E7*(Zmienne!$E$12+Zmienne!$E$13+Zmienne!$E$14+Zmienne!$E$15+Zmienne!$E$16) + E7</f>
        <v>3015.25</v>
      </c>
      <c r="G7" s="3">
        <v>42370</v>
      </c>
      <c r="H7" s="3"/>
      <c r="I7" s="4">
        <f t="shared" ca="1" si="1"/>
        <v>33</v>
      </c>
      <c r="J7" s="5">
        <f ca="1">Kadra_pracownicza[[#This Row],[KOSZT PRACOWNIKA(MIES.)]]*Kadra_pracownicza[[#This Row],[OKRES PRACY(MIES)]]</f>
        <v>99503.25</v>
      </c>
    </row>
    <row r="8" spans="1:25" x14ac:dyDescent="0.25">
      <c r="A8" t="s">
        <v>41</v>
      </c>
      <c r="B8" t="s">
        <v>39</v>
      </c>
      <c r="C8" t="s">
        <v>13</v>
      </c>
      <c r="D8" t="s">
        <v>32</v>
      </c>
      <c r="E8" s="5">
        <v>3000</v>
      </c>
      <c r="F8" s="5">
        <f>E8*(Zmienne!$E$12+Zmienne!$E$13+Zmienne!$E$14+Zmienne!$E$15+Zmienne!$E$16) + E8</f>
        <v>3618.3</v>
      </c>
      <c r="G8" s="3">
        <v>42370</v>
      </c>
      <c r="H8" s="3">
        <v>42795</v>
      </c>
      <c r="I8" s="4">
        <f t="shared" ca="1" si="1"/>
        <v>35</v>
      </c>
      <c r="J8" s="5">
        <f ca="1">Kadra_pracownicza[[#This Row],[KOSZT PRACOWNIKA(MIES.)]]*Kadra_pracownicza[[#This Row],[OKRES PRACY(MIES)]]</f>
        <v>126640.5</v>
      </c>
    </row>
    <row r="9" spans="1:25" x14ac:dyDescent="0.25">
      <c r="A9" t="s">
        <v>42</v>
      </c>
      <c r="B9" t="s">
        <v>43</v>
      </c>
      <c r="C9" t="s">
        <v>14</v>
      </c>
      <c r="D9" t="s">
        <v>44</v>
      </c>
      <c r="E9" s="5">
        <v>5500</v>
      </c>
      <c r="F9" s="5">
        <f>E9*(Zmienne!$E$12+Zmienne!$E$13+Zmienne!$E$14+Zmienne!$E$15+Zmienne!$E$16) + E9</f>
        <v>6633.55</v>
      </c>
      <c r="G9" s="3">
        <v>42370</v>
      </c>
      <c r="H9" s="3"/>
      <c r="I9" s="4">
        <f t="shared" ca="1" si="1"/>
        <v>33</v>
      </c>
      <c r="J9" s="5">
        <f ca="1">Kadra_pracownicza[[#This Row],[KOSZT PRACOWNIKA(MIES.)]]*Kadra_pracownicza[[#This Row],[OKRES PRACY(MIES)]]</f>
        <v>218907.15</v>
      </c>
    </row>
    <row r="10" spans="1:25" x14ac:dyDescent="0.25">
      <c r="A10" t="s">
        <v>24</v>
      </c>
      <c r="B10" t="s">
        <v>45</v>
      </c>
      <c r="C10" t="s">
        <v>15</v>
      </c>
      <c r="D10" t="s">
        <v>46</v>
      </c>
      <c r="E10" s="5">
        <v>10000</v>
      </c>
      <c r="F10" s="5">
        <f>E10*(Zmienne!$E$12+Zmienne!$E$13+Zmienne!$E$14+Zmienne!$E$15+Zmienne!$E$16) + E10</f>
        <v>12061</v>
      </c>
      <c r="G10" s="3">
        <v>42552</v>
      </c>
      <c r="H10" s="3"/>
      <c r="I10" s="4">
        <f t="shared" ca="1" si="1"/>
        <v>17</v>
      </c>
      <c r="J10" s="5">
        <f ca="1">Kadra_pracownicza[[#This Row],[KOSZT PRACOWNIKA(MIES.)]]*Kadra_pracownicza[[#This Row],[OKRES PRACY(MIES)]]</f>
        <v>205037</v>
      </c>
    </row>
  </sheetData>
  <dataValidations count="1">
    <dataValidation type="list" allowBlank="1" showInputMessage="1" showErrorMessage="1" sqref="C2:C10">
      <formula1>ListaFabryk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10.140625" bestFit="1" customWidth="1"/>
    <col min="3" max="3" width="10.42578125" customWidth="1"/>
    <col min="4" max="4" width="14.28515625" customWidth="1"/>
    <col min="5" max="5" width="15" customWidth="1"/>
    <col min="6" max="6" width="16.42578125" customWidth="1"/>
    <col min="7" max="7" width="24" customWidth="1"/>
    <col min="8" max="8" width="12.85546875" customWidth="1"/>
    <col min="9" max="9" width="19.7109375" customWidth="1"/>
    <col min="10" max="10" width="17.42578125" customWidth="1"/>
    <col min="11" max="11" width="12.5703125" customWidth="1"/>
  </cols>
  <sheetData>
    <row r="1" spans="1:29" x14ac:dyDescent="0.25">
      <c r="A1" s="39" t="s">
        <v>48</v>
      </c>
      <c r="B1" s="39" t="s">
        <v>6</v>
      </c>
      <c r="C1" s="39" t="s">
        <v>53</v>
      </c>
      <c r="D1" s="39" t="s">
        <v>62</v>
      </c>
      <c r="E1" s="39" t="s">
        <v>51</v>
      </c>
      <c r="F1" s="39" t="s">
        <v>54</v>
      </c>
      <c r="G1" s="39" t="s">
        <v>55</v>
      </c>
      <c r="H1" s="39" t="s">
        <v>56</v>
      </c>
      <c r="I1" s="39" t="s">
        <v>57</v>
      </c>
      <c r="J1" s="39" t="s">
        <v>58</v>
      </c>
      <c r="K1" s="40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</row>
    <row r="2" spans="1:29" x14ac:dyDescent="0.25">
      <c r="A2" t="s">
        <v>59</v>
      </c>
      <c r="B2" t="s">
        <v>60</v>
      </c>
      <c r="C2" t="s">
        <v>61</v>
      </c>
      <c r="D2">
        <v>5</v>
      </c>
      <c r="E2" s="5">
        <v>30000</v>
      </c>
      <c r="F2" s="5">
        <v>2000</v>
      </c>
      <c r="G2" s="5">
        <v>1000</v>
      </c>
      <c r="H2" s="5">
        <v>6000</v>
      </c>
      <c r="I2" s="5">
        <v>1000</v>
      </c>
      <c r="J2" s="5">
        <v>500</v>
      </c>
    </row>
    <row r="3" spans="1:29" x14ac:dyDescent="0.25">
      <c r="A3" t="s">
        <v>65</v>
      </c>
      <c r="B3" t="s">
        <v>66</v>
      </c>
      <c r="C3" t="s">
        <v>67</v>
      </c>
      <c r="D3">
        <v>4</v>
      </c>
      <c r="E3" s="5">
        <v>100000</v>
      </c>
      <c r="F3" s="5">
        <v>2500</v>
      </c>
      <c r="G3" s="5">
        <v>2000</v>
      </c>
      <c r="H3" s="5">
        <v>10000</v>
      </c>
      <c r="I3" s="5">
        <v>1000</v>
      </c>
      <c r="J3" s="5">
        <v>600</v>
      </c>
    </row>
    <row r="4" spans="1:29" x14ac:dyDescent="0.25">
      <c r="A4" t="s">
        <v>68</v>
      </c>
      <c r="B4" t="s">
        <v>60</v>
      </c>
      <c r="C4" t="s">
        <v>67</v>
      </c>
      <c r="D4">
        <v>1.5</v>
      </c>
      <c r="E4" s="5">
        <v>20000</v>
      </c>
      <c r="F4" s="5">
        <v>1000</v>
      </c>
      <c r="G4" s="5">
        <v>1000</v>
      </c>
      <c r="H4" s="5">
        <v>3000</v>
      </c>
      <c r="I4" s="5">
        <v>500</v>
      </c>
      <c r="J4" s="5"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customWidth="1"/>
    <col min="2" max="2" width="11.7109375" customWidth="1"/>
    <col min="3" max="3" width="11" customWidth="1"/>
    <col min="4" max="4" width="22.85546875" customWidth="1"/>
    <col min="5" max="5" width="16.85546875" customWidth="1"/>
    <col min="6" max="6" width="20.7109375" customWidth="1"/>
    <col min="7" max="7" width="24" customWidth="1"/>
    <col min="9" max="9" width="20" customWidth="1"/>
    <col min="10" max="10" width="16.85546875" customWidth="1"/>
    <col min="11" max="11" width="13.5703125" customWidth="1"/>
    <col min="12" max="12" width="17.28515625" customWidth="1"/>
  </cols>
  <sheetData>
    <row r="1" spans="1:29" x14ac:dyDescent="0.25">
      <c r="A1" s="6" t="s">
        <v>47</v>
      </c>
      <c r="B1" s="39" t="s">
        <v>19</v>
      </c>
      <c r="C1" s="39" t="s">
        <v>48</v>
      </c>
      <c r="D1" s="39" t="s">
        <v>83</v>
      </c>
      <c r="E1" s="39" t="s">
        <v>84</v>
      </c>
      <c r="F1" s="39" t="s">
        <v>54</v>
      </c>
      <c r="G1" s="39" t="s">
        <v>55</v>
      </c>
      <c r="H1" s="39" t="s">
        <v>56</v>
      </c>
      <c r="I1" s="39" t="s">
        <v>57</v>
      </c>
      <c r="J1" s="39" t="s">
        <v>58</v>
      </c>
      <c r="K1" s="39" t="s">
        <v>50</v>
      </c>
      <c r="L1" s="39" t="s">
        <v>82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29" x14ac:dyDescent="0.25">
      <c r="A2">
        <v>1</v>
      </c>
      <c r="B2" t="s">
        <v>12</v>
      </c>
      <c r="C2" t="s">
        <v>65</v>
      </c>
      <c r="D2" s="3">
        <v>42005</v>
      </c>
      <c r="E2" s="3">
        <v>42018</v>
      </c>
      <c r="F2" t="s">
        <v>69</v>
      </c>
      <c r="G2" t="s">
        <v>69</v>
      </c>
      <c r="H2" t="s">
        <v>70</v>
      </c>
      <c r="I2" t="s">
        <v>70</v>
      </c>
      <c r="J2" t="s">
        <v>69</v>
      </c>
      <c r="K2" s="5">
        <f>INDEX(Oferta[PODSTAWA],MATCH(C2,Oferta[MODEL],0)) + IF(F2 = "TAK",INDEX(Oferta[KLIMATYZACJA],MATCH(C2,Oferta[MODEL],0)), 0) + IF(G2 = "TAK",INDEX(Oferta[PODGRZEWANE FOTELE],MATCH(C2,Oferta[MODEL],0)), 0) + IF(H2 = "TAK",INDEX(Oferta[4x4],MATCH(C2,Oferta[MODEL],0)), 0) +  IF(I2 = "TAK",INDEX(Oferta[CZUJNIKI COFANIA],MATCH(C2,Oferta[MODEL],0)), 0) + IF(J2 = "TAK",INDEX(Oferta[REJESTRATOR],MATCH(C2,Oferta[MODEL],0)), 0)</f>
        <v>105100</v>
      </c>
      <c r="L2" s="5">
        <f>INDEX(Koszty_produkcji[PODSTAWA],MATCH(C2,Koszty_produkcji[MODEL],0))+ IF(F2 = "TAK",INDEX(Koszty_produkcji[KLIMATYZACJA(OP.)],MATCH(C2,Koszty_produkcji[MODEL],0)), 0) + IF(G2 = "TAK",INDEX(Koszty_produkcji[PODGRZEWANE FOTELE(OP.)],MATCH(C2,Koszty_produkcji[MODEL],0)), 0) + IF(H2 = "TAK",INDEX(Koszty_produkcji[4x4(OP.)],MATCH(C2,Koszty_produkcji[MODEL],0)), 0) +  IF(I2 = "TAK",INDEX(Koszty_produkcji[CZUJNIKI COFANIA(OP.)],MATCH(C2,Koszty_produkcji[MODEL],0)), 0) + IF(J2 = "TAK",INDEX(Koszty_produkcji[REJESTRATOR(OP.)],MATCH(C2,Koszty_produkcji[MODEL],0)), 0)</f>
        <v>27100</v>
      </c>
    </row>
    <row r="3" spans="1:29" x14ac:dyDescent="0.25">
      <c r="A3">
        <f>A2+1</f>
        <v>2</v>
      </c>
      <c r="B3" t="s">
        <v>13</v>
      </c>
      <c r="C3" t="s">
        <v>68</v>
      </c>
      <c r="D3" s="3">
        <v>42036</v>
      </c>
      <c r="E3" s="3">
        <v>42049</v>
      </c>
      <c r="F3" t="s">
        <v>70</v>
      </c>
      <c r="G3" t="s">
        <v>70</v>
      </c>
      <c r="H3" t="s">
        <v>70</v>
      </c>
      <c r="I3" t="s">
        <v>69</v>
      </c>
      <c r="J3" t="s">
        <v>69</v>
      </c>
      <c r="K3" s="5">
        <f>INDEX(Oferta[PODSTAWA],MATCH(C3,Oferta[MODEL],0)) + IF(F3 = "TAK",INDEX(Oferta[KLIMATYZACJA],MATCH(C3,Oferta[MODEL],0)), 0) + IF(G3 = "TAK",INDEX(Oferta[PODGRZEWANE FOTELE],MATCH(C3,Oferta[MODEL],0)), 0) + IF(H3 = "TAK",INDEX(Oferta[4x4],MATCH(C3,Oferta[MODEL],0)), 0) +  IF(I3 = "TAK",INDEX(Oferta[CZUJNIKI COFANIA],MATCH(C3,Oferta[MODEL],0)), 0) + IF(J3 = "TAK",INDEX(Oferta[REJESTRATOR],MATCH(C3,Oferta[MODEL],0)), 0)</f>
        <v>20800</v>
      </c>
      <c r="L3" s="5">
        <f>INDEX(Koszty_produkcji[PODSTAWA],MATCH(C3,Koszty_produkcji[MODEL],0))+ IF(F3 = "TAK",INDEX(Koszty_produkcji[KLIMATYZACJA(OP.)],MATCH(C3,Koszty_produkcji[MODEL],0)), 0) + IF(G3 = "TAK",INDEX(Koszty_produkcji[PODGRZEWANE FOTELE(OP.)],MATCH(C3,Koszty_produkcji[MODEL],0)), 0) + IF(H3 = "TAK",INDEX(Koszty_produkcji[4x4(OP.)],MATCH(C3,Koszty_produkcji[MODEL],0)), 0) +  IF(I3 = "TAK",INDEX(Koszty_produkcji[CZUJNIKI COFANIA(OP.)],MATCH(C3,Koszty_produkcji[MODEL],0)), 0) + IF(J3 = "TAK",INDEX(Koszty_produkcji[REJESTRATOR(OP.)],MATCH(C3,Koszty_produkcji[MODEL],0)), 0)</f>
        <v>8700</v>
      </c>
    </row>
    <row r="4" spans="1:29" x14ac:dyDescent="0.25">
      <c r="A4">
        <f t="shared" ref="A4:A16" si="0">A3+1</f>
        <v>3</v>
      </c>
      <c r="B4" t="s">
        <v>12</v>
      </c>
      <c r="C4" t="s">
        <v>59</v>
      </c>
      <c r="D4" s="3">
        <v>42036</v>
      </c>
      <c r="E4" s="3">
        <v>42049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s="5">
        <f>INDEX(Oferta[PODSTAWA],MATCH(C4,Oferta[MODEL],0)) + IF(F4 = "TAK",INDEX(Oferta[KLIMATYZACJA],MATCH(C4,Oferta[MODEL],0)), 0) + IF(G4 = "TAK",INDEX(Oferta[PODGRZEWANE FOTELE],MATCH(C4,Oferta[MODEL],0)), 0) + IF(H4 = "TAK",INDEX(Oferta[4x4],MATCH(C4,Oferta[MODEL],0)), 0) +  IF(I4 = "TAK",INDEX(Oferta[CZUJNIKI COFANIA],MATCH(C4,Oferta[MODEL],0)), 0) + IF(J4 = "TAK",INDEX(Oferta[REJESTRATOR],MATCH(C4,Oferta[MODEL],0)), 0)</f>
        <v>40500</v>
      </c>
      <c r="L4" s="5">
        <f>INDEX(Koszty_produkcji[PODSTAWA],MATCH(C4,Koszty_produkcji[MODEL],0))+ IF(F4 = "TAK",INDEX(Koszty_produkcji[KLIMATYZACJA(OP.)],MATCH(C4,Koszty_produkcji[MODEL],0)), 0) + IF(G4 = "TAK",INDEX(Koszty_produkcji[PODGRZEWANE FOTELE(OP.)],MATCH(C4,Koszty_produkcji[MODEL],0)), 0) + IF(H4 = "TAK",INDEX(Koszty_produkcji[4x4(OP.)],MATCH(C4,Koszty_produkcji[MODEL],0)), 0) +  IF(I4 = "TAK",INDEX(Koszty_produkcji[CZUJNIKI COFANIA(OP.)],MATCH(C4,Koszty_produkcji[MODEL],0)), 0) + IF(J4 = "TAK",INDEX(Koszty_produkcji[REJESTRATOR(OP.)],MATCH(C4,Koszty_produkcji[MODEL],0)), 0)</f>
        <v>13150</v>
      </c>
    </row>
    <row r="5" spans="1:29" x14ac:dyDescent="0.25">
      <c r="A5">
        <f t="shared" si="0"/>
        <v>4</v>
      </c>
      <c r="B5" t="s">
        <v>15</v>
      </c>
      <c r="C5" t="s">
        <v>65</v>
      </c>
      <c r="D5" s="3">
        <v>42049</v>
      </c>
      <c r="E5" s="3">
        <v>42064</v>
      </c>
      <c r="F5" t="s">
        <v>70</v>
      </c>
      <c r="G5" t="s">
        <v>70</v>
      </c>
      <c r="H5" t="s">
        <v>69</v>
      </c>
      <c r="I5" t="s">
        <v>70</v>
      </c>
      <c r="J5" t="s">
        <v>69</v>
      </c>
      <c r="K5" s="5">
        <f>INDEX(Oferta[PODSTAWA],MATCH(C5,Oferta[MODEL],0)) + IF(F5 = "TAK",INDEX(Oferta[KLIMATYZACJA],MATCH(C5,Oferta[MODEL],0)), 0) + IF(G5 = "TAK",INDEX(Oferta[PODGRZEWANE FOTELE],MATCH(C5,Oferta[MODEL],0)), 0) + IF(H5 = "TAK",INDEX(Oferta[4x4],MATCH(C5,Oferta[MODEL],0)), 0) +  IF(I5 = "TAK",INDEX(Oferta[CZUJNIKI COFANIA],MATCH(C5,Oferta[MODEL],0)), 0) + IF(J5 = "TAK",INDEX(Oferta[REJESTRATOR],MATCH(C5,Oferta[MODEL],0)), 0)</f>
        <v>110600</v>
      </c>
      <c r="L5" s="5">
        <f>INDEX(Koszty_produkcji[PODSTAWA],MATCH(C5,Koszty_produkcji[MODEL],0))+ IF(F5 = "TAK",INDEX(Koszty_produkcji[KLIMATYZACJA(OP.)],MATCH(C5,Koszty_produkcji[MODEL],0)), 0) + IF(G5 = "TAK",INDEX(Koszty_produkcji[PODGRZEWANE FOTELE(OP.)],MATCH(C5,Koszty_produkcji[MODEL],0)), 0) + IF(H5 = "TAK",INDEX(Koszty_produkcji[4x4(OP.)],MATCH(C5,Koszty_produkcji[MODEL],0)), 0) +  IF(I5 = "TAK",INDEX(Koszty_produkcji[CZUJNIKI COFANIA(OP.)],MATCH(C5,Koszty_produkcji[MODEL],0)), 0) + IF(J5 = "TAK",INDEX(Koszty_produkcji[REJESTRATOR(OP.)],MATCH(C5,Koszty_produkcji[MODEL],0)), 0)</f>
        <v>28100</v>
      </c>
    </row>
    <row r="6" spans="1:29" x14ac:dyDescent="0.25">
      <c r="A6">
        <f t="shared" si="0"/>
        <v>5</v>
      </c>
      <c r="B6" t="s">
        <v>14</v>
      </c>
      <c r="C6" t="s">
        <v>65</v>
      </c>
      <c r="D6" s="3">
        <v>42049</v>
      </c>
      <c r="E6" s="3">
        <v>42064</v>
      </c>
      <c r="F6" t="s">
        <v>70</v>
      </c>
      <c r="G6" t="s">
        <v>69</v>
      </c>
      <c r="H6" t="s">
        <v>69</v>
      </c>
      <c r="I6" t="s">
        <v>70</v>
      </c>
      <c r="J6" t="s">
        <v>69</v>
      </c>
      <c r="K6" s="5">
        <f>INDEX(Oferta[PODSTAWA],MATCH(C6,Oferta[MODEL],0)) + IF(F6 = "TAK",INDEX(Oferta[KLIMATYZACJA],MATCH(C6,Oferta[MODEL],0)), 0) + IF(G6 = "TAK",INDEX(Oferta[PODGRZEWANE FOTELE],MATCH(C6,Oferta[MODEL],0)), 0) + IF(H6 = "TAK",INDEX(Oferta[4x4],MATCH(C6,Oferta[MODEL],0)), 0) +  IF(I6 = "TAK",INDEX(Oferta[CZUJNIKI COFANIA],MATCH(C6,Oferta[MODEL],0)), 0) + IF(J6 = "TAK",INDEX(Oferta[REJESTRATOR],MATCH(C6,Oferta[MODEL],0)), 0)</f>
        <v>112600</v>
      </c>
      <c r="L6" s="5">
        <f>INDEX(Koszty_produkcji[PODSTAWA],MATCH(C6,Koszty_produkcji[MODEL],0))+ IF(F6 = "TAK",INDEX(Koszty_produkcji[KLIMATYZACJA(OP.)],MATCH(C6,Koszty_produkcji[MODEL],0)), 0) + IF(G6 = "TAK",INDEX(Koszty_produkcji[PODGRZEWANE FOTELE(OP.)],MATCH(C6,Koszty_produkcji[MODEL],0)), 0) + IF(H6 = "TAK",INDEX(Koszty_produkcji[4x4(OP.)],MATCH(C6,Koszty_produkcji[MODEL],0)), 0) +  IF(I6 = "TAK",INDEX(Koszty_produkcji[CZUJNIKI COFANIA(OP.)],MATCH(C6,Koszty_produkcji[MODEL],0)), 0) + IF(J6 = "TAK",INDEX(Koszty_produkcji[REJESTRATOR(OP.)],MATCH(C6,Koszty_produkcji[MODEL],0)), 0)</f>
        <v>29100</v>
      </c>
    </row>
    <row r="7" spans="1:29" x14ac:dyDescent="0.25">
      <c r="A7">
        <f t="shared" si="0"/>
        <v>6</v>
      </c>
      <c r="B7" t="s">
        <v>16</v>
      </c>
      <c r="C7" t="s">
        <v>68</v>
      </c>
      <c r="D7" s="3">
        <v>42049</v>
      </c>
      <c r="E7" s="3">
        <v>42064</v>
      </c>
      <c r="F7" t="s">
        <v>69</v>
      </c>
      <c r="G7" t="s">
        <v>69</v>
      </c>
      <c r="H7" t="s">
        <v>69</v>
      </c>
      <c r="I7" t="s">
        <v>70</v>
      </c>
      <c r="J7" t="s">
        <v>69</v>
      </c>
      <c r="K7" s="5">
        <f>INDEX(Oferta[PODSTAWA],MATCH(C7,Oferta[MODEL],0)) + IF(F7 = "TAK",INDEX(Oferta[KLIMATYZACJA],MATCH(C7,Oferta[MODEL],0)), 0) + IF(G7 = "TAK",INDEX(Oferta[PODGRZEWANE FOTELE],MATCH(C7,Oferta[MODEL],0)), 0) + IF(H7 = "TAK",INDEX(Oferta[4x4],MATCH(C7,Oferta[MODEL],0)), 0) +  IF(I7 = "TAK",INDEX(Oferta[CZUJNIKI COFANIA],MATCH(C7,Oferta[MODEL],0)), 0) + IF(J7 = "TAK",INDEX(Oferta[REJESTRATOR],MATCH(C7,Oferta[MODEL],0)), 0)</f>
        <v>25300</v>
      </c>
      <c r="L7" s="5">
        <f>INDEX(Koszty_produkcji[PODSTAWA],MATCH(C7,Koszty_produkcji[MODEL],0))+ IF(F7 = "TAK",INDEX(Koszty_produkcji[KLIMATYZACJA(OP.)],MATCH(C7,Koszty_produkcji[MODEL],0)), 0) + IF(G7 = "TAK",INDEX(Koszty_produkcji[PODGRZEWANE FOTELE(OP.)],MATCH(C7,Koszty_produkcji[MODEL],0)), 0) + IF(H7 = "TAK",INDEX(Koszty_produkcji[4x4(OP.)],MATCH(C7,Koszty_produkcji[MODEL],0)), 0) +  IF(I7 = "TAK",INDEX(Koszty_produkcji[CZUJNIKI COFANIA(OP.)],MATCH(C7,Koszty_produkcji[MODEL],0)), 0) + IF(J7 = "TAK",INDEX(Koszty_produkcji[REJESTRATOR(OP.)],MATCH(C7,Koszty_produkcji[MODEL],0)), 0)</f>
        <v>10200</v>
      </c>
    </row>
    <row r="8" spans="1:29" x14ac:dyDescent="0.25">
      <c r="A8">
        <f t="shared" si="0"/>
        <v>7</v>
      </c>
      <c r="B8" t="s">
        <v>16</v>
      </c>
      <c r="C8" t="s">
        <v>65</v>
      </c>
      <c r="D8" s="3">
        <v>42049</v>
      </c>
      <c r="E8" s="3">
        <v>42064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s="5">
        <f>INDEX(Oferta[PODSTAWA],MATCH(C8,Oferta[MODEL],0)) + IF(F8 = "TAK",INDEX(Oferta[KLIMATYZACJA],MATCH(C8,Oferta[MODEL],0)), 0) + IF(G8 = "TAK",INDEX(Oferta[PODGRZEWANE FOTELE],MATCH(C8,Oferta[MODEL],0)), 0) + IF(H8 = "TAK",INDEX(Oferta[4x4],MATCH(C8,Oferta[MODEL],0)), 0) +  IF(I8 = "TAK",INDEX(Oferta[CZUJNIKI COFANIA],MATCH(C8,Oferta[MODEL],0)), 0) + IF(J8 = "TAK",INDEX(Oferta[REJESTRATOR],MATCH(C8,Oferta[MODEL],0)), 0)</f>
        <v>116100</v>
      </c>
      <c r="L8" s="5">
        <f>INDEX(Koszty_produkcji[PODSTAWA],MATCH(C8,Koszty_produkcji[MODEL],0))+ IF(F8 = "TAK",INDEX(Koszty_produkcji[KLIMATYZACJA(OP.)],MATCH(C8,Koszty_produkcji[MODEL],0)), 0) + IF(G8 = "TAK",INDEX(Koszty_produkcji[PODGRZEWANE FOTELE(OP.)],MATCH(C8,Koszty_produkcji[MODEL],0)), 0) + IF(H8 = "TAK",INDEX(Koszty_produkcji[4x4(OP.)],MATCH(C8,Koszty_produkcji[MODEL],0)), 0) +  IF(I8 = "TAK",INDEX(Koszty_produkcji[CZUJNIKI COFANIA(OP.)],MATCH(C8,Koszty_produkcji[MODEL],0)), 0) + IF(J8 = "TAK",INDEX(Koszty_produkcji[REJESTRATOR(OP.)],MATCH(C8,Koszty_produkcji[MODEL],0)), 0)</f>
        <v>30300</v>
      </c>
    </row>
    <row r="9" spans="1:29" x14ac:dyDescent="0.25">
      <c r="A9">
        <f t="shared" si="0"/>
        <v>8</v>
      </c>
      <c r="B9" t="s">
        <v>15</v>
      </c>
      <c r="C9" t="s">
        <v>65</v>
      </c>
      <c r="D9" s="3">
        <v>42049</v>
      </c>
      <c r="E9" s="3">
        <v>42064</v>
      </c>
      <c r="F9" t="s">
        <v>70</v>
      </c>
      <c r="G9" t="s">
        <v>70</v>
      </c>
      <c r="H9" t="s">
        <v>69</v>
      </c>
      <c r="I9" t="s">
        <v>70</v>
      </c>
      <c r="J9" t="s">
        <v>69</v>
      </c>
      <c r="K9" s="5">
        <f>INDEX(Oferta[PODSTAWA],MATCH(C9,Oferta[MODEL],0)) + IF(F9 = "TAK",INDEX(Oferta[KLIMATYZACJA],MATCH(C9,Oferta[MODEL],0)), 0) + IF(G9 = "TAK",INDEX(Oferta[PODGRZEWANE FOTELE],MATCH(C9,Oferta[MODEL],0)), 0) + IF(H9 = "TAK",INDEX(Oferta[4x4],MATCH(C9,Oferta[MODEL],0)), 0) +  IF(I9 = "TAK",INDEX(Oferta[CZUJNIKI COFANIA],MATCH(C9,Oferta[MODEL],0)), 0) + IF(J9 = "TAK",INDEX(Oferta[REJESTRATOR],MATCH(C9,Oferta[MODEL],0)), 0)</f>
        <v>110600</v>
      </c>
      <c r="L9" s="5">
        <f>INDEX(Koszty_produkcji[PODSTAWA],MATCH(C9,Koszty_produkcji[MODEL],0))+ IF(F9 = "TAK",INDEX(Koszty_produkcji[KLIMATYZACJA(OP.)],MATCH(C9,Koszty_produkcji[MODEL],0)), 0) + IF(G9 = "TAK",INDEX(Koszty_produkcji[PODGRZEWANE FOTELE(OP.)],MATCH(C9,Koszty_produkcji[MODEL],0)), 0) + IF(H9 = "TAK",INDEX(Koszty_produkcji[4x4(OP.)],MATCH(C9,Koszty_produkcji[MODEL],0)), 0) +  IF(I9 = "TAK",INDEX(Koszty_produkcji[CZUJNIKI COFANIA(OP.)],MATCH(C9,Koszty_produkcji[MODEL],0)), 0) + IF(J9 = "TAK",INDEX(Koszty_produkcji[REJESTRATOR(OP.)],MATCH(C9,Koszty_produkcji[MODEL],0)), 0)</f>
        <v>28100</v>
      </c>
    </row>
    <row r="10" spans="1:29" x14ac:dyDescent="0.25">
      <c r="A10">
        <f t="shared" si="0"/>
        <v>9</v>
      </c>
      <c r="B10" t="s">
        <v>14</v>
      </c>
      <c r="C10" t="s">
        <v>65</v>
      </c>
      <c r="D10" s="3">
        <v>42049</v>
      </c>
      <c r="E10" s="3">
        <v>42064</v>
      </c>
      <c r="F10" t="s">
        <v>70</v>
      </c>
      <c r="G10" t="s">
        <v>69</v>
      </c>
      <c r="H10" t="s">
        <v>69</v>
      </c>
      <c r="I10" t="s">
        <v>70</v>
      </c>
      <c r="J10" t="s">
        <v>69</v>
      </c>
      <c r="K10" s="5">
        <f>INDEX(Oferta[PODSTAWA],MATCH(C10,Oferta[MODEL],0)) + IF(F10 = "TAK",INDEX(Oferta[KLIMATYZACJA],MATCH(C10,Oferta[MODEL],0)), 0) + IF(G10 = "TAK",INDEX(Oferta[PODGRZEWANE FOTELE],MATCH(C10,Oferta[MODEL],0)), 0) + IF(H10 = "TAK",INDEX(Oferta[4x4],MATCH(C10,Oferta[MODEL],0)), 0) +  IF(I10 = "TAK",INDEX(Oferta[CZUJNIKI COFANIA],MATCH(C10,Oferta[MODEL],0)), 0) + IF(J10 = "TAK",INDEX(Oferta[REJESTRATOR],MATCH(C10,Oferta[MODEL],0)), 0)</f>
        <v>112600</v>
      </c>
      <c r="L10" s="5">
        <f>INDEX(Koszty_produkcji[PODSTAWA],MATCH(C10,Koszty_produkcji[MODEL],0))+ IF(F10 = "TAK",INDEX(Koszty_produkcji[KLIMATYZACJA(OP.)],MATCH(C10,Koszty_produkcji[MODEL],0)), 0) + IF(G10 = "TAK",INDEX(Koszty_produkcji[PODGRZEWANE FOTELE(OP.)],MATCH(C10,Koszty_produkcji[MODEL],0)), 0) + IF(H10 = "TAK",INDEX(Koszty_produkcji[4x4(OP.)],MATCH(C10,Koszty_produkcji[MODEL],0)), 0) +  IF(I10 = "TAK",INDEX(Koszty_produkcji[CZUJNIKI COFANIA(OP.)],MATCH(C10,Koszty_produkcji[MODEL],0)), 0) + IF(J10 = "TAK",INDEX(Koszty_produkcji[REJESTRATOR(OP.)],MATCH(C10,Koszty_produkcji[MODEL],0)), 0)</f>
        <v>29100</v>
      </c>
    </row>
    <row r="11" spans="1:29" x14ac:dyDescent="0.25">
      <c r="A11">
        <f t="shared" si="0"/>
        <v>10</v>
      </c>
      <c r="B11" t="s">
        <v>16</v>
      </c>
      <c r="C11" t="s">
        <v>68</v>
      </c>
      <c r="D11" s="3">
        <v>42049</v>
      </c>
      <c r="E11" s="3">
        <v>42064</v>
      </c>
      <c r="F11" t="s">
        <v>69</v>
      </c>
      <c r="G11" t="s">
        <v>69</v>
      </c>
      <c r="H11" t="s">
        <v>69</v>
      </c>
      <c r="I11" t="s">
        <v>70</v>
      </c>
      <c r="J11" t="s">
        <v>69</v>
      </c>
      <c r="K11" s="5">
        <f>INDEX(Oferta[PODSTAWA],MATCH(C11,Oferta[MODEL],0)) + IF(F11 = "TAK",INDEX(Oferta[KLIMATYZACJA],MATCH(C11,Oferta[MODEL],0)), 0) + IF(G11 = "TAK",INDEX(Oferta[PODGRZEWANE FOTELE],MATCH(C11,Oferta[MODEL],0)), 0) + IF(H11 = "TAK",INDEX(Oferta[4x4],MATCH(C11,Oferta[MODEL],0)), 0) +  IF(I11 = "TAK",INDEX(Oferta[CZUJNIKI COFANIA],MATCH(C11,Oferta[MODEL],0)), 0) + IF(J11 = "TAK",INDEX(Oferta[REJESTRATOR],MATCH(C11,Oferta[MODEL],0)), 0)</f>
        <v>25300</v>
      </c>
      <c r="L11" s="5">
        <f>INDEX(Koszty_produkcji[PODSTAWA],MATCH(C11,Koszty_produkcji[MODEL],0))+ IF(F11 = "TAK",INDEX(Koszty_produkcji[KLIMATYZACJA(OP.)],MATCH(C11,Koszty_produkcji[MODEL],0)), 0) + IF(G11 = "TAK",INDEX(Koszty_produkcji[PODGRZEWANE FOTELE(OP.)],MATCH(C11,Koszty_produkcji[MODEL],0)), 0) + IF(H11 = "TAK",INDEX(Koszty_produkcji[4x4(OP.)],MATCH(C11,Koszty_produkcji[MODEL],0)), 0) +  IF(I11 = "TAK",INDEX(Koszty_produkcji[CZUJNIKI COFANIA(OP.)],MATCH(C11,Koszty_produkcji[MODEL],0)), 0) + IF(J11 = "TAK",INDEX(Koszty_produkcji[REJESTRATOR(OP.)],MATCH(C11,Koszty_produkcji[MODEL],0)), 0)</f>
        <v>10200</v>
      </c>
    </row>
    <row r="12" spans="1:29" x14ac:dyDescent="0.25">
      <c r="A12">
        <f t="shared" si="0"/>
        <v>11</v>
      </c>
      <c r="B12" t="s">
        <v>16</v>
      </c>
      <c r="C12" t="s">
        <v>65</v>
      </c>
      <c r="D12" s="3">
        <v>42049</v>
      </c>
      <c r="E12" s="3">
        <v>42064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s="5">
        <f>INDEX(Oferta[PODSTAWA],MATCH(C12,Oferta[MODEL],0)) + IF(F12 = "TAK",INDEX(Oferta[KLIMATYZACJA],MATCH(C12,Oferta[MODEL],0)), 0) + IF(G12 = "TAK",INDEX(Oferta[PODGRZEWANE FOTELE],MATCH(C12,Oferta[MODEL],0)), 0) + IF(H12 = "TAK",INDEX(Oferta[4x4],MATCH(C12,Oferta[MODEL],0)), 0) +  IF(I12 = "TAK",INDEX(Oferta[CZUJNIKI COFANIA],MATCH(C12,Oferta[MODEL],0)), 0) + IF(J12 = "TAK",INDEX(Oferta[REJESTRATOR],MATCH(C12,Oferta[MODEL],0)), 0)</f>
        <v>116100</v>
      </c>
      <c r="L12" s="5">
        <f>INDEX(Koszty_produkcji[PODSTAWA],MATCH(C12,Koszty_produkcji[MODEL],0))+ IF(F12 = "TAK",INDEX(Koszty_produkcji[KLIMATYZACJA(OP.)],MATCH(C12,Koszty_produkcji[MODEL],0)), 0) + IF(G12 = "TAK",INDEX(Koszty_produkcji[PODGRZEWANE FOTELE(OP.)],MATCH(C12,Koszty_produkcji[MODEL],0)), 0) + IF(H12 = "TAK",INDEX(Koszty_produkcji[4x4(OP.)],MATCH(C12,Koszty_produkcji[MODEL],0)), 0) +  IF(I12 = "TAK",INDEX(Koszty_produkcji[CZUJNIKI COFANIA(OP.)],MATCH(C12,Koszty_produkcji[MODEL],0)), 0) + IF(J12 = "TAK",INDEX(Koszty_produkcji[REJESTRATOR(OP.)],MATCH(C12,Koszty_produkcji[MODEL],0)), 0)</f>
        <v>30300</v>
      </c>
    </row>
    <row r="13" spans="1:29" x14ac:dyDescent="0.25">
      <c r="A13">
        <f t="shared" si="0"/>
        <v>12</v>
      </c>
      <c r="B13" t="s">
        <v>15</v>
      </c>
      <c r="C13" t="s">
        <v>65</v>
      </c>
      <c r="D13" s="3">
        <v>42049</v>
      </c>
      <c r="E13" s="3">
        <v>42064</v>
      </c>
      <c r="F13" t="s">
        <v>70</v>
      </c>
      <c r="G13" t="s">
        <v>70</v>
      </c>
      <c r="H13" t="s">
        <v>69</v>
      </c>
      <c r="I13" t="s">
        <v>70</v>
      </c>
      <c r="J13" t="s">
        <v>69</v>
      </c>
      <c r="K13" s="5">
        <f>INDEX(Oferta[PODSTAWA],MATCH(C13,Oferta[MODEL],0)) + IF(F13 = "TAK",INDEX(Oferta[KLIMATYZACJA],MATCH(C13,Oferta[MODEL],0)), 0) + IF(G13 = "TAK",INDEX(Oferta[PODGRZEWANE FOTELE],MATCH(C13,Oferta[MODEL],0)), 0) + IF(H13 = "TAK",INDEX(Oferta[4x4],MATCH(C13,Oferta[MODEL],0)), 0) +  IF(I13 = "TAK",INDEX(Oferta[CZUJNIKI COFANIA],MATCH(C13,Oferta[MODEL],0)), 0) + IF(J13 = "TAK",INDEX(Oferta[REJESTRATOR],MATCH(C13,Oferta[MODEL],0)), 0)</f>
        <v>110600</v>
      </c>
      <c r="L13" s="5">
        <f>INDEX(Koszty_produkcji[PODSTAWA],MATCH(C13,Koszty_produkcji[MODEL],0))+ IF(F13 = "TAK",INDEX(Koszty_produkcji[KLIMATYZACJA(OP.)],MATCH(C13,Koszty_produkcji[MODEL],0)), 0) + IF(G13 = "TAK",INDEX(Koszty_produkcji[PODGRZEWANE FOTELE(OP.)],MATCH(C13,Koszty_produkcji[MODEL],0)), 0) + IF(H13 = "TAK",INDEX(Koszty_produkcji[4x4(OP.)],MATCH(C13,Koszty_produkcji[MODEL],0)), 0) +  IF(I13 = "TAK",INDEX(Koszty_produkcji[CZUJNIKI COFANIA(OP.)],MATCH(C13,Koszty_produkcji[MODEL],0)), 0) + IF(J13 = "TAK",INDEX(Koszty_produkcji[REJESTRATOR(OP.)],MATCH(C13,Koszty_produkcji[MODEL],0)), 0)</f>
        <v>28100</v>
      </c>
    </row>
    <row r="14" spans="1:29" x14ac:dyDescent="0.25">
      <c r="A14">
        <f t="shared" si="0"/>
        <v>13</v>
      </c>
      <c r="B14" t="s">
        <v>14</v>
      </c>
      <c r="C14" t="s">
        <v>65</v>
      </c>
      <c r="D14" s="3">
        <v>42049</v>
      </c>
      <c r="E14" s="3">
        <v>42064</v>
      </c>
      <c r="F14" t="s">
        <v>70</v>
      </c>
      <c r="G14" t="s">
        <v>69</v>
      </c>
      <c r="H14" t="s">
        <v>69</v>
      </c>
      <c r="I14" t="s">
        <v>70</v>
      </c>
      <c r="J14" t="s">
        <v>69</v>
      </c>
      <c r="K14" s="5">
        <f>INDEX(Oferta[PODSTAWA],MATCH(C14,Oferta[MODEL],0)) + IF(F14 = "TAK",INDEX(Oferta[KLIMATYZACJA],MATCH(C14,Oferta[MODEL],0)), 0) + IF(G14 = "TAK",INDEX(Oferta[PODGRZEWANE FOTELE],MATCH(C14,Oferta[MODEL],0)), 0) + IF(H14 = "TAK",INDEX(Oferta[4x4],MATCH(C14,Oferta[MODEL],0)), 0) +  IF(I14 = "TAK",INDEX(Oferta[CZUJNIKI COFANIA],MATCH(C14,Oferta[MODEL],0)), 0) + IF(J14 = "TAK",INDEX(Oferta[REJESTRATOR],MATCH(C14,Oferta[MODEL],0)), 0)</f>
        <v>112600</v>
      </c>
      <c r="L14" s="5">
        <f>INDEX(Koszty_produkcji[PODSTAWA],MATCH(C14,Koszty_produkcji[MODEL],0))+ IF(F14 = "TAK",INDEX(Koszty_produkcji[KLIMATYZACJA(OP.)],MATCH(C14,Koszty_produkcji[MODEL],0)), 0) + IF(G14 = "TAK",INDEX(Koszty_produkcji[PODGRZEWANE FOTELE(OP.)],MATCH(C14,Koszty_produkcji[MODEL],0)), 0) + IF(H14 = "TAK",INDEX(Koszty_produkcji[4x4(OP.)],MATCH(C14,Koszty_produkcji[MODEL],0)), 0) +  IF(I14 = "TAK",INDEX(Koszty_produkcji[CZUJNIKI COFANIA(OP.)],MATCH(C14,Koszty_produkcji[MODEL],0)), 0) + IF(J14 = "TAK",INDEX(Koszty_produkcji[REJESTRATOR(OP.)],MATCH(C14,Koszty_produkcji[MODEL],0)), 0)</f>
        <v>29100</v>
      </c>
    </row>
    <row r="15" spans="1:29" x14ac:dyDescent="0.25">
      <c r="A15">
        <f t="shared" si="0"/>
        <v>14</v>
      </c>
      <c r="B15" t="s">
        <v>16</v>
      </c>
      <c r="C15" t="s">
        <v>68</v>
      </c>
      <c r="D15" s="3">
        <v>42049</v>
      </c>
      <c r="E15" s="3">
        <v>42064</v>
      </c>
      <c r="F15" t="s">
        <v>69</v>
      </c>
      <c r="G15" t="s">
        <v>69</v>
      </c>
      <c r="H15" t="s">
        <v>69</v>
      </c>
      <c r="I15" t="s">
        <v>70</v>
      </c>
      <c r="J15" t="s">
        <v>69</v>
      </c>
      <c r="K15" s="5">
        <f>INDEX(Oferta[PODSTAWA],MATCH(C15,Oferta[MODEL],0)) + IF(F15 = "TAK",INDEX(Oferta[KLIMATYZACJA],MATCH(C15,Oferta[MODEL],0)), 0) + IF(G15 = "TAK",INDEX(Oferta[PODGRZEWANE FOTELE],MATCH(C15,Oferta[MODEL],0)), 0) + IF(H15 = "TAK",INDEX(Oferta[4x4],MATCH(C15,Oferta[MODEL],0)), 0) +  IF(I15 = "TAK",INDEX(Oferta[CZUJNIKI COFANIA],MATCH(C15,Oferta[MODEL],0)), 0) + IF(J15 = "TAK",INDEX(Oferta[REJESTRATOR],MATCH(C15,Oferta[MODEL],0)), 0)</f>
        <v>25300</v>
      </c>
      <c r="L15" s="5">
        <f>INDEX(Koszty_produkcji[PODSTAWA],MATCH(C15,Koszty_produkcji[MODEL],0))+ IF(F15 = "TAK",INDEX(Koszty_produkcji[KLIMATYZACJA(OP.)],MATCH(C15,Koszty_produkcji[MODEL],0)), 0) + IF(G15 = "TAK",INDEX(Koszty_produkcji[PODGRZEWANE FOTELE(OP.)],MATCH(C15,Koszty_produkcji[MODEL],0)), 0) + IF(H15 = "TAK",INDEX(Koszty_produkcji[4x4(OP.)],MATCH(C15,Koszty_produkcji[MODEL],0)), 0) +  IF(I15 = "TAK",INDEX(Koszty_produkcji[CZUJNIKI COFANIA(OP.)],MATCH(C15,Koszty_produkcji[MODEL],0)), 0) + IF(J15 = "TAK",INDEX(Koszty_produkcji[REJESTRATOR(OP.)],MATCH(C15,Koszty_produkcji[MODEL],0)), 0)</f>
        <v>10200</v>
      </c>
    </row>
    <row r="16" spans="1:29" x14ac:dyDescent="0.25">
      <c r="A16">
        <f t="shared" si="0"/>
        <v>15</v>
      </c>
      <c r="B16" t="s">
        <v>16</v>
      </c>
      <c r="C16" t="s">
        <v>65</v>
      </c>
      <c r="D16" s="3">
        <v>42049</v>
      </c>
      <c r="E16" s="3">
        <v>42064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s="5">
        <f>INDEX(Oferta[PODSTAWA],MATCH(C16,Oferta[MODEL],0)) + IF(F16 = "TAK",INDEX(Oferta[KLIMATYZACJA],MATCH(C16,Oferta[MODEL],0)), 0) + IF(G16 = "TAK",INDEX(Oferta[PODGRZEWANE FOTELE],MATCH(C16,Oferta[MODEL],0)), 0) + IF(H16 = "TAK",INDEX(Oferta[4x4],MATCH(C16,Oferta[MODEL],0)), 0) +  IF(I16 = "TAK",INDEX(Oferta[CZUJNIKI COFANIA],MATCH(C16,Oferta[MODEL],0)), 0) + IF(J16 = "TAK",INDEX(Oferta[REJESTRATOR],MATCH(C16,Oferta[MODEL],0)), 0)</f>
        <v>116100</v>
      </c>
      <c r="L16" s="5">
        <f>INDEX(Koszty_produkcji[PODSTAWA],MATCH(C16,Koszty_produkcji[MODEL],0))+ IF(F16 = "TAK",INDEX(Koszty_produkcji[KLIMATYZACJA(OP.)],MATCH(C16,Koszty_produkcji[MODEL],0)), 0) + IF(G16 = "TAK",INDEX(Koszty_produkcji[PODGRZEWANE FOTELE(OP.)],MATCH(C16,Koszty_produkcji[MODEL],0)), 0) + IF(H16 = "TAK",INDEX(Koszty_produkcji[4x4(OP.)],MATCH(C16,Koszty_produkcji[MODEL],0)), 0) +  IF(I16 = "TAK",INDEX(Koszty_produkcji[CZUJNIKI COFANIA(OP.)],MATCH(C16,Koszty_produkcji[MODEL],0)), 0) + IF(J16 = "TAK",INDEX(Koszty_produkcji[REJESTRATOR(OP.)],MATCH(C16,Koszty_produkcji[MODEL],0)), 0)</f>
        <v>30300</v>
      </c>
    </row>
  </sheetData>
  <dataValidations count="2">
    <dataValidation type="list" allowBlank="1" showInputMessage="1" showErrorMessage="1" sqref="B2:B16">
      <formula1>ListaFabryk</formula1>
    </dataValidation>
    <dataValidation type="list" allowBlank="1" showInputMessage="1" showErrorMessage="1" sqref="C2:C16">
      <formula1>ListaModeli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5" customWidth="1"/>
    <col min="3" max="3" width="11.85546875" customWidth="1"/>
    <col min="4" max="4" width="14.85546875" customWidth="1"/>
    <col min="5" max="5" width="15.7109375" customWidth="1"/>
    <col min="6" max="6" width="12.140625" customWidth="1"/>
    <col min="7" max="7" width="20.7109375" customWidth="1"/>
    <col min="8" max="8" width="27.140625" customWidth="1"/>
    <col min="9" max="9" width="11.42578125" customWidth="1"/>
    <col min="10" max="10" width="22.42578125" customWidth="1"/>
    <col min="11" max="11" width="21.42578125" customWidth="1"/>
    <col min="12" max="12" width="11" bestFit="1" customWidth="1"/>
    <col min="13" max="13" width="12.5703125" customWidth="1"/>
  </cols>
  <sheetData>
    <row r="1" spans="1:40" x14ac:dyDescent="0.25">
      <c r="A1" s="39" t="s">
        <v>48</v>
      </c>
      <c r="B1" s="39" t="s">
        <v>72</v>
      </c>
      <c r="C1" s="39" t="s">
        <v>52</v>
      </c>
      <c r="D1" s="39" t="s">
        <v>73</v>
      </c>
      <c r="E1" s="39" t="s">
        <v>74</v>
      </c>
      <c r="F1" s="41" t="s">
        <v>75</v>
      </c>
      <c r="G1" s="39" t="s">
        <v>76</v>
      </c>
      <c r="H1" s="39" t="s">
        <v>77</v>
      </c>
      <c r="I1" s="39" t="s">
        <v>78</v>
      </c>
      <c r="J1" s="39" t="s">
        <v>79</v>
      </c>
      <c r="K1" s="39" t="s">
        <v>80</v>
      </c>
      <c r="L1" s="41" t="s">
        <v>81</v>
      </c>
      <c r="M1" s="39" t="s">
        <v>51</v>
      </c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</row>
    <row r="2" spans="1:40" x14ac:dyDescent="0.25">
      <c r="A2" t="s">
        <v>59</v>
      </c>
      <c r="B2" s="5">
        <v>2000</v>
      </c>
      <c r="C2" s="5">
        <v>3000</v>
      </c>
      <c r="D2" s="5">
        <v>1500</v>
      </c>
      <c r="E2" s="5">
        <v>2000</v>
      </c>
      <c r="F2" s="5">
        <v>3000</v>
      </c>
      <c r="G2" s="5">
        <v>200</v>
      </c>
      <c r="H2" s="5">
        <v>300</v>
      </c>
      <c r="I2" s="5">
        <v>1000</v>
      </c>
      <c r="J2" s="5">
        <v>100</v>
      </c>
      <c r="K2" s="5">
        <v>50</v>
      </c>
      <c r="L2" s="5">
        <f>SUM(B2:K2)</f>
        <v>13150</v>
      </c>
      <c r="M2" s="5">
        <f t="shared" ref="M2:M4" si="0">SUM(B2:F2)</f>
        <v>11500</v>
      </c>
    </row>
    <row r="3" spans="1:40" x14ac:dyDescent="0.25">
      <c r="A3" t="s">
        <v>65</v>
      </c>
      <c r="B3" s="5">
        <v>10000</v>
      </c>
      <c r="C3" s="5">
        <v>4000</v>
      </c>
      <c r="D3" s="5">
        <v>2000</v>
      </c>
      <c r="E3" s="5">
        <v>5000</v>
      </c>
      <c r="F3" s="5">
        <v>4000</v>
      </c>
      <c r="G3" s="5">
        <v>1000</v>
      </c>
      <c r="H3" s="5">
        <v>1000</v>
      </c>
      <c r="I3" s="5">
        <v>3000</v>
      </c>
      <c r="J3" s="5">
        <v>200</v>
      </c>
      <c r="K3" s="5">
        <v>100</v>
      </c>
      <c r="L3" s="5">
        <f>SUM(B3:K3)</f>
        <v>30300</v>
      </c>
      <c r="M3" s="5">
        <f t="shared" si="0"/>
        <v>25000</v>
      </c>
    </row>
    <row r="4" spans="1:40" x14ac:dyDescent="0.25">
      <c r="A4" t="s">
        <v>68</v>
      </c>
      <c r="B4" s="5">
        <v>2000</v>
      </c>
      <c r="C4" s="5">
        <v>2000</v>
      </c>
      <c r="D4" s="5">
        <v>1000</v>
      </c>
      <c r="E4" s="5">
        <v>1500</v>
      </c>
      <c r="F4" s="5">
        <v>2000</v>
      </c>
      <c r="G4" s="5">
        <v>300</v>
      </c>
      <c r="H4" s="5">
        <v>300</v>
      </c>
      <c r="I4" s="5">
        <v>1000</v>
      </c>
      <c r="J4" s="5">
        <v>100</v>
      </c>
      <c r="K4" s="5">
        <v>100</v>
      </c>
      <c r="L4" s="5">
        <f>SUM(B4:K4)</f>
        <v>10300</v>
      </c>
      <c r="M4" s="5">
        <f t="shared" si="0"/>
        <v>8500</v>
      </c>
    </row>
  </sheetData>
  <dataValidations count="1">
    <dataValidation type="list" allowBlank="1" showInputMessage="1" showErrorMessage="1" sqref="A2:A4">
      <formula1>ListaModeli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" customWidth="1"/>
    <col min="2" max="2" width="20.7109375" customWidth="1"/>
    <col min="3" max="3" width="11.28515625" customWidth="1"/>
    <col min="4" max="4" width="13" customWidth="1"/>
    <col min="5" max="5" width="13.5703125" bestFit="1" customWidth="1"/>
    <col min="6" max="6" width="16.42578125" customWidth="1"/>
  </cols>
  <sheetData>
    <row r="1" spans="1:28" x14ac:dyDescent="0.25">
      <c r="A1" s="39" t="s">
        <v>19</v>
      </c>
      <c r="B1" s="39" t="s">
        <v>85</v>
      </c>
      <c r="C1" s="39" t="s">
        <v>88</v>
      </c>
      <c r="D1" s="39" t="s">
        <v>92</v>
      </c>
      <c r="E1" s="39" t="s">
        <v>86</v>
      </c>
      <c r="F1" s="39" t="s">
        <v>90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0"/>
      <c r="Z1" s="40"/>
      <c r="AA1" s="40"/>
      <c r="AB1" s="40"/>
    </row>
    <row r="2" spans="1:28" x14ac:dyDescent="0.25">
      <c r="A2" t="s">
        <v>13</v>
      </c>
      <c r="B2" t="s">
        <v>87</v>
      </c>
      <c r="C2">
        <v>10000</v>
      </c>
      <c r="D2" s="5">
        <v>0.4</v>
      </c>
      <c r="E2" s="5">
        <f>Koszty_fabryki[[#This Row],[ILOŚĆ]]*Koszty_fabryki[[#This Row],[CENA ZA SZT.]]</f>
        <v>4000</v>
      </c>
      <c r="F2" s="3">
        <v>38353</v>
      </c>
    </row>
    <row r="3" spans="1:28" x14ac:dyDescent="0.25">
      <c r="A3" t="s">
        <v>16</v>
      </c>
      <c r="B3" t="s">
        <v>87</v>
      </c>
      <c r="C3">
        <v>20000</v>
      </c>
      <c r="D3" s="5">
        <v>0.54</v>
      </c>
      <c r="E3" s="5">
        <f>Koszty_fabryki[[#This Row],[ILOŚĆ]]*Koszty_fabryki[[#This Row],[CENA ZA SZT.]]</f>
        <v>10800</v>
      </c>
      <c r="F3" s="3">
        <v>38353</v>
      </c>
    </row>
    <row r="4" spans="1:28" x14ac:dyDescent="0.25">
      <c r="A4" t="s">
        <v>15</v>
      </c>
      <c r="B4" t="s">
        <v>87</v>
      </c>
      <c r="C4">
        <v>30000</v>
      </c>
      <c r="D4" s="5">
        <v>0.53</v>
      </c>
      <c r="E4" s="5">
        <f>Koszty_fabryki[[#This Row],[ILOŚĆ]]*Koszty_fabryki[[#This Row],[CENA ZA SZT.]]</f>
        <v>15900</v>
      </c>
      <c r="F4" s="3">
        <v>38353</v>
      </c>
    </row>
    <row r="5" spans="1:28" x14ac:dyDescent="0.25">
      <c r="A5" t="s">
        <v>14</v>
      </c>
      <c r="B5" t="s">
        <v>87</v>
      </c>
      <c r="C5">
        <v>25000</v>
      </c>
      <c r="D5" s="5">
        <v>0.45</v>
      </c>
      <c r="E5" s="5">
        <f>Koszty_fabryki[[#This Row],[ILOŚĆ]]*Koszty_fabryki[[#This Row],[CENA ZA SZT.]]</f>
        <v>11250</v>
      </c>
      <c r="F5" s="3">
        <v>38353</v>
      </c>
    </row>
    <row r="6" spans="1:28" x14ac:dyDescent="0.25">
      <c r="A6" t="s">
        <v>12</v>
      </c>
      <c r="B6" t="s">
        <v>87</v>
      </c>
      <c r="C6">
        <v>15000</v>
      </c>
      <c r="D6" s="5">
        <v>0.5</v>
      </c>
      <c r="E6" s="5">
        <f>Koszty_fabryki[[#This Row],[ILOŚĆ]]*Koszty_fabryki[[#This Row],[CENA ZA SZT.]]</f>
        <v>7500</v>
      </c>
      <c r="F6" s="3">
        <v>38353</v>
      </c>
    </row>
    <row r="7" spans="1:28" x14ac:dyDescent="0.25">
      <c r="A7" t="s">
        <v>12</v>
      </c>
      <c r="B7" t="s">
        <v>91</v>
      </c>
      <c r="C7">
        <v>1</v>
      </c>
      <c r="D7" s="5">
        <v>15000</v>
      </c>
      <c r="E7" s="5">
        <f>Koszty_fabryki[[#This Row],[ILOŚĆ]]*Koszty_fabryki[[#This Row],[CENA ZA SZT.]]</f>
        <v>15000</v>
      </c>
      <c r="F7" s="3">
        <v>38473</v>
      </c>
    </row>
    <row r="8" spans="1:28" x14ac:dyDescent="0.25">
      <c r="A8" t="s">
        <v>15</v>
      </c>
      <c r="B8" t="s">
        <v>93</v>
      </c>
      <c r="C8">
        <v>1</v>
      </c>
      <c r="D8" s="5">
        <v>2000</v>
      </c>
      <c r="E8" s="5">
        <f>Koszty_fabryki[[#This Row],[ILOŚĆ]]*Koszty_fabryki[[#This Row],[CENA ZA SZT.]]</f>
        <v>2000</v>
      </c>
      <c r="F8" s="3">
        <v>39084</v>
      </c>
    </row>
    <row r="9" spans="1:28" x14ac:dyDescent="0.25">
      <c r="A9" t="s">
        <v>13</v>
      </c>
      <c r="B9" t="s">
        <v>94</v>
      </c>
      <c r="C9">
        <v>150</v>
      </c>
      <c r="D9" s="5">
        <v>5.53</v>
      </c>
      <c r="E9" s="5">
        <f>Koszty_fabryki[[#This Row],[ILOŚĆ]]*Koszty_fabryki[[#This Row],[CENA ZA SZT.]]</f>
        <v>829.5</v>
      </c>
      <c r="F9" s="3">
        <v>39115</v>
      </c>
    </row>
    <row r="10" spans="1:28" x14ac:dyDescent="0.25">
      <c r="A10" t="s">
        <v>14</v>
      </c>
      <c r="B10" t="s">
        <v>94</v>
      </c>
      <c r="C10">
        <v>200</v>
      </c>
      <c r="D10" s="5">
        <v>5.2</v>
      </c>
      <c r="E10" s="5">
        <f>Koszty_fabryki[[#This Row],[ILOŚĆ]]*Koszty_fabryki[[#This Row],[CENA ZA SZT.]]</f>
        <v>1040</v>
      </c>
      <c r="F10" s="3">
        <v>39115</v>
      </c>
    </row>
    <row r="11" spans="1:28" x14ac:dyDescent="0.25">
      <c r="A11" t="s">
        <v>15</v>
      </c>
      <c r="B11" t="s">
        <v>94</v>
      </c>
      <c r="C11">
        <v>300</v>
      </c>
      <c r="D11" s="5">
        <v>5</v>
      </c>
      <c r="E11" s="5">
        <f>Koszty_fabryki[[#This Row],[ILOŚĆ]]*Koszty_fabryki[[#This Row],[CENA ZA SZT.]]</f>
        <v>1500</v>
      </c>
      <c r="F11" s="3">
        <v>39115</v>
      </c>
    </row>
    <row r="12" spans="1:28" x14ac:dyDescent="0.25">
      <c r="A12" t="s">
        <v>16</v>
      </c>
      <c r="B12" t="s">
        <v>94</v>
      </c>
      <c r="C12">
        <v>170</v>
      </c>
      <c r="D12" s="5">
        <v>3.3</v>
      </c>
      <c r="E12" s="5">
        <f>Koszty_fabryki[[#This Row],[ILOŚĆ]]*Koszty_fabryki[[#This Row],[CENA ZA SZT.]]</f>
        <v>561</v>
      </c>
      <c r="F12" s="3">
        <v>39115</v>
      </c>
    </row>
    <row r="13" spans="1:28" x14ac:dyDescent="0.25">
      <c r="A13" t="s">
        <v>12</v>
      </c>
      <c r="B13" t="s">
        <v>94</v>
      </c>
      <c r="C13">
        <v>200</v>
      </c>
      <c r="D13" s="5">
        <v>2.6</v>
      </c>
      <c r="E13" s="5">
        <f>Koszty_fabryki[[#This Row],[ILOŚĆ]]*Koszty_fabryki[[#This Row],[CENA ZA SZT.]]</f>
        <v>520</v>
      </c>
      <c r="F13" s="3">
        <v>39115</v>
      </c>
    </row>
  </sheetData>
  <dataValidations count="1">
    <dataValidation type="list" allowBlank="1" showInputMessage="1" showErrorMessage="1" sqref="A2:A13">
      <formula1>ListaFabryk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workbookViewId="0"/>
  </sheetViews>
  <sheetFormatPr defaultRowHeight="15" x14ac:dyDescent="0.25"/>
  <cols>
    <col min="1" max="1" width="32.140625" customWidth="1"/>
    <col min="2" max="2" width="16.85546875" customWidth="1"/>
    <col min="3" max="3" width="9" customWidth="1"/>
    <col min="4" max="4" width="35.5703125" customWidth="1"/>
    <col min="5" max="5" width="22.85546875" customWidth="1"/>
    <col min="6" max="6" width="21.140625" customWidth="1"/>
    <col min="7" max="7" width="24.7109375" customWidth="1"/>
    <col min="8" max="8" width="26.42578125" customWidth="1"/>
    <col min="9" max="9" width="21.42578125" customWidth="1"/>
    <col min="10" max="10" width="21.28515625" customWidth="1"/>
    <col min="11" max="11" width="16.4257812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3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3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3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34" ht="26.25" x14ac:dyDescent="0.4">
      <c r="A9" s="1"/>
      <c r="B9" s="1"/>
      <c r="C9" s="1"/>
      <c r="D9" s="42" t="s">
        <v>108</v>
      </c>
      <c r="E9" s="42"/>
      <c r="F9" s="42"/>
      <c r="G9" s="42"/>
      <c r="H9" s="42"/>
      <c r="I9" s="4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34" ht="18.75" x14ac:dyDescent="0.3">
      <c r="A10" s="1"/>
      <c r="B10" s="1"/>
      <c r="C10" s="1"/>
      <c r="D10" s="7" t="s">
        <v>109</v>
      </c>
      <c r="E10" s="16" t="s">
        <v>12</v>
      </c>
      <c r="F10" s="16" t="s">
        <v>13</v>
      </c>
      <c r="G10" s="16" t="s">
        <v>14</v>
      </c>
      <c r="H10" s="16" t="s">
        <v>16</v>
      </c>
      <c r="I10" s="16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34" ht="18.75" x14ac:dyDescent="0.3">
      <c r="A11" s="1"/>
      <c r="B11" s="1"/>
      <c r="C11" s="1"/>
      <c r="D11" s="17" t="s">
        <v>9</v>
      </c>
      <c r="E11" s="18">
        <f>INDEX(Fabryki[[PRZYCHÓD]:[PRZYCHÓD]],MATCH(Podsumowanie!E10,Fabryki[[MIEJSCOWOŚĆ]:[MIEJSCOWOŚĆ]],0))</f>
        <v>145600</v>
      </c>
      <c r="F11" s="18">
        <f>INDEX(Fabryki[[PRZYCHÓD]:[PRZYCHÓD]],MATCH(Podsumowanie!F10,Fabryki[[MIEJSCOWOŚĆ]:[MIEJSCOWOŚĆ]],0))</f>
        <v>20800</v>
      </c>
      <c r="G11" s="18">
        <f>INDEX(Fabryki[[PRZYCHÓD]:[PRZYCHÓD]],MATCH(Podsumowanie!G10,Fabryki[[MIEJSCOWOŚĆ]:[MIEJSCOWOŚĆ]],0))</f>
        <v>337800</v>
      </c>
      <c r="H11" s="18">
        <f>INDEX(Fabryki[[PRZYCHÓD]:[PRZYCHÓD]],MATCH(Podsumowanie!H10,Fabryki[[MIEJSCOWOŚĆ]:[MIEJSCOWOŚĆ]],0))</f>
        <v>424200</v>
      </c>
      <c r="I11" s="18">
        <f>INDEX(Fabryki[[PRZYCHÓD]:[PRZYCHÓD]],MATCH(Podsumowanie!I10,Fabryki[[MIEJSCOWOŚĆ]:[MIEJSCOWOŚĆ]],0))</f>
        <v>331800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34" ht="18.75" x14ac:dyDescent="0.3">
      <c r="A12" s="1"/>
      <c r="B12" s="1"/>
      <c r="C12" s="1"/>
      <c r="D12" s="17" t="s">
        <v>10</v>
      </c>
      <c r="E12" s="18">
        <f ca="1">INDEX(Fabryki[[KOSZTY]:[KOSZTY]],MATCH(Podsumowanie!E10,Fabryki[[MIEJSCOWOŚĆ]:[MIEJSCOWOŚĆ]],0))</f>
        <v>218046.37</v>
      </c>
      <c r="F12" s="18">
        <f ca="1">INDEX(Fabryki[[KOSZTY]:[KOSZTY]],MATCH(Podsumowanie!F10,Fabryki[[MIEJSCOWOŚĆ]:[MIEJSCOWOŚĆ]],0))</f>
        <v>230973.25</v>
      </c>
      <c r="G12" s="18">
        <f ca="1">INDEX(Fabryki[[KOSZTY]:[KOSZTY]],MATCH(Podsumowanie!G10,Fabryki[[MIEJSCOWOŚĆ]:[MIEJSCOWOŚĆ]],0))</f>
        <v>236745.21</v>
      </c>
      <c r="H12" s="18">
        <f ca="1">INDEX(Fabryki[[KOSZTY]:[KOSZTY]],MATCH(Podsumowanie!H10,Fabryki[[MIEJSCOWOŚĆ]:[MIEJSCOWOŚĆ]],0))</f>
        <v>138725.16</v>
      </c>
      <c r="I12" s="18">
        <f ca="1">INDEX(Fabryki[[KOSZTY]:[KOSZTY]],MATCH(Podsumowanie!I10,Fabryki[[MIEJSCOWOŚĆ]:[MIEJSCOWOŚĆ]],0))</f>
        <v>332986</v>
      </c>
      <c r="J12" s="26"/>
      <c r="K12" s="2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34" ht="18.75" x14ac:dyDescent="0.3">
      <c r="A13" s="1"/>
      <c r="B13" s="1"/>
      <c r="C13" s="1"/>
      <c r="D13" s="19" t="s">
        <v>107</v>
      </c>
      <c r="E13" s="20">
        <f>SUMIF(Koszty_fabryki[[FABRYKA]:[FABRYKA]],Podsumowanie!E10,Koszty_fabryki[[KOSZT]:[KOSZT]])</f>
        <v>23020</v>
      </c>
      <c r="F13" s="20">
        <f>SUMIF(Koszty_fabryki[[FABRYKA]:[FABRYKA]],Podsumowanie!F10,Koszty_fabryki[[KOSZT]:[KOSZT]])</f>
        <v>4829.5</v>
      </c>
      <c r="G13" s="20">
        <f>SUMIF(Koszty_fabryki[[FABRYKA]:[FABRYKA]],Podsumowanie!G10,Koszty_fabryki[[KOSZT]:[KOSZT]])</f>
        <v>12290</v>
      </c>
      <c r="H13" s="20">
        <f>SUMIF(Koszty_fabryki[[FABRYKA]:[FABRYKA]],Podsumowanie!H10,Koszty_fabryki[[KOSZT]:[KOSZT]])</f>
        <v>11361</v>
      </c>
      <c r="I13" s="20">
        <f>SUMIF(Koszty_fabryki[[FABRYKA]:[FABRYKA]],Podsumowanie!I10,Koszty_fabryki[[KOSZT]:[KOSZT]])</f>
        <v>19400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34" ht="18.75" x14ac:dyDescent="0.3">
      <c r="A14" s="1"/>
      <c r="B14" s="1"/>
      <c r="C14" s="1"/>
      <c r="D14" s="17" t="s">
        <v>11</v>
      </c>
      <c r="E14" s="18">
        <f ca="1">INDEX(Fabryki[[DOCHÓD]:[DOCHÓD]],MATCH(Podsumowanie!E$10,Fabryki[[MIEJSCOWOŚĆ]:[MIEJSCOWOŚĆ]],0))</f>
        <v>-100110.36999999998</v>
      </c>
      <c r="F14" s="18">
        <f ca="1">INDEX(Fabryki[[DOCHÓD]:[DOCHÓD]],MATCH(Podsumowanie!F$10,Fabryki[[MIEJSCOWOŚĆ]:[MIEJSCOWOŚĆ]],0))</f>
        <v>-214125.25</v>
      </c>
      <c r="G14" s="18">
        <f ca="1">INDEX(Fabryki[[DOCHÓD]:[DOCHÓD]],MATCH(Podsumowanie!G$10,Fabryki[[MIEJSCOWOŚĆ]:[MIEJSCOWOŚĆ]],0))</f>
        <v>36872.790000000008</v>
      </c>
      <c r="H14" s="18">
        <f ca="1">INDEX(Fabryki[[DOCHÓD]:[DOCHÓD]],MATCH(Podsumowanie!H$10,Fabryki[[MIEJSCOWOŚĆ]:[MIEJSCOWOŚĆ]],0))</f>
        <v>204876.84</v>
      </c>
      <c r="I14" s="18">
        <f ca="1">INDEX(Fabryki[[DOCHÓD]:[DOCHÓD]],MATCH(Podsumowanie!I$10,Fabryki[[MIEJSCOWOŚĆ]:[MIEJSCOWOŚĆ]],0))</f>
        <v>-64228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34" ht="18.75" x14ac:dyDescent="0.3">
      <c r="A15" s="1"/>
      <c r="B15" s="1"/>
      <c r="C15" s="1"/>
      <c r="D15" s="17" t="s">
        <v>99</v>
      </c>
      <c r="E15" s="21">
        <f>INDEX(Fabryki[[WIELKOŚĆ KADRY PRAC.]:[WIELKOŚĆ KADRY PRAC.]],MATCH(Podsumowanie!E$10,Fabryki[[MIEJSCOWOŚĆ]:[MIEJSCOWOŚĆ]],0))</f>
        <v>2</v>
      </c>
      <c r="F15" s="21">
        <f>INDEX(Fabryki[[WIELKOŚĆ KADRY PRAC.]:[WIELKOŚĆ KADRY PRAC.]],MATCH(Podsumowanie!F$10,Fabryki[[MIEJSCOWOŚĆ]:[MIEJSCOWOŚĆ]],0))</f>
        <v>2</v>
      </c>
      <c r="G15" s="21">
        <f>INDEX(Fabryki[[WIELKOŚĆ KADRY PRAC.]:[WIELKOŚĆ KADRY PRAC.]],MATCH(Podsumowanie!G$10,Fabryki[[MIEJSCOWOŚĆ]:[MIEJSCOWOŚĆ]],0))</f>
        <v>2</v>
      </c>
      <c r="H15" s="21">
        <f>INDEX(Fabryki[[WIELKOŚĆ KADRY PRAC.]:[WIELKOŚĆ KADRY PRAC.]],MATCH(Podsumowanie!H$10,Fabryki[[MIEJSCOWOŚĆ]:[MIEJSCOWOŚĆ]],0))</f>
        <v>1</v>
      </c>
      <c r="I15" s="21">
        <f>INDEX(Fabryki[[WIELKOŚĆ KADRY PRAC.]:[WIELKOŚĆ KADRY PRAC.]],MATCH(Podsumowanie!I$10,Fabryki[[MIEJSCOWOŚĆ]:[MIEJSCOWOŚĆ]],0))</f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34" ht="18.75" x14ac:dyDescent="0.3">
      <c r="A16" s="1"/>
      <c r="B16" s="1"/>
      <c r="C16" s="1"/>
      <c r="D16" s="17" t="s">
        <v>98</v>
      </c>
      <c r="E16" s="22">
        <f>SUMIF(Kadra_pracownicza[[FABRYKA]:[FABRYKA]],Podsumowanie!E$10,Kadra_pracownicza[[KOSZT PRACOWNIKA(MIES.)]:[KOSZT PRACOWNIKA(MIES.)]])</f>
        <v>5909.8899999999994</v>
      </c>
      <c r="F16" s="22">
        <f>SUMIF(Kadra_pracownicza[[FABRYKA]:[FABRYKA]],Podsumowanie!F$10,Kadra_pracownicza[[KOSZT PRACOWNIKA(MIES.)]:[KOSZT PRACOWNIKA(MIES.)]])</f>
        <v>6633.55</v>
      </c>
      <c r="G16" s="22">
        <f>SUMIF(Kadra_pracownicza[[FABRYKA]:[FABRYKA]],Podsumowanie!G$10,Kadra_pracownicza[[KOSZT PRACOWNIKA(MIES.)]:[KOSZT PRACOWNIKA(MIES.)]])</f>
        <v>9407.58</v>
      </c>
      <c r="H16" s="22">
        <f>SUMIF(Kadra_pracownicza[[FABRYKA]:[FABRYKA]],Podsumowanie!H$10,Kadra_pracownicza[[KOSZT PRACOWNIKA(MIES.)]:[KOSZT PRACOWNIKA(MIES.)]])</f>
        <v>3859.52</v>
      </c>
      <c r="I16" s="22">
        <f>SUMIF(Kadra_pracownicza[[FABRYKA]:[FABRYKA]],Podsumowanie!I$10,Kadra_pracownicza[[KOSZT PRACOWNIKA(MIES.)]:[KOSZT PRACOWNIKA(MIES.)]])</f>
        <v>15679.3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8.75" x14ac:dyDescent="0.3">
      <c r="A17" s="1"/>
      <c r="B17" s="1"/>
      <c r="C17" s="1"/>
      <c r="D17" s="19" t="s">
        <v>103</v>
      </c>
      <c r="E17" s="23">
        <f>E16-SUMIF(Kadra_pracownicza[[FABRYKA]:[FABRYKA]],Podsumowanie!E$10,Kadra_pracownicza[[PENSJA BRUTTO]:[PENSJA BRUTTO]])</f>
        <v>1009.8899999999994</v>
      </c>
      <c r="F17" s="23">
        <f>F16-SUMIF(Kadra_pracownicza[[FABRYKA]:[FABRYKA]],Podsumowanie!F$10,Kadra_pracownicza[[PENSJA BRUTTO]:[PENSJA BRUTTO]])</f>
        <v>1133.5500000000002</v>
      </c>
      <c r="G17" s="23">
        <f>G16-SUMIF(Kadra_pracownicza[[FABRYKA]:[FABRYKA]],Podsumowanie!G$10,Kadra_pracownicza[[PENSJA BRUTTO]:[PENSJA BRUTTO]])</f>
        <v>1607.58</v>
      </c>
      <c r="H17" s="23">
        <f>H16-SUMIF(Kadra_pracownicza[[FABRYKA]:[FABRYKA]],Podsumowanie!H$10,Kadra_pracownicza[[PENSJA BRUTTO]:[PENSJA BRUTTO]])</f>
        <v>659.52</v>
      </c>
      <c r="I17" s="23">
        <f>I16-SUMIF(Kadra_pracownicza[[FABRYKA]:[FABRYKA]],Podsumowanie!I$10,Kadra_pracownicza[[PENSJA BRUTTO]:[PENSJA BRUTTO]])</f>
        <v>2679.2999999999993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8.75" x14ac:dyDescent="0.3">
      <c r="A18" s="1"/>
      <c r="B18" s="1"/>
      <c r="C18" s="1"/>
      <c r="D18" s="17" t="s">
        <v>104</v>
      </c>
      <c r="E18" s="18">
        <f>AVERAGEIF(Kadra_pracownicza[[FABRYKA]:[FABRYKA]],Podsumowanie!E$10,Kadra_pracownicza[[PENSJA BRUTTO]:[PENSJA BRUTTO]])</f>
        <v>2450</v>
      </c>
      <c r="F18" s="18">
        <f>AVERAGEIF(Kadra_pracownicza[[FABRYKA]:[FABRYKA]],Podsumowanie!F$10,Kadra_pracownicza[[PENSJA BRUTTO]:[PENSJA BRUTTO]])</f>
        <v>2750</v>
      </c>
      <c r="G18" s="18">
        <f>AVERAGEIF(Kadra_pracownicza[[FABRYKA]:[FABRYKA]],Podsumowanie!G$10,Kadra_pracownicza[[PENSJA BRUTTO]:[PENSJA BRUTTO]])</f>
        <v>3900</v>
      </c>
      <c r="H18" s="18">
        <f>AVERAGEIF(Kadra_pracownicza[[FABRYKA]:[FABRYKA]],Podsumowanie!H$10,Kadra_pracownicza[[PENSJA BRUTTO]:[PENSJA BRUTTO]])</f>
        <v>3200</v>
      </c>
      <c r="I18" s="18">
        <f>AVERAGEIF(Kadra_pracownicza[[FABRYKA]:[FABRYKA]],Podsumowanie!I$10,Kadra_pracownicza[[PENSJA BRUTTO]:[PENSJA BRUTTO]])</f>
        <v>6500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8.75" x14ac:dyDescent="0.3">
      <c r="A19" s="1"/>
      <c r="B19" s="1"/>
      <c r="C19" s="1"/>
      <c r="D19" s="24" t="s">
        <v>105</v>
      </c>
      <c r="E19" s="18">
        <f t="array" ref="E19">MAX(IF(Kadra_pracownicza[FABRYKA]=Podsumowanie!E10,Kadra_pracownicza[PENSJA BRUTTO]))</f>
        <v>2500</v>
      </c>
      <c r="F19" s="18">
        <f t="array" ref="F19">MAX(IF(Kadra_pracownicza[FABRYKA]=Podsumowanie!F10,Kadra_pracownicza[PENSJA BRUTTO]))</f>
        <v>3000</v>
      </c>
      <c r="G19" s="18">
        <f t="array" ref="G19">MAX(IF(Kadra_pracownicza[FABRYKA]=Podsumowanie!G10,Kadra_pracownicza[PENSJA BRUTTO]))</f>
        <v>5500</v>
      </c>
      <c r="H19" s="18">
        <f t="array" ref="H19">MAX(IF(Kadra_pracownicza[FABRYKA]=Podsumowanie!H10,Kadra_pracownicza[PENSJA BRUTTO]))</f>
        <v>3200</v>
      </c>
      <c r="I19" s="18">
        <f t="array" ref="I19">MAX(IF(Kadra_pracownicza[FABRYKA]=Podsumowanie!I10,Kadra_pracownicza[PENSJA BRUTTO]))</f>
        <v>10000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8.75" x14ac:dyDescent="0.3">
      <c r="A20" s="1"/>
      <c r="B20" s="1"/>
      <c r="C20" s="1"/>
      <c r="D20" s="24" t="s">
        <v>106</v>
      </c>
      <c r="E20" s="18">
        <f t="array" ref="E20">MIN(IF(Kadra_pracownicza[FABRYKA]=Podsumowanie!E10,Kadra_pracownicza[PENSJA BRUTTO]))</f>
        <v>2400</v>
      </c>
      <c r="F20" s="18">
        <f t="array" ref="F20">MIN(IF(Kadra_pracownicza[FABRYKA]=Podsumowanie!F10,Kadra_pracownicza[PENSJA BRUTTO]))</f>
        <v>2500</v>
      </c>
      <c r="G20" s="18">
        <f t="array" ref="G20">MIN(IF(Kadra_pracownicza[FABRYKA]=Podsumowanie!G10,Kadra_pracownicza[PENSJA BRUTTO]))</f>
        <v>2300</v>
      </c>
      <c r="H20" s="18">
        <f t="array" ref="H20">MIN(IF(Kadra_pracownicza[FABRYKA]=Podsumowanie!H10,Kadra_pracownicza[PENSJA BRUTTO]))</f>
        <v>3200</v>
      </c>
      <c r="I20" s="18">
        <f t="array" ref="I20">MIN(IF(Kadra_pracownicza[FABRYKA]=Podsumowanie!I10,Kadra_pracownicza[PENSJA BRUTTO]))</f>
        <v>3000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8.75" x14ac:dyDescent="0.3">
      <c r="A21" s="1"/>
      <c r="B21" s="1"/>
      <c r="C21" s="1"/>
      <c r="D21" s="17" t="s">
        <v>8</v>
      </c>
      <c r="E21" s="21">
        <f>INDEX(Fabryki[[IL. SPRZEDANYCH AUT]:[IL. SPRZEDANYCH AUT]],MATCH(Podsumowanie!E$10,Fabryki[[MIEJSCOWOŚĆ]:[MIEJSCOWOŚĆ]],0))</f>
        <v>2</v>
      </c>
      <c r="F21" s="21">
        <f>INDEX(Fabryki[[IL. SPRZEDANYCH AUT]:[IL. SPRZEDANYCH AUT]],MATCH(Podsumowanie!F$10,Fabryki[[MIEJSCOWOŚĆ]:[MIEJSCOWOŚĆ]],0))</f>
        <v>1</v>
      </c>
      <c r="G21" s="21">
        <f>INDEX(Fabryki[[IL. SPRZEDANYCH AUT]:[IL. SPRZEDANYCH AUT]],MATCH(Podsumowanie!G$10,Fabryki[[MIEJSCOWOŚĆ]:[MIEJSCOWOŚĆ]],0))</f>
        <v>3</v>
      </c>
      <c r="H21" s="21">
        <f>INDEX(Fabryki[[IL. SPRZEDANYCH AUT]:[IL. SPRZEDANYCH AUT]],MATCH(Podsumowanie!H$10,Fabryki[[MIEJSCOWOŚĆ]:[MIEJSCOWOŚĆ]],0))</f>
        <v>6</v>
      </c>
      <c r="I21" s="21">
        <f>INDEX(Fabryki[[IL. SPRZEDANYCH AUT]:[IL. SPRZEDANYCH AUT]],MATCH(Podsumowanie!I$10,Fabryki[[MIEJSCOWOŚĆ]:[MIEJSCOWOŚĆ]],0))</f>
        <v>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x14ac:dyDescent="0.3">
      <c r="A22" s="1"/>
      <c r="B22" s="1"/>
      <c r="C22" s="1"/>
      <c r="D22" s="19" t="s">
        <v>100</v>
      </c>
      <c r="E22" s="25">
        <f>COUNTIFS(Zamówienia[[FABRYKA]:[FABRYKA]],Podsumowanie!E$10,Zamówienia[[MODEL]:[MODEL]],"SOLID")</f>
        <v>1</v>
      </c>
      <c r="F22" s="25">
        <f>COUNTIFS(Zamówienia[[FABRYKA]:[FABRYKA]],Podsumowanie!F$10,Zamówienia[[MODEL]:[MODEL]],"SOLID")</f>
        <v>0</v>
      </c>
      <c r="G22" s="25">
        <f>COUNTIFS(Zamówienia[[FABRYKA]:[FABRYKA]],Podsumowanie!G$10,Zamówienia[[MODEL]:[MODEL]],"SOLID")</f>
        <v>3</v>
      </c>
      <c r="H22" s="25">
        <f>COUNTIFS(Zamówienia[[FABRYKA]:[FABRYKA]],Podsumowanie!H$10,Zamówienia[[MODEL]:[MODEL]],"SOLID")</f>
        <v>3</v>
      </c>
      <c r="I22" s="25">
        <f>COUNTIFS(Zamówienia[[FABRYKA]:[FABRYKA]],Podsumowanie!I$10,Zamówienia[[MODEL]:[MODEL]],"SOLID")</f>
        <v>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8.75" x14ac:dyDescent="0.3">
      <c r="A23" s="1"/>
      <c r="B23" s="1"/>
      <c r="C23" s="1"/>
      <c r="D23" s="19" t="s">
        <v>101</v>
      </c>
      <c r="E23" s="25">
        <f>COUNTIFS(Zamówienia[[FABRYKA]:[FABRYKA]],Podsumowanie!E$10,Zamówienia[[MODEL]:[MODEL]],"FAST")</f>
        <v>1</v>
      </c>
      <c r="F23" s="25">
        <f>COUNTIFS(Zamówienia[[FABRYKA]:[FABRYKA]],Podsumowanie!F$10,Zamówienia[[MODEL]:[MODEL]],"FAST")</f>
        <v>0</v>
      </c>
      <c r="G23" s="25">
        <f>COUNTIFS(Zamówienia[[FABRYKA]:[FABRYKA]],Podsumowanie!G$10,Zamówienia[[MODEL]:[MODEL]],"FAST")</f>
        <v>0</v>
      </c>
      <c r="H23" s="25">
        <f>COUNTIFS(Zamówienia[[FABRYKA]:[FABRYKA]],Podsumowanie!H$10,Zamówienia[[MODEL]:[MODEL]],"FAST")</f>
        <v>0</v>
      </c>
      <c r="I23" s="25">
        <f>COUNTIFS(Zamówienia[[FABRYKA]:[FABRYKA]],Podsumowanie!I$10,Zamówienia[[MODEL]:[MODEL]],"FAST")</f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8.75" x14ac:dyDescent="0.3">
      <c r="A24" s="1"/>
      <c r="B24" s="1"/>
      <c r="C24" s="1"/>
      <c r="D24" s="19" t="s">
        <v>102</v>
      </c>
      <c r="E24" s="25">
        <f>COUNTIFS(Zamówienia[[FABRYKA]:[FABRYKA]],Podsumowanie!E$10,Zamówienia[[MODEL]:[MODEL]],"CASUAL")</f>
        <v>0</v>
      </c>
      <c r="F24" s="25">
        <f>COUNTIFS(Zamówienia[[FABRYKA]:[FABRYKA]],Podsumowanie!F$10,Zamówienia[[MODEL]:[MODEL]],"CASUAL")</f>
        <v>1</v>
      </c>
      <c r="G24" s="25">
        <f>COUNTIFS(Zamówienia[[FABRYKA]:[FABRYKA]],Podsumowanie!G$10,Zamówienia[[MODEL]:[MODEL]],"CASUAL")</f>
        <v>0</v>
      </c>
      <c r="H24" s="25">
        <f>COUNTIFS(Zamówienia[[FABRYKA]:[FABRYKA]],Podsumowanie!H$10,Zamówienia[[MODEL]:[MODEL]],"CASUAL")</f>
        <v>3</v>
      </c>
      <c r="I24" s="25">
        <f>COUNTIFS(Zamówienia[[FABRYKA]:[FABRYKA]],Podsumowanie!I$10,Zamówienia[[MODEL]:[MODEL]],"CASUAL")</f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</row>
    <row r="63" spans="1:17" x14ac:dyDescent="0.25">
      <c r="A63" s="1"/>
      <c r="B63" s="1"/>
      <c r="C63" s="1"/>
    </row>
    <row r="64" spans="1:17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</sheetData>
  <mergeCells count="1">
    <mergeCell ref="D9:I9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11.28515625" customWidth="1"/>
    <col min="4" max="4" width="14.7109375" customWidth="1"/>
  </cols>
  <sheetData>
    <row r="1" spans="1:6" x14ac:dyDescent="0.25">
      <c r="A1" t="s">
        <v>19</v>
      </c>
      <c r="B1" t="s">
        <v>85</v>
      </c>
      <c r="C1" t="s">
        <v>88</v>
      </c>
      <c r="D1" t="s">
        <v>92</v>
      </c>
      <c r="E1" t="s">
        <v>86</v>
      </c>
      <c r="F1" t="s">
        <v>90</v>
      </c>
    </row>
    <row r="2" spans="1:6" x14ac:dyDescent="0.25">
      <c r="A2" t="s">
        <v>12</v>
      </c>
      <c r="B2" t="s">
        <v>94</v>
      </c>
      <c r="C2">
        <v>200</v>
      </c>
      <c r="D2">
        <v>2.6</v>
      </c>
      <c r="E2">
        <v>520</v>
      </c>
      <c r="F2" s="30">
        <v>39115</v>
      </c>
    </row>
    <row r="3" spans="1:6" x14ac:dyDescent="0.25">
      <c r="A3" t="s">
        <v>12</v>
      </c>
      <c r="B3" t="s">
        <v>91</v>
      </c>
      <c r="C3">
        <v>1</v>
      </c>
      <c r="D3">
        <v>15000</v>
      </c>
      <c r="E3">
        <v>15000</v>
      </c>
      <c r="F3" s="30">
        <v>38473</v>
      </c>
    </row>
    <row r="4" spans="1:6" x14ac:dyDescent="0.25">
      <c r="A4" t="s">
        <v>12</v>
      </c>
      <c r="B4" t="s">
        <v>87</v>
      </c>
      <c r="C4">
        <v>15000</v>
      </c>
      <c r="D4">
        <v>0.5</v>
      </c>
      <c r="E4">
        <v>7500</v>
      </c>
      <c r="F4" s="30">
        <v>38353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/>
  </sheetViews>
  <sheetFormatPr defaultRowHeight="15" x14ac:dyDescent="0.25"/>
  <cols>
    <col min="1" max="1" width="16.140625" customWidth="1"/>
    <col min="2" max="2" width="17.140625" customWidth="1"/>
    <col min="3" max="4" width="11" customWidth="1"/>
    <col min="5" max="7" width="11" bestFit="1" customWidth="1"/>
    <col min="8" max="9" width="10" bestFit="1" customWidth="1"/>
    <col min="10" max="13" width="11" bestFit="1" customWidth="1"/>
    <col min="14" max="14" width="11.28515625" bestFit="1" customWidth="1"/>
  </cols>
  <sheetData>
    <row r="1" spans="1:33" x14ac:dyDescent="0.25">
      <c r="A1" s="32" t="s">
        <v>19</v>
      </c>
      <c r="B1" s="32" t="s">
        <v>110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33" x14ac:dyDescent="0.25">
      <c r="A2" s="28" t="s">
        <v>13</v>
      </c>
      <c r="B2" s="5">
        <v>4829.5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 spans="1:33" x14ac:dyDescent="0.25">
      <c r="A3" s="28" t="s">
        <v>14</v>
      </c>
      <c r="B3" s="5">
        <v>12290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4" spans="1:33" x14ac:dyDescent="0.25">
      <c r="A4" s="28" t="s">
        <v>12</v>
      </c>
      <c r="B4" s="5">
        <v>23020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</row>
    <row r="5" spans="1:33" x14ac:dyDescent="0.25">
      <c r="A5" s="28" t="s">
        <v>15</v>
      </c>
      <c r="B5" s="5">
        <v>19400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</row>
    <row r="6" spans="1:33" x14ac:dyDescent="0.25">
      <c r="A6" s="28" t="s">
        <v>16</v>
      </c>
      <c r="B6" s="5">
        <v>11361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</row>
    <row r="7" spans="1:33" x14ac:dyDescent="0.25">
      <c r="A7" s="28" t="s">
        <v>111</v>
      </c>
      <c r="B7" s="5">
        <v>70900.5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</row>
    <row r="9" spans="1:33" x14ac:dyDescent="0.25">
      <c r="A9" s="32" t="s">
        <v>85</v>
      </c>
      <c r="B9" s="32" t="s">
        <v>112</v>
      </c>
      <c r="C9" s="1"/>
      <c r="D9" s="1"/>
      <c r="E9" s="1"/>
      <c r="F9" s="1"/>
      <c r="G9" s="1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</row>
    <row r="10" spans="1:33" x14ac:dyDescent="0.25">
      <c r="A10" s="33" t="s">
        <v>93</v>
      </c>
      <c r="B10" s="34">
        <v>2000</v>
      </c>
      <c r="C10" s="1"/>
      <c r="D10" s="1"/>
      <c r="E10" s="1"/>
      <c r="F10" s="1"/>
      <c r="G10" s="1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</row>
    <row r="11" spans="1:33" x14ac:dyDescent="0.25">
      <c r="A11" s="33" t="s">
        <v>87</v>
      </c>
      <c r="B11" s="34">
        <v>49450</v>
      </c>
      <c r="C11" s="1"/>
      <c r="D11" s="1"/>
      <c r="E11" s="1"/>
      <c r="F11" s="1"/>
      <c r="G11" s="1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</row>
    <row r="12" spans="1:33" x14ac:dyDescent="0.25">
      <c r="A12" s="33" t="s">
        <v>91</v>
      </c>
      <c r="B12" s="34">
        <v>15000</v>
      </c>
      <c r="C12" s="1"/>
      <c r="D12" s="1"/>
      <c r="E12" s="1"/>
      <c r="F12" s="1"/>
      <c r="G12" s="1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</row>
    <row r="13" spans="1:33" x14ac:dyDescent="0.25">
      <c r="A13" s="35" t="s">
        <v>94</v>
      </c>
      <c r="B13" s="36">
        <v>4450.5</v>
      </c>
      <c r="C13" s="1"/>
      <c r="D13" s="1"/>
      <c r="E13" s="1"/>
      <c r="F13" s="1"/>
      <c r="G13" s="1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</row>
    <row r="14" spans="1:33" x14ac:dyDescent="0.25">
      <c r="A14" s="28" t="s">
        <v>111</v>
      </c>
      <c r="B14" s="5">
        <v>70900.5</v>
      </c>
      <c r="C14" s="1"/>
      <c r="D14" s="1"/>
      <c r="E14" s="1"/>
      <c r="F14" s="1"/>
      <c r="G14" s="1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</row>
    <row r="15" spans="1:33" x14ac:dyDescent="0.25">
      <c r="A15" s="1"/>
      <c r="B15" s="1"/>
      <c r="C15" s="1"/>
      <c r="D15" s="1"/>
      <c r="E15" s="1"/>
      <c r="F15" s="1"/>
      <c r="G15" s="1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spans="1:33" x14ac:dyDescent="0.25">
      <c r="A16" s="1"/>
      <c r="B16" s="1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 spans="1:33" x14ac:dyDescent="0.25">
      <c r="A17" s="1"/>
      <c r="B17" s="1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</row>
    <row r="18" spans="1:33" x14ac:dyDescent="0.25">
      <c r="A18" s="1"/>
      <c r="B18" s="1"/>
      <c r="C18" s="1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</row>
    <row r="19" spans="1:33" x14ac:dyDescent="0.25">
      <c r="A19" s="1"/>
      <c r="B19" s="1"/>
      <c r="C19" s="1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</row>
    <row r="20" spans="1:33" x14ac:dyDescent="0.25">
      <c r="A20" s="1"/>
      <c r="B20" s="1"/>
      <c r="C20" s="1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</row>
    <row r="21" spans="1:33" x14ac:dyDescent="0.25">
      <c r="A21" s="1"/>
      <c r="B21" s="1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</row>
    <row r="22" spans="1:33" x14ac:dyDescent="0.25">
      <c r="A22" s="1"/>
      <c r="B22" s="1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</row>
    <row r="23" spans="1:33" x14ac:dyDescent="0.25">
      <c r="A23" s="1"/>
      <c r="B23" s="1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</row>
    <row r="24" spans="1:33" x14ac:dyDescent="0.25">
      <c r="A24" s="1"/>
      <c r="B24" s="1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</row>
    <row r="25" spans="1:33" x14ac:dyDescent="0.25">
      <c r="A25" s="1"/>
      <c r="B25" s="1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spans="1:33" x14ac:dyDescent="0.25">
      <c r="A26" s="1"/>
      <c r="B26" s="1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1:33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1:33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1:33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1:33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spans="1:33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1:33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</row>
    <row r="33" spans="1:33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spans="1:33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spans="1:33" x14ac:dyDescent="0.25">
      <c r="A35" s="32" t="s">
        <v>112</v>
      </c>
      <c r="B35" s="32" t="s">
        <v>108</v>
      </c>
      <c r="C35" s="31"/>
      <c r="D35" s="31"/>
      <c r="E35" s="31"/>
      <c r="F35" s="31"/>
      <c r="G35" s="31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spans="1:33" x14ac:dyDescent="0.25">
      <c r="A36" s="32" t="s">
        <v>90</v>
      </c>
      <c r="B36" s="32" t="s">
        <v>13</v>
      </c>
      <c r="C36" s="32" t="s">
        <v>14</v>
      </c>
      <c r="D36" s="32" t="s">
        <v>12</v>
      </c>
      <c r="E36" s="32" t="s">
        <v>15</v>
      </c>
      <c r="F36" s="32" t="s">
        <v>16</v>
      </c>
      <c r="G36" s="32" t="s">
        <v>111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1:33" x14ac:dyDescent="0.25">
      <c r="A37" s="29">
        <v>38353</v>
      </c>
      <c r="B37" s="5">
        <v>4000</v>
      </c>
      <c r="C37" s="5">
        <v>11250</v>
      </c>
      <c r="D37" s="5">
        <v>7500</v>
      </c>
      <c r="E37" s="5">
        <v>15900</v>
      </c>
      <c r="F37" s="5">
        <v>10800</v>
      </c>
      <c r="G37" s="5">
        <v>49450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spans="1:33" x14ac:dyDescent="0.25">
      <c r="A38" s="29">
        <v>38473</v>
      </c>
      <c r="B38" s="5"/>
      <c r="C38" s="5"/>
      <c r="D38" s="5">
        <v>15000</v>
      </c>
      <c r="E38" s="5"/>
      <c r="F38" s="5"/>
      <c r="G38" s="5">
        <v>15000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  <row r="39" spans="1:33" x14ac:dyDescent="0.25">
      <c r="A39" s="29">
        <v>39084</v>
      </c>
      <c r="B39" s="5"/>
      <c r="C39" s="5"/>
      <c r="D39" s="5"/>
      <c r="E39" s="5">
        <v>2000</v>
      </c>
      <c r="F39" s="5"/>
      <c r="G39" s="5">
        <v>2000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</row>
    <row r="40" spans="1:33" x14ac:dyDescent="0.25">
      <c r="A40" s="29">
        <v>39115</v>
      </c>
      <c r="B40" s="5">
        <v>829.5</v>
      </c>
      <c r="C40" s="5">
        <v>1040</v>
      </c>
      <c r="D40" s="5">
        <v>520</v>
      </c>
      <c r="E40" s="5">
        <v>1500</v>
      </c>
      <c r="F40" s="5">
        <v>561</v>
      </c>
      <c r="G40" s="5">
        <v>4450.5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</row>
    <row r="41" spans="1:33" x14ac:dyDescent="0.25">
      <c r="A41" s="29" t="s">
        <v>111</v>
      </c>
      <c r="B41" s="5">
        <v>4829.5</v>
      </c>
      <c r="C41" s="5">
        <v>12290</v>
      </c>
      <c r="D41" s="5">
        <v>23020</v>
      </c>
      <c r="E41" s="5">
        <v>19400</v>
      </c>
      <c r="F41" s="5">
        <v>11361</v>
      </c>
      <c r="G41" s="5">
        <v>70900.5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</row>
    <row r="42" spans="1:33" x14ac:dyDescent="0.25">
      <c r="A42" s="1"/>
      <c r="B42" s="1"/>
      <c r="C42" s="1"/>
      <c r="D42" s="1"/>
      <c r="E42" s="1"/>
      <c r="F42" s="1"/>
      <c r="G42" s="1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</row>
    <row r="43" spans="1:33" x14ac:dyDescent="0.25">
      <c r="A43" s="1"/>
      <c r="B43" s="1"/>
      <c r="C43" s="1"/>
      <c r="D43" s="1"/>
      <c r="E43" s="1"/>
      <c r="F43" s="1"/>
      <c r="G43" s="1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</row>
    <row r="44" spans="1:33" x14ac:dyDescent="0.25">
      <c r="A44" s="1"/>
      <c r="B44" s="1"/>
      <c r="C44" s="1"/>
      <c r="D44" s="1"/>
      <c r="E44" s="1"/>
      <c r="F44" s="1"/>
      <c r="G44" s="1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</row>
    <row r="45" spans="1:33" x14ac:dyDescent="0.25">
      <c r="A45" s="1"/>
      <c r="B45" s="1"/>
      <c r="C45" s="1"/>
      <c r="D45" s="1"/>
      <c r="E45" s="1"/>
      <c r="F45" s="1"/>
      <c r="G45" s="1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</row>
    <row r="46" spans="1:33" x14ac:dyDescent="0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</row>
    <row r="47" spans="1:33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</row>
    <row r="48" spans="1:33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</row>
  </sheetData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L16"/>
    </sheetView>
  </sheetViews>
  <sheetFormatPr defaultRowHeight="15" x14ac:dyDescent="0.25"/>
  <cols>
    <col min="2" max="2" width="11.28515625" customWidth="1"/>
    <col min="3" max="3" width="9.5703125" customWidth="1"/>
    <col min="4" max="4" width="22.5703125" customWidth="1"/>
    <col min="5" max="5" width="17.42578125" customWidth="1"/>
    <col min="6" max="6" width="16.42578125" customWidth="1"/>
    <col min="7" max="7" width="24" customWidth="1"/>
    <col min="9" max="9" width="19.7109375" customWidth="1"/>
    <col min="10" max="10" width="15" customWidth="1"/>
    <col min="11" max="11" width="15.5703125" customWidth="1"/>
    <col min="12" max="12" width="19.140625" customWidth="1"/>
  </cols>
  <sheetData>
    <row r="1" spans="1:12" x14ac:dyDescent="0.25">
      <c r="A1" t="s">
        <v>47</v>
      </c>
      <c r="B1" t="s">
        <v>19</v>
      </c>
      <c r="C1" t="s">
        <v>48</v>
      </c>
      <c r="D1" t="s">
        <v>83</v>
      </c>
      <c r="E1" t="s">
        <v>84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50</v>
      </c>
      <c r="L1" t="s">
        <v>82</v>
      </c>
    </row>
    <row r="2" spans="1:12" x14ac:dyDescent="0.25">
      <c r="A2">
        <v>1</v>
      </c>
      <c r="B2" t="s">
        <v>12</v>
      </c>
      <c r="C2" t="s">
        <v>65</v>
      </c>
      <c r="D2" s="30">
        <v>42005</v>
      </c>
      <c r="E2" s="30">
        <v>42018</v>
      </c>
      <c r="F2" t="s">
        <v>69</v>
      </c>
      <c r="G2" t="s">
        <v>69</v>
      </c>
      <c r="H2" t="s">
        <v>70</v>
      </c>
      <c r="I2" t="s">
        <v>70</v>
      </c>
      <c r="J2" t="s">
        <v>69</v>
      </c>
      <c r="K2">
        <v>105100</v>
      </c>
      <c r="L2">
        <v>27100</v>
      </c>
    </row>
    <row r="3" spans="1:12" x14ac:dyDescent="0.25">
      <c r="A3">
        <v>2</v>
      </c>
      <c r="B3" t="s">
        <v>13</v>
      </c>
      <c r="C3" t="s">
        <v>68</v>
      </c>
      <c r="D3" s="30">
        <v>42036</v>
      </c>
      <c r="E3" s="30">
        <v>42049</v>
      </c>
      <c r="F3" t="s">
        <v>70</v>
      </c>
      <c r="G3" t="s">
        <v>70</v>
      </c>
      <c r="H3" t="s">
        <v>70</v>
      </c>
      <c r="I3" t="s">
        <v>69</v>
      </c>
      <c r="J3" t="s">
        <v>69</v>
      </c>
      <c r="K3">
        <v>20800</v>
      </c>
      <c r="L3">
        <v>8700</v>
      </c>
    </row>
    <row r="4" spans="1:12" x14ac:dyDescent="0.25">
      <c r="A4">
        <v>3</v>
      </c>
      <c r="B4" t="s">
        <v>12</v>
      </c>
      <c r="C4" t="s">
        <v>59</v>
      </c>
      <c r="D4" s="30">
        <v>42036</v>
      </c>
      <c r="E4" s="30">
        <v>42049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>
        <v>40500</v>
      </c>
      <c r="L4">
        <v>13150</v>
      </c>
    </row>
    <row r="5" spans="1:12" x14ac:dyDescent="0.25">
      <c r="A5">
        <v>4</v>
      </c>
      <c r="B5" t="s">
        <v>15</v>
      </c>
      <c r="C5" t="s">
        <v>65</v>
      </c>
      <c r="D5" s="30">
        <v>42049</v>
      </c>
      <c r="E5" s="30">
        <v>42064</v>
      </c>
      <c r="F5" t="s">
        <v>70</v>
      </c>
      <c r="G5" t="s">
        <v>70</v>
      </c>
      <c r="H5" t="s">
        <v>69</v>
      </c>
      <c r="I5" t="s">
        <v>70</v>
      </c>
      <c r="J5" t="s">
        <v>69</v>
      </c>
      <c r="K5">
        <v>110600</v>
      </c>
      <c r="L5">
        <v>28100</v>
      </c>
    </row>
    <row r="6" spans="1:12" x14ac:dyDescent="0.25">
      <c r="A6">
        <v>5</v>
      </c>
      <c r="B6" t="s">
        <v>14</v>
      </c>
      <c r="C6" t="s">
        <v>65</v>
      </c>
      <c r="D6" s="30">
        <v>42049</v>
      </c>
      <c r="E6" s="30">
        <v>42064</v>
      </c>
      <c r="F6" t="s">
        <v>70</v>
      </c>
      <c r="G6" t="s">
        <v>69</v>
      </c>
      <c r="H6" t="s">
        <v>69</v>
      </c>
      <c r="I6" t="s">
        <v>70</v>
      </c>
      <c r="J6" t="s">
        <v>69</v>
      </c>
      <c r="K6">
        <v>112600</v>
      </c>
      <c r="L6">
        <v>29100</v>
      </c>
    </row>
    <row r="7" spans="1:12" x14ac:dyDescent="0.25">
      <c r="A7">
        <v>6</v>
      </c>
      <c r="B7" t="s">
        <v>16</v>
      </c>
      <c r="C7" t="s">
        <v>68</v>
      </c>
      <c r="D7" s="30">
        <v>42049</v>
      </c>
      <c r="E7" s="30">
        <v>42064</v>
      </c>
      <c r="F7" t="s">
        <v>69</v>
      </c>
      <c r="G7" t="s">
        <v>69</v>
      </c>
      <c r="H7" t="s">
        <v>69</v>
      </c>
      <c r="I7" t="s">
        <v>70</v>
      </c>
      <c r="J7" t="s">
        <v>69</v>
      </c>
      <c r="K7">
        <v>25300</v>
      </c>
      <c r="L7">
        <v>10200</v>
      </c>
    </row>
    <row r="8" spans="1:12" x14ac:dyDescent="0.25">
      <c r="A8">
        <v>7</v>
      </c>
      <c r="B8" t="s">
        <v>16</v>
      </c>
      <c r="C8" t="s">
        <v>65</v>
      </c>
      <c r="D8" s="30">
        <v>42049</v>
      </c>
      <c r="E8" s="30">
        <v>42064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>
        <v>116100</v>
      </c>
      <c r="L8">
        <v>30300</v>
      </c>
    </row>
    <row r="9" spans="1:12" x14ac:dyDescent="0.25">
      <c r="A9">
        <v>8</v>
      </c>
      <c r="B9" t="s">
        <v>15</v>
      </c>
      <c r="C9" t="s">
        <v>65</v>
      </c>
      <c r="D9" s="30">
        <v>42049</v>
      </c>
      <c r="E9" s="30">
        <v>42064</v>
      </c>
      <c r="F9" t="s">
        <v>70</v>
      </c>
      <c r="G9" t="s">
        <v>70</v>
      </c>
      <c r="H9" t="s">
        <v>69</v>
      </c>
      <c r="I9" t="s">
        <v>70</v>
      </c>
      <c r="J9" t="s">
        <v>69</v>
      </c>
      <c r="K9">
        <v>110600</v>
      </c>
      <c r="L9">
        <v>28100</v>
      </c>
    </row>
    <row r="10" spans="1:12" x14ac:dyDescent="0.25">
      <c r="A10">
        <v>9</v>
      </c>
      <c r="B10" t="s">
        <v>14</v>
      </c>
      <c r="C10" t="s">
        <v>65</v>
      </c>
      <c r="D10" s="30">
        <v>42049</v>
      </c>
      <c r="E10" s="30">
        <v>42064</v>
      </c>
      <c r="F10" t="s">
        <v>70</v>
      </c>
      <c r="G10" t="s">
        <v>69</v>
      </c>
      <c r="H10" t="s">
        <v>69</v>
      </c>
      <c r="I10" t="s">
        <v>70</v>
      </c>
      <c r="J10" t="s">
        <v>69</v>
      </c>
      <c r="K10">
        <v>112600</v>
      </c>
      <c r="L10">
        <v>29100</v>
      </c>
    </row>
    <row r="11" spans="1:12" x14ac:dyDescent="0.25">
      <c r="A11">
        <v>10</v>
      </c>
      <c r="B11" t="s">
        <v>16</v>
      </c>
      <c r="C11" t="s">
        <v>68</v>
      </c>
      <c r="D11" s="30">
        <v>42049</v>
      </c>
      <c r="E11" s="30">
        <v>42064</v>
      </c>
      <c r="F11" t="s">
        <v>69</v>
      </c>
      <c r="G11" t="s">
        <v>69</v>
      </c>
      <c r="H11" t="s">
        <v>69</v>
      </c>
      <c r="I11" t="s">
        <v>70</v>
      </c>
      <c r="J11" t="s">
        <v>69</v>
      </c>
      <c r="K11">
        <v>25300</v>
      </c>
      <c r="L11">
        <v>10200</v>
      </c>
    </row>
    <row r="12" spans="1:12" x14ac:dyDescent="0.25">
      <c r="A12">
        <v>11</v>
      </c>
      <c r="B12" t="s">
        <v>16</v>
      </c>
      <c r="C12" t="s">
        <v>65</v>
      </c>
      <c r="D12" s="30">
        <v>42049</v>
      </c>
      <c r="E12" s="30">
        <v>42064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>
        <v>116100</v>
      </c>
      <c r="L12">
        <v>30300</v>
      </c>
    </row>
    <row r="13" spans="1:12" x14ac:dyDescent="0.25">
      <c r="A13">
        <v>12</v>
      </c>
      <c r="B13" t="s">
        <v>15</v>
      </c>
      <c r="C13" t="s">
        <v>65</v>
      </c>
      <c r="D13" s="30">
        <v>42049</v>
      </c>
      <c r="E13" s="30">
        <v>42064</v>
      </c>
      <c r="F13" t="s">
        <v>70</v>
      </c>
      <c r="G13" t="s">
        <v>70</v>
      </c>
      <c r="H13" t="s">
        <v>69</v>
      </c>
      <c r="I13" t="s">
        <v>70</v>
      </c>
      <c r="J13" t="s">
        <v>69</v>
      </c>
      <c r="K13">
        <v>110600</v>
      </c>
      <c r="L13">
        <v>28100</v>
      </c>
    </row>
    <row r="14" spans="1:12" x14ac:dyDescent="0.25">
      <c r="A14">
        <v>13</v>
      </c>
      <c r="B14" t="s">
        <v>14</v>
      </c>
      <c r="C14" t="s">
        <v>65</v>
      </c>
      <c r="D14" s="30">
        <v>42049</v>
      </c>
      <c r="E14" s="30">
        <v>42064</v>
      </c>
      <c r="F14" t="s">
        <v>70</v>
      </c>
      <c r="G14" t="s">
        <v>69</v>
      </c>
      <c r="H14" t="s">
        <v>69</v>
      </c>
      <c r="I14" t="s">
        <v>70</v>
      </c>
      <c r="J14" t="s">
        <v>69</v>
      </c>
      <c r="K14">
        <v>112600</v>
      </c>
      <c r="L14">
        <v>29100</v>
      </c>
    </row>
    <row r="15" spans="1:12" x14ac:dyDescent="0.25">
      <c r="A15">
        <v>14</v>
      </c>
      <c r="B15" t="s">
        <v>16</v>
      </c>
      <c r="C15" t="s">
        <v>68</v>
      </c>
      <c r="D15" s="30">
        <v>42049</v>
      </c>
      <c r="E15" s="30">
        <v>42064</v>
      </c>
      <c r="F15" t="s">
        <v>69</v>
      </c>
      <c r="G15" t="s">
        <v>69</v>
      </c>
      <c r="H15" t="s">
        <v>69</v>
      </c>
      <c r="I15" t="s">
        <v>70</v>
      </c>
      <c r="J15" t="s">
        <v>69</v>
      </c>
      <c r="K15">
        <v>25300</v>
      </c>
      <c r="L15">
        <v>10200</v>
      </c>
    </row>
    <row r="16" spans="1:12" x14ac:dyDescent="0.25">
      <c r="A16">
        <v>15</v>
      </c>
      <c r="B16" t="s">
        <v>16</v>
      </c>
      <c r="C16" t="s">
        <v>65</v>
      </c>
      <c r="D16" s="30">
        <v>42049</v>
      </c>
      <c r="E16" s="30">
        <v>42064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>
        <v>116100</v>
      </c>
      <c r="L16">
        <v>30300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workbookViewId="0"/>
  </sheetViews>
  <sheetFormatPr defaultRowHeight="15" x14ac:dyDescent="0.25"/>
  <cols>
    <col min="1" max="1" width="21.7109375" customWidth="1"/>
    <col min="2" max="2" width="5.7109375" customWidth="1"/>
    <col min="3" max="3" width="4.42578125" customWidth="1"/>
    <col min="4" max="4" width="11.28515625" customWidth="1"/>
    <col min="5" max="5" width="6.28515625" customWidth="1"/>
    <col min="6" max="6" width="9.28515625" customWidth="1"/>
    <col min="7" max="7" width="11.28515625" customWidth="1"/>
    <col min="8" max="8" width="6.28515625" customWidth="1"/>
    <col min="9" max="9" width="4.42578125" customWidth="1"/>
    <col min="10" max="11" width="9.28515625" customWidth="1"/>
    <col min="12" max="12" width="11.28515625" customWidth="1"/>
    <col min="13" max="13" width="6.28515625" customWidth="1"/>
    <col min="14" max="14" width="4.42578125" customWidth="1"/>
    <col min="15" max="17" width="9.28515625" bestFit="1" customWidth="1"/>
    <col min="18" max="18" width="11.28515625" bestFit="1" customWidth="1"/>
  </cols>
  <sheetData>
    <row r="1" spans="1:30" x14ac:dyDescent="0.25">
      <c r="A1" s="32" t="s">
        <v>90</v>
      </c>
      <c r="B1" s="32" t="s">
        <v>88</v>
      </c>
      <c r="C1" s="1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</row>
    <row r="2" spans="1:30" x14ac:dyDescent="0.25">
      <c r="A2" s="29">
        <v>42005</v>
      </c>
      <c r="B2" s="4">
        <v>1</v>
      </c>
      <c r="C2" s="1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</row>
    <row r="3" spans="1:30" x14ac:dyDescent="0.25">
      <c r="A3" s="29">
        <v>42036</v>
      </c>
      <c r="B3" s="4">
        <v>2</v>
      </c>
      <c r="C3" s="1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</row>
    <row r="4" spans="1:30" x14ac:dyDescent="0.25">
      <c r="A4" s="29">
        <v>42049</v>
      </c>
      <c r="B4" s="4">
        <v>12</v>
      </c>
      <c r="C4" s="1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</row>
    <row r="5" spans="1:30" x14ac:dyDescent="0.25">
      <c r="A5" s="29" t="s">
        <v>111</v>
      </c>
      <c r="B5" s="4">
        <v>15</v>
      </c>
      <c r="C5" s="1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</row>
    <row r="6" spans="1:30" x14ac:dyDescent="0.25">
      <c r="A6" s="1"/>
      <c r="B6" s="1"/>
      <c r="C6" s="1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</row>
    <row r="7" spans="1:30" x14ac:dyDescent="0.25">
      <c r="A7" s="32" t="s">
        <v>48</v>
      </c>
      <c r="B7" s="32" t="s">
        <v>88</v>
      </c>
      <c r="C7" s="1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</row>
    <row r="8" spans="1:30" x14ac:dyDescent="0.25">
      <c r="A8" s="28" t="s">
        <v>68</v>
      </c>
      <c r="B8" s="4">
        <v>4</v>
      </c>
      <c r="C8" s="1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</row>
    <row r="9" spans="1:30" x14ac:dyDescent="0.25">
      <c r="A9" s="28" t="s">
        <v>59</v>
      </c>
      <c r="B9" s="4">
        <v>1</v>
      </c>
      <c r="C9" s="1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</row>
    <row r="10" spans="1:30" x14ac:dyDescent="0.25">
      <c r="A10" s="28" t="s">
        <v>65</v>
      </c>
      <c r="B10" s="4">
        <v>10</v>
      </c>
      <c r="C10" s="1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</row>
    <row r="11" spans="1:30" x14ac:dyDescent="0.25">
      <c r="A11" s="28" t="s">
        <v>111</v>
      </c>
      <c r="B11" s="4">
        <v>15</v>
      </c>
      <c r="C11" s="1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</row>
    <row r="12" spans="1:30" x14ac:dyDescent="0.25">
      <c r="A12" s="1"/>
      <c r="B12" s="1"/>
      <c r="C12" s="1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</row>
    <row r="13" spans="1:30" x14ac:dyDescent="0.25">
      <c r="A13" s="32" t="s">
        <v>19</v>
      </c>
      <c r="B13" s="32" t="s">
        <v>88</v>
      </c>
      <c r="C13" s="1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</row>
    <row r="14" spans="1:30" x14ac:dyDescent="0.25">
      <c r="A14" s="28" t="s">
        <v>13</v>
      </c>
      <c r="B14" s="4">
        <v>1</v>
      </c>
      <c r="C14" s="1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</row>
    <row r="15" spans="1:30" x14ac:dyDescent="0.25">
      <c r="A15" s="28" t="s">
        <v>14</v>
      </c>
      <c r="B15" s="4">
        <v>3</v>
      </c>
      <c r="C15" s="1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</row>
    <row r="16" spans="1:30" x14ac:dyDescent="0.25">
      <c r="A16" s="28" t="s">
        <v>12</v>
      </c>
      <c r="B16" s="4">
        <v>2</v>
      </c>
      <c r="C16" s="1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</row>
    <row r="17" spans="1:30" x14ac:dyDescent="0.25">
      <c r="A17" s="28" t="s">
        <v>15</v>
      </c>
      <c r="B17" s="4">
        <v>3</v>
      </c>
      <c r="C17" s="1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</row>
    <row r="18" spans="1:30" x14ac:dyDescent="0.25">
      <c r="A18" s="28" t="s">
        <v>16</v>
      </c>
      <c r="B18" s="4">
        <v>6</v>
      </c>
      <c r="C18" s="1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1:30" x14ac:dyDescent="0.25">
      <c r="A19" s="28" t="s">
        <v>111</v>
      </c>
      <c r="B19" s="4">
        <v>15</v>
      </c>
      <c r="C19" s="1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</row>
    <row r="20" spans="1:30" x14ac:dyDescent="0.25">
      <c r="A20" s="1"/>
      <c r="B20" s="1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1:30" x14ac:dyDescent="0.25">
      <c r="A21" s="32" t="s">
        <v>113</v>
      </c>
      <c r="B21" s="32" t="s">
        <v>88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</row>
    <row r="22" spans="1:30" x14ac:dyDescent="0.25">
      <c r="A22" s="2" t="s">
        <v>54</v>
      </c>
      <c r="B22" s="2">
        <f>COUNTIF(Zamówienia[KLIMATYZACJA],"TAK")</f>
        <v>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</row>
    <row r="23" spans="1:30" x14ac:dyDescent="0.25">
      <c r="A23" s="2" t="s">
        <v>55</v>
      </c>
      <c r="B23" s="2">
        <f>COUNTIF(Zamówienia[PODGRZEWANE FOTELE],"TAK")</f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</row>
    <row r="24" spans="1:30" x14ac:dyDescent="0.25">
      <c r="A24" s="2" t="s">
        <v>56</v>
      </c>
      <c r="B24" s="2">
        <f>COUNTIF(Zamówienia[4x4],"TAK")</f>
        <v>13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</row>
    <row r="25" spans="1:30" x14ac:dyDescent="0.25">
      <c r="A25" s="2" t="s">
        <v>57</v>
      </c>
      <c r="B25" s="2">
        <f>COUNTIF(Zamówienia[CZUJNIKI COFANIA],"TAK")</f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</row>
    <row r="26" spans="1:30" x14ac:dyDescent="0.25">
      <c r="A26" s="2" t="s">
        <v>58</v>
      </c>
      <c r="B26" s="2">
        <f>COUNTIF(Zamówienia[REJESTRATOR],"TAK")</f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</row>
    <row r="27" spans="1:30" ht="15.75" thickBot="1" x14ac:dyDescent="0.3">
      <c r="A27" s="38" t="s">
        <v>111</v>
      </c>
      <c r="B27" s="38">
        <f>SUM(B22:B26)</f>
        <v>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</row>
    <row r="28" spans="1:30" ht="15.75" thickTop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</row>
    <row r="30" spans="1:30" x14ac:dyDescent="0.25">
      <c r="A30" s="1"/>
      <c r="B30" s="1"/>
      <c r="C30" s="1"/>
      <c r="D30" s="1"/>
      <c r="E30" s="1"/>
      <c r="F30" s="1"/>
      <c r="G30" s="1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</row>
    <row r="31" spans="1:30" x14ac:dyDescent="0.25">
      <c r="A31" s="1"/>
      <c r="B31" s="1"/>
      <c r="C31" s="1"/>
      <c r="D31" s="1"/>
      <c r="E31" s="1"/>
      <c r="F31" s="1"/>
      <c r="G31" s="1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</row>
    <row r="32" spans="1:30" x14ac:dyDescent="0.25">
      <c r="A32" s="1"/>
      <c r="B32" s="1"/>
      <c r="C32" s="1"/>
      <c r="D32" s="1"/>
      <c r="E32" s="1"/>
      <c r="F32" s="1"/>
      <c r="G32" s="1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</row>
    <row r="33" spans="1:30" x14ac:dyDescent="0.25">
      <c r="A33" s="1"/>
      <c r="B33" s="1"/>
      <c r="C33" s="1"/>
      <c r="D33" s="1"/>
      <c r="E33" s="1"/>
      <c r="F33" s="1"/>
      <c r="G33" s="1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</row>
    <row r="34" spans="1:30" x14ac:dyDescent="0.25">
      <c r="A34" s="1"/>
      <c r="B34" s="1"/>
      <c r="C34" s="1"/>
      <c r="D34" s="1"/>
      <c r="E34" s="1"/>
      <c r="F34" s="1"/>
      <c r="G34" s="1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</row>
    <row r="35" spans="1:30" x14ac:dyDescent="0.25">
      <c r="A35" s="1"/>
      <c r="B35" s="1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</row>
    <row r="36" spans="1:30" x14ac:dyDescent="0.25">
      <c r="A36" s="1"/>
      <c r="B36" s="1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</row>
    <row r="37" spans="1:30" x14ac:dyDescent="0.25">
      <c r="A37" s="1"/>
      <c r="B37" s="1"/>
      <c r="C37" s="1"/>
      <c r="D37" s="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</row>
    <row r="38" spans="1:30" x14ac:dyDescent="0.25">
      <c r="A38" s="1"/>
      <c r="B38" s="1"/>
      <c r="C38" s="1"/>
      <c r="D38" s="1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</row>
    <row r="39" spans="1:30" x14ac:dyDescent="0.25">
      <c r="A39" s="1"/>
      <c r="B39" s="1"/>
      <c r="C39" s="1"/>
      <c r="D39" s="1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</row>
    <row r="40" spans="1:30" x14ac:dyDescent="0.25">
      <c r="A40" s="1"/>
      <c r="B40" s="1"/>
      <c r="C40" s="1"/>
      <c r="D40" s="1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</row>
    <row r="41" spans="1:30" x14ac:dyDescent="0.25">
      <c r="A41" s="1"/>
      <c r="B41" s="1"/>
      <c r="C41" s="1"/>
      <c r="D41" s="1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</row>
    <row r="42" spans="1:30" x14ac:dyDescent="0.25">
      <c r="A42" s="1"/>
      <c r="B42" s="1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</row>
    <row r="43" spans="1:30" x14ac:dyDescent="0.25">
      <c r="A43" s="1"/>
      <c r="B43" s="1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</row>
    <row r="44" spans="1:30" x14ac:dyDescent="0.25">
      <c r="A44" s="1"/>
      <c r="B44" s="1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</row>
  </sheetData>
  <pageMargins left="0.7" right="0.7" top="0.75" bottom="0.75" header="0.3" footer="0.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Wstęp</vt:lpstr>
      <vt:lpstr>Zmienne</vt:lpstr>
      <vt:lpstr>Fabryki</vt:lpstr>
      <vt:lpstr>Kadra_pracownicza</vt:lpstr>
      <vt:lpstr>Oferta</vt:lpstr>
      <vt:lpstr>Zamówienia</vt:lpstr>
      <vt:lpstr>Koszty_produkcji</vt:lpstr>
      <vt:lpstr>Koszty_utrzymania_fabryk</vt:lpstr>
      <vt:lpstr>Podsumowanie</vt:lpstr>
      <vt:lpstr>Sheet2</vt:lpstr>
      <vt:lpstr>Analiza_kosztów_utrzymania_fabr</vt:lpstr>
      <vt:lpstr>Sheet4</vt:lpstr>
      <vt:lpstr>Analiza_zamówień</vt:lpstr>
      <vt:lpstr>ListaFabryk</vt:lpstr>
      <vt:lpstr>ListaModeli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</dc:creator>
  <cp:lastModifiedBy>Olo</cp:lastModifiedBy>
  <dcterms:created xsi:type="dcterms:W3CDTF">2017-01-30T23:18:30Z</dcterms:created>
  <dcterms:modified xsi:type="dcterms:W3CDTF">2017-01-31T20:27:05Z</dcterms:modified>
</cp:coreProperties>
</file>