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bil-my.sharepoint.com/personal/jianggi_fam_jabil_com/Documents/Projects/SPC/"/>
    </mc:Choice>
  </mc:AlternateContent>
  <xr:revisionPtr revIDLastSave="8" documentId="13_ncr:1_{E75A5CA1-FCB9-4986-B8CF-03D754A938CC}" xr6:coauthVersionLast="45" xr6:coauthVersionMax="45" xr10:uidLastSave="{A0FEEB03-AE9D-487A-B692-34A6442A9695}"/>
  <bookViews>
    <workbookView xWindow="-108" yWindow="-108" windowWidth="23256" windowHeight="12576" firstSheet="2" activeTab="8" xr2:uid="{6B081EC8-C862-4D87-BFA2-663E2A5E66D3}"/>
  </bookViews>
  <sheets>
    <sheet name="Xbar-R and Xbar-S" sheetId="3" r:id="rId1"/>
    <sheet name="I-MR" sheetId="5" r:id="rId2"/>
    <sheet name="Levey-Jennings" sheetId="6" r:id="rId3"/>
    <sheet name="I-MR-R or S" sheetId="7" r:id="rId4"/>
    <sheet name="P, NP" sheetId="8" r:id="rId5"/>
    <sheet name="unequal size P" sheetId="10" r:id="rId6"/>
    <sheet name="C, U" sheetId="9" r:id="rId7"/>
    <sheet name="unequal size U" sheetId="11" r:id="rId8"/>
    <sheet name="Deviation Calculation" sheetId="12" r:id="rId9"/>
    <sheet name="Coefficient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" i="11" l="1"/>
  <c r="D28" i="11" s="1"/>
  <c r="D29" i="11" s="1"/>
  <c r="D22" i="11"/>
  <c r="D23" i="11" s="1"/>
  <c r="D21" i="11"/>
  <c r="C21" i="11"/>
  <c r="B21" i="11"/>
  <c r="C22" i="11" s="1"/>
  <c r="C23" i="11" s="1"/>
  <c r="C20" i="11"/>
  <c r="B20" i="11"/>
  <c r="C16" i="11"/>
  <c r="C17" i="11" s="1"/>
  <c r="B16" i="11"/>
  <c r="B17" i="11" s="1"/>
  <c r="C15" i="11"/>
  <c r="B15" i="11"/>
  <c r="C14" i="11"/>
  <c r="B14" i="11"/>
  <c r="B9" i="11"/>
  <c r="B10" i="11" s="1"/>
  <c r="B11" i="11" s="1"/>
  <c r="B8" i="11"/>
  <c r="B4" i="11"/>
  <c r="B27" i="10"/>
  <c r="D28" i="10" s="1"/>
  <c r="D29" i="10" s="1"/>
  <c r="B26" i="10"/>
  <c r="D22" i="10"/>
  <c r="D23" i="10" s="1"/>
  <c r="C21" i="10"/>
  <c r="B21" i="10"/>
  <c r="C22" i="10" s="1"/>
  <c r="C23" i="10" s="1"/>
  <c r="B20" i="10"/>
  <c r="C16" i="10"/>
  <c r="C17" i="10" s="1"/>
  <c r="B16" i="10"/>
  <c r="B17" i="10" s="1"/>
  <c r="C15" i="10"/>
  <c r="B15" i="10"/>
  <c r="C14" i="10"/>
  <c r="B14" i="10"/>
  <c r="B9" i="10"/>
  <c r="B10" i="10" s="1"/>
  <c r="B11" i="10" s="1"/>
  <c r="B8" i="10"/>
  <c r="E4" i="10"/>
  <c r="D4" i="10"/>
  <c r="C4" i="10"/>
  <c r="B4" i="10"/>
  <c r="B26" i="11" l="1"/>
  <c r="B28" i="11"/>
  <c r="B29" i="11" s="1"/>
  <c r="C26" i="11"/>
  <c r="C27" i="11"/>
  <c r="C28" i="11"/>
  <c r="C29" i="11" s="1"/>
  <c r="D20" i="11"/>
  <c r="B22" i="11"/>
  <c r="B23" i="11" s="1"/>
  <c r="D26" i="11"/>
  <c r="D27" i="11"/>
  <c r="B28" i="10"/>
  <c r="B29" i="10" s="1"/>
  <c r="C20" i="10"/>
  <c r="D21" i="10"/>
  <c r="C26" i="10"/>
  <c r="C27" i="10"/>
  <c r="C28" i="10"/>
  <c r="C29" i="10" s="1"/>
  <c r="D20" i="10"/>
  <c r="B22" i="10"/>
  <c r="B23" i="10" s="1"/>
  <c r="D26" i="10"/>
  <c r="D27" i="10"/>
  <c r="E28" i="11" l="1"/>
  <c r="E29" i="11" s="1"/>
  <c r="E27" i="11"/>
  <c r="E26" i="11"/>
  <c r="E28" i="10"/>
  <c r="E29" i="10" s="1"/>
  <c r="E27" i="10"/>
  <c r="E26" i="10"/>
  <c r="O58" i="7" l="1"/>
  <c r="O54" i="7"/>
  <c r="O56" i="7"/>
  <c r="B14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B10" i="7"/>
  <c r="O28" i="7"/>
  <c r="O26" i="7"/>
  <c r="O24" i="7"/>
  <c r="O20" i="7"/>
  <c r="O16" i="7"/>
  <c r="O18" i="7"/>
  <c r="B12" i="7"/>
  <c r="B11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C8" i="7"/>
  <c r="C9" i="7"/>
  <c r="D9" i="7"/>
  <c r="E9" i="7"/>
  <c r="B13" i="7" s="1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B9" i="7"/>
  <c r="B7" i="7"/>
  <c r="K10" i="9"/>
  <c r="K9" i="9"/>
  <c r="K8" i="9"/>
  <c r="B10" i="9"/>
  <c r="B9" i="9"/>
  <c r="B8" i="9"/>
  <c r="R3" i="9"/>
  <c r="R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B4" i="9"/>
  <c r="T10" i="8"/>
  <c r="T9" i="8"/>
  <c r="U9" i="8" s="1"/>
  <c r="T8" i="8"/>
  <c r="U8" i="8" s="1"/>
  <c r="U10" i="8"/>
  <c r="E10" i="8"/>
  <c r="E9" i="8"/>
  <c r="E8" i="8"/>
  <c r="D10" i="8"/>
  <c r="D9" i="8"/>
  <c r="D8" i="8"/>
  <c r="AG3" i="8"/>
  <c r="AG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B4" i="8"/>
  <c r="X19" i="6"/>
  <c r="X17" i="6"/>
  <c r="X15" i="6"/>
  <c r="S3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D4" i="6"/>
  <c r="X11" i="6"/>
  <c r="X9" i="6"/>
  <c r="X13" i="6" s="1"/>
  <c r="X7" i="6"/>
  <c r="X21" i="6"/>
  <c r="O33" i="7" l="1"/>
  <c r="O31" i="7"/>
  <c r="O35" i="7"/>
  <c r="B12" i="6"/>
  <c r="B11" i="6"/>
  <c r="B10" i="6"/>
  <c r="B9" i="6"/>
  <c r="B8" i="6"/>
  <c r="B7" i="6"/>
  <c r="B6" i="6"/>
  <c r="L3" i="6"/>
  <c r="O3" i="6"/>
  <c r="I3" i="6"/>
  <c r="F3" i="6"/>
  <c r="X2" i="6"/>
  <c r="P37" i="5"/>
  <c r="P35" i="5"/>
  <c r="P39" i="5"/>
  <c r="P33" i="5"/>
  <c r="P29" i="5"/>
  <c r="P27" i="5"/>
  <c r="P31" i="5" s="1"/>
  <c r="P25" i="5"/>
  <c r="P21" i="5"/>
  <c r="P17" i="5"/>
  <c r="P8" i="5"/>
  <c r="P7" i="5"/>
  <c r="F5" i="5"/>
  <c r="AC3" i="5"/>
  <c r="E4" i="5"/>
  <c r="AC4" i="5" s="1"/>
  <c r="M5" i="5" s="1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D4" i="5"/>
  <c r="AG22" i="3" l="1"/>
  <c r="AG26" i="3"/>
  <c r="AF42" i="3"/>
  <c r="AF44" i="3" s="1"/>
  <c r="AF40" i="3"/>
  <c r="AF38" i="3"/>
  <c r="AF34" i="3"/>
  <c r="AF36" i="3" s="1"/>
  <c r="AF32" i="3"/>
  <c r="AF30" i="3"/>
  <c r="P42" i="3"/>
  <c r="P40" i="3"/>
  <c r="P38" i="3"/>
  <c r="P36" i="3"/>
  <c r="P34" i="3"/>
  <c r="P32" i="3"/>
  <c r="P30" i="3"/>
  <c r="AG13" i="3"/>
  <c r="AG12" i="3"/>
  <c r="P22" i="3"/>
  <c r="P26" i="3"/>
  <c r="P13" i="3"/>
  <c r="AC7" i="3"/>
  <c r="P12" i="3" s="1"/>
  <c r="T10" i="3"/>
  <c r="M10" i="3"/>
  <c r="AC9" i="3"/>
  <c r="AC8" i="3"/>
  <c r="C7" i="3"/>
  <c r="F10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C9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C8" i="3"/>
  <c r="P44" i="3" l="1"/>
</calcChain>
</file>

<file path=xl/sharedStrings.xml><?xml version="1.0" encoding="utf-8"?>
<sst xmlns="http://schemas.openxmlformats.org/spreadsheetml/2006/main" count="436" uniqueCount="191">
  <si>
    <t>直径1</t>
  </si>
  <si>
    <t>直径2</t>
  </si>
  <si>
    <t>直径3</t>
  </si>
  <si>
    <t>直径4</t>
  </si>
  <si>
    <t>直径5</t>
  </si>
  <si>
    <t>Subgroup</t>
  </si>
  <si>
    <t>Xbar</t>
  </si>
  <si>
    <t>R</t>
  </si>
  <si>
    <t>S</t>
  </si>
  <si>
    <t>Subgroup size = 5</t>
  </si>
  <si>
    <t xml:space="preserve">Stdev (overall) = </t>
  </si>
  <si>
    <t>Stdev (within) (Xbar-R, subgroup size =5)  =</t>
  </si>
  <si>
    <t>Stdev (within) (Xbar-S, subgroup size =5)  =</t>
  </si>
  <si>
    <t>Xbarbar=</t>
  </si>
  <si>
    <t>Rbar=</t>
  </si>
  <si>
    <t>Sbar=</t>
  </si>
  <si>
    <t>UCL=Xbarbar+A2Rbar</t>
  </si>
  <si>
    <t>UCL=D4Rbar</t>
  </si>
  <si>
    <t>LCL=D3Rbar</t>
  </si>
  <si>
    <t>UCL=Xbarbar+A3Sbar</t>
  </si>
  <si>
    <t>LCL=Xbarbar-A3Sbar</t>
  </si>
  <si>
    <t>LSL=10.9</t>
  </si>
  <si>
    <t>USL=11.1</t>
  </si>
  <si>
    <t>Pp= (usl-lsl)/6/stdev (overall)</t>
  </si>
  <si>
    <t>Ppl= (Xbar-lsl)/3/stdev (overall)</t>
  </si>
  <si>
    <t>Ppl=</t>
  </si>
  <si>
    <t>Ppu= (usl-Xbar)/3/stdev (overall)</t>
  </si>
  <si>
    <t>Ppu=</t>
  </si>
  <si>
    <t>Ppk = min (Ppl, Ppu)</t>
  </si>
  <si>
    <t>Ppk=</t>
  </si>
  <si>
    <t>Pp</t>
  </si>
  <si>
    <t>Cp=</t>
  </si>
  <si>
    <t>Cpl=</t>
  </si>
  <si>
    <t>Cpu=</t>
  </si>
  <si>
    <t>Cpk=</t>
  </si>
  <si>
    <t>Cpk = min (Cpl, Cpu)</t>
  </si>
  <si>
    <t>LCL=Xbarbar-A2R</t>
  </si>
  <si>
    <t>Cp= (usl-lsl)/6/stdev (within)</t>
  </si>
  <si>
    <t>Cpl= (Xbar-lsl)/3/stdev (within)</t>
  </si>
  <si>
    <t>Cpu= (usl-Xbar)/3/stdev (within)</t>
  </si>
  <si>
    <t>UCL=B4Sbar</t>
  </si>
  <si>
    <t>LCL=B3Sbar</t>
  </si>
  <si>
    <t>Lot.</t>
  </si>
  <si>
    <t>I</t>
  </si>
  <si>
    <t>MR</t>
  </si>
  <si>
    <t>Rbar</t>
  </si>
  <si>
    <t>Subgroup size = 1</t>
  </si>
  <si>
    <t>Stdev (within) (I-MR, subgroup size =1)  =</t>
  </si>
  <si>
    <t>UCL=Xbar+A2Rbar</t>
  </si>
  <si>
    <t>浓度</t>
  </si>
  <si>
    <t>1s=</t>
  </si>
  <si>
    <t>2s=</t>
  </si>
  <si>
    <t>3s=</t>
  </si>
  <si>
    <t>Xbar=</t>
  </si>
  <si>
    <t>Xbar+1S=</t>
  </si>
  <si>
    <t>Xbar+2S=</t>
  </si>
  <si>
    <t>Xbar+3S=</t>
  </si>
  <si>
    <t>Xbar-1S=</t>
  </si>
  <si>
    <t>Xbar-2S=</t>
  </si>
  <si>
    <t>Xbar-3S=</t>
  </si>
  <si>
    <t>Step 1:</t>
  </si>
  <si>
    <t>get 20 sets of data,</t>
  </si>
  <si>
    <t>Step 2:</t>
  </si>
  <si>
    <t>Step 3:</t>
  </si>
  <si>
    <t>Step 4:</t>
  </si>
  <si>
    <t>Step 5:</t>
  </si>
  <si>
    <t>Step 6:</t>
  </si>
  <si>
    <t>Step 7:</t>
  </si>
  <si>
    <t>Step 8:</t>
  </si>
  <si>
    <t>Step 9:</t>
  </si>
  <si>
    <t>Charting: X-axis=lot no., Y-axis=浓度.</t>
  </si>
  <si>
    <t>calculate Xbar,</t>
  </si>
  <si>
    <t>calculate stdev (overall),</t>
  </si>
  <si>
    <t>calculate stdev (overall) + 1S,</t>
  </si>
  <si>
    <t>calculate stdev (overall) + 2S,</t>
  </si>
  <si>
    <t>calculate stdev (overall) + 3S,</t>
  </si>
  <si>
    <t>calculate stdev (overall) - 1S,</t>
  </si>
  <si>
    <t>calculate stdev (overall) - 2S,</t>
  </si>
  <si>
    <t>calculate stdev (overall) - 3S,</t>
  </si>
  <si>
    <t>LSL=5.5</t>
  </si>
  <si>
    <t>USL=6.5</t>
  </si>
  <si>
    <t xml:space="preserve">Stdev (within) = </t>
  </si>
  <si>
    <r>
      <t xml:space="preserve">Cp= (usl-lsl)/6/stdev (within) </t>
    </r>
    <r>
      <rPr>
        <sz val="8"/>
        <color rgb="FFFF0000"/>
        <rFont val="Calibri"/>
        <family val="2"/>
        <scheme val="minor"/>
      </rPr>
      <t>for reference only</t>
    </r>
  </si>
  <si>
    <r>
      <t xml:space="preserve">Cpl= (Xbar-lsl)/3/stdev (within) </t>
    </r>
    <r>
      <rPr>
        <sz val="8"/>
        <color rgb="FFFF0000"/>
        <rFont val="Calibri"/>
        <family val="2"/>
        <scheme val="minor"/>
      </rPr>
      <t>for reference only</t>
    </r>
  </si>
  <si>
    <r>
      <t xml:space="preserve">Cpu= (usl-Xbar)/3/stdev (within) </t>
    </r>
    <r>
      <rPr>
        <sz val="8"/>
        <color rgb="FFFF0000"/>
        <rFont val="Calibri"/>
        <family val="2"/>
        <scheme val="minor"/>
      </rPr>
      <t>for reference only</t>
    </r>
  </si>
  <si>
    <r>
      <t xml:space="preserve">Cpk = min (Cpl, Cpu) </t>
    </r>
    <r>
      <rPr>
        <sz val="8"/>
        <color rgb="FFFF0000"/>
        <rFont val="Calibri"/>
        <family val="2"/>
        <scheme val="minor"/>
      </rPr>
      <t>for reference only</t>
    </r>
  </si>
  <si>
    <t>Expectation: extends to
subgroup size &gt; 1</t>
  </si>
  <si>
    <t>Sampling size</t>
  </si>
  <si>
    <t>日期</t>
  </si>
  <si>
    <t>样品数量</t>
  </si>
  <si>
    <t>Date</t>
  </si>
  <si>
    <t>Failure rate (P)</t>
  </si>
  <si>
    <t>Failure count (NP)</t>
  </si>
  <si>
    <t>Pbar=</t>
  </si>
  <si>
    <t>NPbar=</t>
  </si>
  <si>
    <t>UCL=Pbar+3*sqrt(Pbar(1-Pbar)/n)</t>
  </si>
  <si>
    <t>Pbar=averagePi</t>
  </si>
  <si>
    <t>LCL=</t>
  </si>
  <si>
    <t>LCL=Pbar-3*sqrt(Pbar(1-Pbar)/n)</t>
  </si>
  <si>
    <t>UCL=nPbar+3*sqrt(nPbar(1-Pbar))</t>
  </si>
  <si>
    <t>n</t>
  </si>
  <si>
    <t>nPbar=naveragePi</t>
  </si>
  <si>
    <t>LCL=nPbar-3*sqrt(nPbar(1-Pbar))</t>
  </si>
  <si>
    <t>When samling size is different for each sampling, only P chart is available.</t>
  </si>
  <si>
    <t>缺陷数</t>
  </si>
  <si>
    <t>Per unit</t>
  </si>
  <si>
    <t>UCL=</t>
  </si>
  <si>
    <t>Ubar=</t>
  </si>
  <si>
    <t>Cbar=</t>
  </si>
  <si>
    <t>When samling size is different for each sampling, only U chart is available.</t>
  </si>
  <si>
    <t>n=</t>
  </si>
  <si>
    <t>When n is always changing, U chart will be as below</t>
  </si>
  <si>
    <t>When n is always changing, C chart will be unavailable</t>
  </si>
  <si>
    <t>When n is always changing, P chart will be as below</t>
  </si>
  <si>
    <t>When n is always changing, NP chart will be unavailable</t>
  </si>
  <si>
    <t>DAY</t>
  </si>
  <si>
    <t>1</t>
  </si>
  <si>
    <t>2</t>
  </si>
  <si>
    <t>3</t>
  </si>
  <si>
    <t>4</t>
  </si>
  <si>
    <t>5</t>
  </si>
  <si>
    <t>MRbar=</t>
  </si>
  <si>
    <t>UCL=D3*Mrbar=0*Mrbar</t>
  </si>
  <si>
    <t>UCL=D4*Mrbar=3.267*Mrbar</t>
  </si>
  <si>
    <t>UCL=Xbar+E2*MRbar=Xbar+2.66*MRbar</t>
  </si>
  <si>
    <t>LCL=Xbar-E2*Mrbar=Xbar-2.66*MRbar</t>
  </si>
  <si>
    <t>LCL=D3*Rbar</t>
  </si>
  <si>
    <t>UCL=D4*Rbar=2.114*Rbar</t>
  </si>
  <si>
    <t>LCL=B3*Sbar</t>
  </si>
  <si>
    <t>LCL=Xbar-E2*MRbar=Xbar-2.66*MRbar</t>
  </si>
  <si>
    <t>UCL=D4*MRbar=3.267*MRbar</t>
  </si>
  <si>
    <t>UCL=D3*MRbar=0*MRbar</t>
  </si>
  <si>
    <t>UCL=B4*Sbar=2.089*Sbar</t>
  </si>
  <si>
    <t>I-MR-R or I-MR-S depends on our choice or settings in system.</t>
  </si>
  <si>
    <t>Group 1</t>
  </si>
  <si>
    <t>Group 2</t>
  </si>
  <si>
    <t>Group 3</t>
  </si>
  <si>
    <t>Group 4</t>
  </si>
  <si>
    <t>Failure count</t>
  </si>
  <si>
    <t>Data point</t>
  </si>
  <si>
    <t>to plot control chart for the Group 1</t>
  </si>
  <si>
    <t>UCL =</t>
  </si>
  <si>
    <t>UCL for group 1 = CL+3*sqrt (CL*(1-CL)/sampling size of group 1)</t>
  </si>
  <si>
    <t>CL =</t>
  </si>
  <si>
    <t>CL = (failure count of group 1)/(sampling size of group 1)</t>
  </si>
  <si>
    <t>LCL =</t>
  </si>
  <si>
    <t>LCL for group 1 = CL-3*sqrt (CL*(1-CL)/sampling size of group 1)</t>
  </si>
  <si>
    <t>to plot control chart for the Group 1 and Group 2</t>
  </si>
  <si>
    <t>UCL for group 2 = CL+3*sqrt (CL*(1-CL)/sampling size of group 2)</t>
  </si>
  <si>
    <t>CL = (failure count of group 1 + failure count of group 2)/(sampling size of group 1 + sampling size of group 2)</t>
  </si>
  <si>
    <t>LCL for group 2 = CL-3*sqrt (CL*(1-CL)/sampling size of group 2)</t>
  </si>
  <si>
    <t>to plot control chart for the Group 1, Group 2, and Group 3.</t>
  </si>
  <si>
    <t>UCL for group 3 = CL+3*sqrt (CL*(1-CL)/sampling size of group 3)</t>
  </si>
  <si>
    <t>CL = (failure count of group 1 + failure count of group 2 + failure count of group 3)/(sampling size of group 1 + sampling size of group 2 + sampling size of group 3)</t>
  </si>
  <si>
    <t>UCL for group 1 = CL-3*sqrt (CL*(1-CL)/sampling size of group 1)</t>
  </si>
  <si>
    <t>UCL for group 2 = CL-3*sqrt (CL*(1-CL)/sampling size of group 2)</t>
  </si>
  <si>
    <t>UCL for group 3 = CL-3*sqrt (CL*(1-CL)/sampling size of group 3)</t>
  </si>
  <si>
    <t>to plot control chart for the Group 1, Group 2, Group 3, and Group 4.</t>
  </si>
  <si>
    <t>UCL for group 4 = CL+3*sqrt (CL*(1-CL)/sampling size of group 4)</t>
  </si>
  <si>
    <t>CL = (failure count of group 1 + failure count of group 2 + failure count of group 3 + failure count of group 4)/(sampling size of group 1 + sampling size of group 2 + sampling size of group 3 + sampling size of group 4)</t>
  </si>
  <si>
    <t>UCL for group 4 = CL-3*sqrt (CL*(1-CL)/sampling size of group 4)</t>
  </si>
  <si>
    <t>Step 25:</t>
  </si>
  <si>
    <t>to plot control chart for the Group 1, Group 2, Group 3, …, Group 25</t>
  </si>
  <si>
    <t>…</t>
  </si>
  <si>
    <t>Group 25</t>
  </si>
  <si>
    <t>…...</t>
  </si>
  <si>
    <t>UCL for group 25 = CL+3*sqrt (CL*(1-CL)/sampling size of group 25)</t>
  </si>
  <si>
    <t>CL = (failure count of group 1 + failure count of group 2 +…+ failure count of group 25)/(sampling size of group 1 + sampling size of group 2 +…+ sampling size of group 25)</t>
  </si>
  <si>
    <t>UCL for group 25 = CL-3*sqrt (CL*(1-CL)/sampling size of group 25)</t>
  </si>
  <si>
    <t>Step 26:</t>
  </si>
  <si>
    <t>to plot control chart for the Group 2, Group 3, Group 4, …, Group 26</t>
  </si>
  <si>
    <t>Group 26</t>
  </si>
  <si>
    <t>UCL for group 26 = CL+3*sqrt (CL*(1-CL)/sampling size of group 26)</t>
  </si>
  <si>
    <t>CL = (failure count of group 2 + failure count of group 3 +…+ failure count of group 26)/(sampling size of group 2 + sampling size of group 3 +…+ sampling size of group 26)</t>
  </si>
  <si>
    <t>UCL for group 26 = CL-3*sqrt (CL*(1-CL)/sampling size of group 26)</t>
  </si>
  <si>
    <t>Defect count</t>
  </si>
  <si>
    <t>Defect per unit</t>
  </si>
  <si>
    <t>UCL for group 1 = CL+3*sqrt (CL/sampling size of group 1)</t>
  </si>
  <si>
    <t>LCL for group 1 = CL-3*sqrt (CL/sampling size of group 1)</t>
  </si>
  <si>
    <t>UCL for group 2 = CL+3*sqrt (CL/sampling size of group 2)</t>
  </si>
  <si>
    <t>LCL for group 2 = CL-3*sqrt (CL/sampling size of group 2)</t>
  </si>
  <si>
    <t>UCL for group 3 = CL+3*sqrt (CL/sampling size of group 3)</t>
  </si>
  <si>
    <t>UCL for group 1 = CL-3*sqrt (CL/sampling size of group 1)</t>
  </si>
  <si>
    <t>UCL for group 2 = CL-3*sqrt (CL/sampling size of group 2)</t>
  </si>
  <si>
    <t>UCL for group 3 = CL-3*sqrt (CL/sampling size of group 3)</t>
  </si>
  <si>
    <t>UCL for group 4 = CL+3*sqrt (CL/sampling size of group 4)</t>
  </si>
  <si>
    <t>UCL for group 4 = CL-3*sqrt (CL/sampling size of group 4)</t>
  </si>
  <si>
    <t>UCL for group 25 = CL+3*sqrt (CL/sampling size of group 25)</t>
  </si>
  <si>
    <t>UCL for group 25 = CL-3*sqrt (CL/sampling size of group 25)</t>
  </si>
  <si>
    <t>UCL for group 26 = CL+3*sqrt (CL/sampling size of group 26)</t>
  </si>
  <si>
    <t>UCL for group 26 = CL-3*sqrt (CL/sampling size of group 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</si>
</sst>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00"/>
    <numFmt numFmtId="166" formatCode="0.0000"/>
    <numFmt numFmtId="167" formatCode="mm\-dd"/>
    <numFmt numFmtId="168" formatCode="0.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2" xfId="0" applyFont="1" applyFill="1" applyBorder="1"/>
    <xf numFmtId="0" fontId="2" fillId="2" borderId="6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2" fillId="4" borderId="1" xfId="0" applyFont="1" applyFill="1" applyBorder="1" applyAlignment="1">
      <alignment horizontal="center" vertical="center"/>
    </xf>
    <xf numFmtId="0" fontId="2" fillId="5" borderId="6" xfId="0" applyFont="1" applyFill="1" applyBorder="1"/>
    <xf numFmtId="0" fontId="2" fillId="5" borderId="0" xfId="0" applyFont="1" applyFill="1" applyBorder="1"/>
    <xf numFmtId="0" fontId="3" fillId="5" borderId="6" xfId="0" applyFont="1" applyFill="1" applyBorder="1"/>
    <xf numFmtId="0" fontId="3" fillId="5" borderId="0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2" fillId="6" borderId="6" xfId="0" applyFont="1" applyFill="1" applyBorder="1"/>
    <xf numFmtId="0" fontId="2" fillId="6" borderId="0" xfId="0" applyFont="1" applyFill="1" applyBorder="1"/>
    <xf numFmtId="0" fontId="2" fillId="6" borderId="3" xfId="0" applyFont="1" applyFill="1" applyBorder="1"/>
    <xf numFmtId="0" fontId="2" fillId="7" borderId="6" xfId="0" applyFont="1" applyFill="1" applyBorder="1"/>
    <xf numFmtId="0" fontId="2" fillId="7" borderId="0" xfId="0" applyFont="1" applyFill="1" applyBorder="1"/>
    <xf numFmtId="0" fontId="2" fillId="7" borderId="3" xfId="0" applyFont="1" applyFill="1" applyBorder="1"/>
    <xf numFmtId="0" fontId="0" fillId="7" borderId="6" xfId="0" applyFill="1" applyBorder="1"/>
    <xf numFmtId="0" fontId="0" fillId="7" borderId="0" xfId="0" applyFill="1" applyBorder="1"/>
    <xf numFmtId="0" fontId="0" fillId="7" borderId="3" xfId="0" applyFill="1" applyBorder="1"/>
    <xf numFmtId="0" fontId="2" fillId="4" borderId="6" xfId="0" applyFont="1" applyFill="1" applyBorder="1"/>
    <xf numFmtId="0" fontId="2" fillId="4" borderId="0" xfId="0" applyFont="1" applyFill="1" applyBorder="1"/>
    <xf numFmtId="0" fontId="2" fillId="4" borderId="3" xfId="0" applyFont="1" applyFill="1" applyBorder="1"/>
    <xf numFmtId="0" fontId="3" fillId="4" borderId="6" xfId="0" applyFont="1" applyFill="1" applyBorder="1"/>
    <xf numFmtId="0" fontId="3" fillId="4" borderId="0" xfId="0" applyFont="1" applyFill="1" applyBorder="1"/>
    <xf numFmtId="0" fontId="0" fillId="4" borderId="3" xfId="0" applyFill="1" applyBorder="1"/>
    <xf numFmtId="2" fontId="2" fillId="4" borderId="0" xfId="0" applyNumberFormat="1" applyFont="1" applyFill="1" applyBorder="1"/>
    <xf numFmtId="2" fontId="2" fillId="4" borderId="3" xfId="0" applyNumberFormat="1" applyFont="1" applyFill="1" applyBorder="1"/>
    <xf numFmtId="2" fontId="2" fillId="5" borderId="0" xfId="0" applyNumberFormat="1" applyFont="1" applyFill="1" applyBorder="1"/>
    <xf numFmtId="2" fontId="2" fillId="5" borderId="3" xfId="0" applyNumberFormat="1" applyFont="1" applyFill="1" applyBorder="1"/>
    <xf numFmtId="2" fontId="0" fillId="4" borderId="3" xfId="0" applyNumberFormat="1" applyFill="1" applyBorder="1"/>
    <xf numFmtId="2" fontId="0" fillId="5" borderId="3" xfId="0" applyNumberFormat="1" applyFill="1" applyBorder="1"/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64" fontId="0" fillId="2" borderId="0" xfId="0" applyNumberFormat="1" applyFill="1"/>
    <xf numFmtId="0" fontId="1" fillId="9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10" borderId="13" xfId="0" applyFont="1" applyFill="1" applyBorder="1" applyAlignment="1">
      <alignment horizontal="center" vertical="center"/>
    </xf>
    <xf numFmtId="166" fontId="1" fillId="10" borderId="2" xfId="0" applyNumberFormat="1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166" fontId="1" fillId="10" borderId="3" xfId="0" applyNumberFormat="1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166" fontId="1" fillId="10" borderId="9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6" fillId="2" borderId="0" xfId="0" applyFont="1" applyFill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2" xfId="0" applyFont="1" applyFill="1" applyBorder="1"/>
    <xf numFmtId="0" fontId="0" fillId="2" borderId="1" xfId="0" applyFill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0" fillId="10" borderId="1" xfId="0" applyFill="1" applyBorder="1"/>
    <xf numFmtId="166" fontId="0" fillId="10" borderId="1" xfId="0" applyNumberFormat="1" applyFill="1" applyBorder="1"/>
    <xf numFmtId="0" fontId="0" fillId="2" borderId="2" xfId="0" applyFill="1" applyBorder="1"/>
    <xf numFmtId="166" fontId="0" fillId="2" borderId="3" xfId="0" applyNumberFormat="1" applyFill="1" applyBorder="1"/>
    <xf numFmtId="0" fontId="0" fillId="2" borderId="9" xfId="0" applyFill="1" applyBorder="1"/>
    <xf numFmtId="166" fontId="0" fillId="2" borderId="0" xfId="0" applyNumberFormat="1" applyFill="1" applyBorder="1"/>
    <xf numFmtId="168" fontId="0" fillId="2" borderId="0" xfId="0" applyNumberFormat="1" applyFill="1"/>
    <xf numFmtId="2" fontId="0" fillId="2" borderId="0" xfId="0" applyNumberFormat="1" applyFill="1"/>
    <xf numFmtId="0" fontId="11" fillId="2" borderId="0" xfId="0" applyFont="1" applyFill="1" applyAlignment="1">
      <alignment horizontal="center" vertical="center"/>
    </xf>
    <xf numFmtId="0" fontId="0" fillId="2" borderId="3" xfId="0" applyFill="1" applyBorder="1"/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2" fillId="11" borderId="0" xfId="0" applyFont="1" applyFill="1" applyAlignment="1">
      <alignment vertical="center"/>
    </xf>
    <xf numFmtId="0" fontId="12" fillId="11" borderId="0" xfId="0" applyFont="1" applyFill="1"/>
    <xf numFmtId="0" fontId="12" fillId="2" borderId="0" xfId="0" applyFont="1" applyFill="1" applyAlignment="1">
      <alignment vertical="center"/>
    </xf>
    <xf numFmtId="0" fontId="0" fillId="11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12" fillId="8" borderId="0" xfId="0" applyFont="1" applyFill="1"/>
    <xf numFmtId="2" fontId="3" fillId="4" borderId="0" xfId="0" applyNumberFormat="1" applyFont="1" applyFill="1" applyBorder="1" applyAlignment="1">
      <alignment horizontal="center"/>
    </xf>
    <xf numFmtId="2" fontId="3" fillId="4" borderId="3" xfId="0" applyNumberFormat="1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8" xfId="0" applyNumberFormat="1" applyFont="1" applyFill="1" applyBorder="1" applyAlignment="1">
      <alignment horizontal="center"/>
    </xf>
    <xf numFmtId="2" fontId="3" fillId="5" borderId="9" xfId="0" applyNumberFormat="1" applyFont="1" applyFill="1" applyBorder="1" applyAlignment="1">
      <alignment horizontal="center"/>
    </xf>
    <xf numFmtId="165" fontId="2" fillId="6" borderId="5" xfId="0" applyNumberFormat="1" applyFont="1" applyFill="1" applyBorder="1" applyAlignment="1">
      <alignment horizontal="center"/>
    </xf>
    <xf numFmtId="165" fontId="2" fillId="6" borderId="2" xfId="0" applyNumberFormat="1" applyFont="1" applyFill="1" applyBorder="1" applyAlignment="1">
      <alignment horizontal="center"/>
    </xf>
    <xf numFmtId="165" fontId="2" fillId="6" borderId="0" xfId="0" applyNumberFormat="1" applyFont="1" applyFill="1" applyBorder="1" applyAlignment="1">
      <alignment horizontal="center"/>
    </xf>
    <xf numFmtId="165" fontId="2" fillId="6" borderId="3" xfId="0" applyNumberFormat="1" applyFont="1" applyFill="1" applyBorder="1" applyAlignment="1">
      <alignment horizontal="center"/>
    </xf>
    <xf numFmtId="166" fontId="2" fillId="7" borderId="0" xfId="0" applyNumberFormat="1" applyFont="1" applyFill="1" applyBorder="1" applyAlignment="1">
      <alignment horizontal="center"/>
    </xf>
    <xf numFmtId="166" fontId="2" fillId="7" borderId="3" xfId="0" applyNumberFormat="1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5" fontId="2" fillId="7" borderId="0" xfId="0" applyNumberFormat="1" applyFont="1" applyFill="1" applyBorder="1" applyAlignment="1">
      <alignment horizontal="center"/>
    </xf>
    <xf numFmtId="165" fontId="2" fillId="7" borderId="3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64" fontId="4" fillId="2" borderId="11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64" fontId="7" fillId="2" borderId="11" xfId="0" applyNumberFormat="1" applyFont="1" applyFill="1" applyBorder="1" applyAlignment="1">
      <alignment horizontal="center" vertical="center"/>
    </xf>
    <xf numFmtId="164" fontId="7" fillId="2" borderId="12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164" fontId="1" fillId="9" borderId="11" xfId="0" applyNumberFormat="1" applyFont="1" applyFill="1" applyBorder="1" applyAlignment="1">
      <alignment horizontal="center" vertical="center"/>
    </xf>
    <xf numFmtId="164" fontId="1" fillId="9" borderId="12" xfId="0" applyNumberFormat="1" applyFont="1" applyFill="1" applyBorder="1" applyAlignment="1">
      <alignment horizontal="center" vertical="center"/>
    </xf>
    <xf numFmtId="164" fontId="1" fillId="7" borderId="11" xfId="0" applyNumberFormat="1" applyFont="1" applyFill="1" applyBorder="1" applyAlignment="1">
      <alignment horizontal="center" vertical="center"/>
    </xf>
    <xf numFmtId="164" fontId="1" fillId="7" borderId="12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164" fontId="1" fillId="3" borderId="12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Levey-Jennings chart</a:t>
            </a:r>
            <a:endParaRPr lang="ja-JP" altLang="en-US"/>
          </a:p>
        </c:rich>
      </c:tx>
      <c:layout>
        <c:manualLayout>
          <c:xMode val="edge"/>
          <c:yMode val="edge"/>
          <c:x val="0.4075401748529792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'Levey-Jennings'!$B$2</c:f>
              <c:strCache>
                <c:ptCount val="1"/>
                <c:pt idx="0">
                  <c:v>浓度</c:v>
                </c:pt>
              </c:strCache>
            </c:strRef>
          </c:tx>
          <c:spPr>
            <a:ln w="63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6350" cap="rnd">
                <a:solidFill>
                  <a:schemeClr val="tx1">
                    <a:lumMod val="75000"/>
                    <a:lumOff val="25000"/>
                    <a:alpha val="93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F88-4099-9877-65DCEF08A912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F88-4099-9877-65DCEF08A912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F88-4099-9877-65DCEF08A912}"/>
              </c:ext>
            </c:extLst>
          </c:dPt>
          <c:xVal>
            <c:numRef>
              <c:f>'Levey-Jennings'!$C$1:$V$1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'Levey-Jennings'!$C$2:$V$2</c:f>
              <c:numCache>
                <c:formatCode>General</c:formatCode>
                <c:ptCount val="20"/>
                <c:pt idx="0">
                  <c:v>6.2</c:v>
                </c:pt>
                <c:pt idx="1">
                  <c:v>6.21</c:v>
                </c:pt>
                <c:pt idx="2">
                  <c:v>6.15</c:v>
                </c:pt>
                <c:pt idx="3">
                  <c:v>6.15</c:v>
                </c:pt>
                <c:pt idx="4">
                  <c:v>6.15</c:v>
                </c:pt>
                <c:pt idx="5">
                  <c:v>5.86</c:v>
                </c:pt>
                <c:pt idx="6">
                  <c:v>5.87</c:v>
                </c:pt>
                <c:pt idx="7">
                  <c:v>6.12</c:v>
                </c:pt>
                <c:pt idx="8">
                  <c:v>6.12</c:v>
                </c:pt>
                <c:pt idx="9">
                  <c:v>6.14</c:v>
                </c:pt>
                <c:pt idx="10">
                  <c:v>6</c:v>
                </c:pt>
                <c:pt idx="11">
                  <c:v>6.18</c:v>
                </c:pt>
                <c:pt idx="12">
                  <c:v>6.02</c:v>
                </c:pt>
                <c:pt idx="13">
                  <c:v>6.21</c:v>
                </c:pt>
                <c:pt idx="14">
                  <c:v>6.09</c:v>
                </c:pt>
                <c:pt idx="15">
                  <c:v>6.17</c:v>
                </c:pt>
                <c:pt idx="16">
                  <c:v>6.21</c:v>
                </c:pt>
                <c:pt idx="17">
                  <c:v>6.03</c:v>
                </c:pt>
                <c:pt idx="18">
                  <c:v>6</c:v>
                </c:pt>
                <c:pt idx="19">
                  <c:v>6.18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88-4099-9877-65DCEF08A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077872"/>
        <c:axId val="1331909616"/>
      </c:scatterChart>
      <c:valAx>
        <c:axId val="1563077872"/>
        <c:scaling>
          <c:orientation val="minMax"/>
          <c:max val="20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09616"/>
        <c:crosses val="autoZero"/>
        <c:crossBetween val="midCat"/>
        <c:majorUnit val="1"/>
      </c:valAx>
      <c:valAx>
        <c:axId val="1331909616"/>
        <c:scaling>
          <c:orientation val="minMax"/>
          <c:max val="6.4300000000000006"/>
          <c:min val="5.7834131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077872"/>
        <c:crosses val="autoZero"/>
        <c:crossBetween val="midCat"/>
        <c:majorUnit val="0.1065290000000000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emf"/><Relationship Id="rId1" Type="http://schemas.openxmlformats.org/officeDocument/2006/relationships/image" Target="../media/image10.emf"/><Relationship Id="rId4" Type="http://schemas.openxmlformats.org/officeDocument/2006/relationships/image" Target="../media/image13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emf"/><Relationship Id="rId1" Type="http://schemas.openxmlformats.org/officeDocument/2006/relationships/image" Target="../media/image15.emf"/><Relationship Id="rId4" Type="http://schemas.openxmlformats.org/officeDocument/2006/relationships/image" Target="../media/image18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164352</xdr:colOff>
      <xdr:row>11</xdr:row>
      <xdr:rowOff>171450</xdr:rowOff>
    </xdr:from>
    <xdr:to>
      <xdr:col>12</xdr:col>
      <xdr:colOff>91140</xdr:colOff>
      <xdr:row>28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590446-FFCA-497C-81C8-6954EAD92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352" y="2225862"/>
          <a:ext cx="4767729" cy="302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260728</xdr:colOff>
      <xdr:row>11</xdr:row>
      <xdr:rowOff>171450</xdr:rowOff>
    </xdr:from>
    <xdr:to>
      <xdr:col>28</xdr:col>
      <xdr:colOff>372413</xdr:colOff>
      <xdr:row>28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994A44-063B-4D72-A8A9-6DAD0CD6D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8728" y="2225862"/>
          <a:ext cx="4758391" cy="301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170702</xdr:colOff>
      <xdr:row>28</xdr:row>
      <xdr:rowOff>76200</xdr:rowOff>
    </xdr:from>
    <xdr:to>
      <xdr:col>9</xdr:col>
      <xdr:colOff>240552</xdr:colOff>
      <xdr:row>43</xdr:row>
      <xdr:rowOff>64828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989384-BB96-4AFE-B2D1-7DEE2F35E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02" y="5305612"/>
          <a:ext cx="3700556" cy="2790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273428</xdr:colOff>
      <xdr:row>28</xdr:row>
      <xdr:rowOff>63500</xdr:rowOff>
    </xdr:from>
    <xdr:to>
      <xdr:col>26</xdr:col>
      <xdr:colOff>343278</xdr:colOff>
      <xdr:row>43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787267-DA4C-4AEA-8349-5F5D3651C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1428" y="5292912"/>
          <a:ext cx="3700556" cy="2776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417293</xdr:colOff>
      <xdr:row>20</xdr:row>
      <xdr:rowOff>81645</xdr:rowOff>
    </xdr:from>
    <xdr:to>
      <xdr:col>12</xdr:col>
      <xdr:colOff>344722</xdr:colOff>
      <xdr:row>38</xdr:row>
      <xdr:rowOff>162394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570EF1-DFCD-43A5-9690-A737901EE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079" y="4254502"/>
          <a:ext cx="4526643" cy="3346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127007</xdr:colOff>
      <xdr:row>6</xdr:row>
      <xdr:rowOff>18143</xdr:rowOff>
    </xdr:from>
    <xdr:to>
      <xdr:col>12</xdr:col>
      <xdr:colOff>353793</xdr:colOff>
      <xdr:row>20</xdr:row>
      <xdr:rowOff>56161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0EB8F4-3FB2-4756-A036-484D46CB9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793" y="1651000"/>
          <a:ext cx="4826000" cy="2578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194236</xdr:colOff>
      <xdr:row>5</xdr:row>
      <xdr:rowOff>2987</xdr:rowOff>
    </xdr:from>
    <xdr:to>
      <xdr:col>15</xdr:col>
      <xdr:colOff>22411</xdr:colOff>
      <xdr:row>19</xdr:row>
      <xdr:rowOff>131482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8B1643-4ACC-4C3E-8DB5-A987B43AB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134471</xdr:colOff>
      <xdr:row>7</xdr:row>
      <xdr:rowOff>14942</xdr:rowOff>
    </xdr:from>
    <xdr:to>
      <xdr:col>16</xdr:col>
      <xdr:colOff>119530</xdr:colOff>
      <xdr:row>8</xdr:row>
      <xdr:rowOff>7471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F971762-D852-4E11-A8DE-8F32192E3441}"/>
            </a:ext>
          </a:extLst>
        </xdr:cNvPr>
        <xdr:cNvSpPr/>
      </xdr:nvSpPr>
      <xdr:spPr>
        <a:xfrm>
          <a:off x="7276353" y="1322295"/>
          <a:ext cx="956236" cy="1792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Xbar+3S</a:t>
          </a:r>
        </a:p>
      </xdr:txBody>
    </xdr:sp>
    <xdr:clientData/>
  </xdr:twoCellAnchor>
  <xdr:twoCellAnchor>
    <xdr:from>
      <xdr:col>14</xdr:col>
      <xdr:colOff>129988</xdr:colOff>
      <xdr:row>8</xdr:row>
      <xdr:rowOff>159871</xdr:rowOff>
    </xdr:from>
    <xdr:to>
      <xdr:col>16</xdr:col>
      <xdr:colOff>115047</xdr:colOff>
      <xdr:row>9</xdr:row>
      <xdr:rowOff>152401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880F60B-8016-4B57-B661-E9EB81EAC14B}"/>
            </a:ext>
          </a:extLst>
        </xdr:cNvPr>
        <xdr:cNvSpPr/>
      </xdr:nvSpPr>
      <xdr:spPr>
        <a:xfrm>
          <a:off x="7271870" y="1653989"/>
          <a:ext cx="956236" cy="1792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C000"/>
              </a:solidFill>
            </a:rPr>
            <a:t>Xbar+2S</a:t>
          </a:r>
        </a:p>
      </xdr:txBody>
    </xdr:sp>
    <xdr:clientData/>
  </xdr:twoCellAnchor>
  <xdr:twoCellAnchor>
    <xdr:from>
      <xdr:col>14</xdr:col>
      <xdr:colOff>132975</xdr:colOff>
      <xdr:row>10</xdr:row>
      <xdr:rowOff>118036</xdr:rowOff>
    </xdr:from>
    <xdr:to>
      <xdr:col>16</xdr:col>
      <xdr:colOff>118034</xdr:colOff>
      <xdr:row>11</xdr:row>
      <xdr:rowOff>110565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508BCA0-8B96-49D7-B0AA-1EB451016CFB}"/>
            </a:ext>
          </a:extLst>
        </xdr:cNvPr>
        <xdr:cNvSpPr/>
      </xdr:nvSpPr>
      <xdr:spPr>
        <a:xfrm>
          <a:off x="7274857" y="1985683"/>
          <a:ext cx="956236" cy="1792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B050"/>
              </a:solidFill>
            </a:rPr>
            <a:t>Xbar+1S</a:t>
          </a:r>
        </a:p>
      </xdr:txBody>
    </xdr:sp>
    <xdr:clientData/>
  </xdr:twoCellAnchor>
  <xdr:twoCellAnchor>
    <xdr:from>
      <xdr:col>14</xdr:col>
      <xdr:colOff>23903</xdr:colOff>
      <xdr:row>12</xdr:row>
      <xdr:rowOff>68731</xdr:rowOff>
    </xdr:from>
    <xdr:to>
      <xdr:col>16</xdr:col>
      <xdr:colOff>8962</xdr:colOff>
      <xdr:row>13</xdr:row>
      <xdr:rowOff>61260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BA29951-0183-4842-9696-9EC9C701BB6B}"/>
            </a:ext>
          </a:extLst>
        </xdr:cNvPr>
        <xdr:cNvSpPr/>
      </xdr:nvSpPr>
      <xdr:spPr>
        <a:xfrm>
          <a:off x="7165785" y="2309907"/>
          <a:ext cx="956236" cy="1792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B050"/>
              </a:solidFill>
            </a:rPr>
            <a:t>Xbar</a:t>
          </a:r>
        </a:p>
      </xdr:txBody>
    </xdr:sp>
    <xdr:clientData/>
  </xdr:twoCellAnchor>
  <xdr:twoCellAnchor>
    <xdr:from>
      <xdr:col>14</xdr:col>
      <xdr:colOff>116539</xdr:colOff>
      <xdr:row>14</xdr:row>
      <xdr:rowOff>11953</xdr:rowOff>
    </xdr:from>
    <xdr:to>
      <xdr:col>16</xdr:col>
      <xdr:colOff>101598</xdr:colOff>
      <xdr:row>15</xdr:row>
      <xdr:rowOff>4482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777EE9A-3230-4C04-8DAA-56F03DD1AA43}"/>
            </a:ext>
          </a:extLst>
        </xdr:cNvPr>
        <xdr:cNvSpPr/>
      </xdr:nvSpPr>
      <xdr:spPr>
        <a:xfrm>
          <a:off x="7258421" y="2626659"/>
          <a:ext cx="956236" cy="1792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B050"/>
              </a:solidFill>
            </a:rPr>
            <a:t>Xbar-1S</a:t>
          </a:r>
        </a:p>
      </xdr:txBody>
    </xdr:sp>
    <xdr:clientData/>
  </xdr:twoCellAnchor>
  <xdr:twoCellAnchor>
    <xdr:from>
      <xdr:col>14</xdr:col>
      <xdr:colOff>112055</xdr:colOff>
      <xdr:row>15</xdr:row>
      <xdr:rowOff>149412</xdr:rowOff>
    </xdr:from>
    <xdr:to>
      <xdr:col>16</xdr:col>
      <xdr:colOff>97114</xdr:colOff>
      <xdr:row>16</xdr:row>
      <xdr:rowOff>141942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3D74964-0CA6-4EAD-8AF5-D1EED5210880}"/>
            </a:ext>
          </a:extLst>
        </xdr:cNvPr>
        <xdr:cNvSpPr/>
      </xdr:nvSpPr>
      <xdr:spPr>
        <a:xfrm>
          <a:off x="7253937" y="2950883"/>
          <a:ext cx="956236" cy="1792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C000"/>
              </a:solidFill>
            </a:rPr>
            <a:t>Xbar-2S</a:t>
          </a:r>
        </a:p>
      </xdr:txBody>
    </xdr:sp>
    <xdr:clientData/>
  </xdr:twoCellAnchor>
  <xdr:twoCellAnchor>
    <xdr:from>
      <xdr:col>14</xdr:col>
      <xdr:colOff>115043</xdr:colOff>
      <xdr:row>17</xdr:row>
      <xdr:rowOff>107577</xdr:rowOff>
    </xdr:from>
    <xdr:to>
      <xdr:col>16</xdr:col>
      <xdr:colOff>100102</xdr:colOff>
      <xdr:row>18</xdr:row>
      <xdr:rowOff>100106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9AA609C-CEC2-41A1-9B86-95631F02FFD4}"/>
            </a:ext>
          </a:extLst>
        </xdr:cNvPr>
        <xdr:cNvSpPr/>
      </xdr:nvSpPr>
      <xdr:spPr>
        <a:xfrm>
          <a:off x="7256925" y="3282577"/>
          <a:ext cx="956236" cy="1792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Xbar-3S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176893</xdr:colOff>
      <xdr:row>14</xdr:row>
      <xdr:rowOff>15420</xdr:rowOff>
    </xdr:from>
    <xdr:to>
      <xdr:col>11</xdr:col>
      <xdr:colOff>480785</xdr:colOff>
      <xdr:row>36</xdr:row>
      <xdr:rowOff>32339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C286D5-D7E9-46C0-8984-46EBC7A3C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3" y="2192563"/>
          <a:ext cx="6082392" cy="4008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181430</xdr:colOff>
      <xdr:row>37</xdr:row>
      <xdr:rowOff>9073</xdr:rowOff>
    </xdr:from>
    <xdr:to>
      <xdr:col>11</xdr:col>
      <xdr:colOff>453573</xdr:colOff>
      <xdr:row>59</xdr:row>
      <xdr:rowOff>9072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CC734D-D0DD-4D91-9177-0DB45F272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430" y="6721930"/>
          <a:ext cx="6050643" cy="3991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72571</xdr:colOff>
      <xdr:row>15</xdr:row>
      <xdr:rowOff>108855</xdr:rowOff>
    </xdr:from>
    <xdr:to>
      <xdr:col>29</xdr:col>
      <xdr:colOff>580571</xdr:colOff>
      <xdr:row>38</xdr:row>
      <xdr:rowOff>34468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6CAE0A-3F44-4108-98CD-AE07D3D90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21785" y="2830284"/>
          <a:ext cx="4916715" cy="40984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208496</xdr:colOff>
      <xdr:row>17</xdr:row>
      <xdr:rowOff>158236</xdr:rowOff>
    </xdr:from>
    <xdr:to>
      <xdr:col>14</xdr:col>
      <xdr:colOff>438727</xdr:colOff>
      <xdr:row>51</xdr:row>
      <xdr:rowOff>86336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4C9862-A43E-4391-ADBA-186FFD841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496" y="3298600"/>
          <a:ext cx="9328049" cy="6208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12904</xdr:colOff>
      <xdr:row>17</xdr:row>
      <xdr:rowOff>154160</xdr:rowOff>
    </xdr:from>
    <xdr:to>
      <xdr:col>31</xdr:col>
      <xdr:colOff>160016</xdr:colOff>
      <xdr:row>51</xdr:row>
      <xdr:rowOff>82260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79DE10-B050-4F84-B479-E1DA7E1BC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4540" y="3294524"/>
          <a:ext cx="9325749" cy="6208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103909</xdr:colOff>
      <xdr:row>10</xdr:row>
      <xdr:rowOff>57728</xdr:rowOff>
    </xdr:from>
    <xdr:to>
      <xdr:col>19</xdr:col>
      <xdr:colOff>288636</xdr:colOff>
      <xdr:row>17</xdr:row>
      <xdr:rowOff>14505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A0F9D2-F513-455E-8DD2-BBB516D31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77909" y="1905001"/>
          <a:ext cx="4468091" cy="1249868"/>
        </a:xfrm>
        <a:prstGeom prst="rect">
          <a:avLst/>
        </a:prstGeom>
      </xdr:spPr>
    </xdr:pic>
    <xdr:clientData/>
  </xdr:twoCellAnchor>
  <xdr:twoCellAnchor editAs="oneCell">
    <xdr:from>
      <xdr:col>0</xdr:col>
      <xdr:colOff>242453</xdr:colOff>
      <xdr:row>54</xdr:row>
      <xdr:rowOff>92362</xdr:rowOff>
    </xdr:from>
    <xdr:to>
      <xdr:col>14</xdr:col>
      <xdr:colOff>404090</xdr:colOff>
      <xdr:row>87</xdr:row>
      <xdr:rowOff>164479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0D57AF-CD43-4575-8F03-EC0A5185E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453" y="10194635"/>
          <a:ext cx="9259455" cy="6168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170707</xdr:colOff>
      <xdr:row>0</xdr:row>
      <xdr:rowOff>80821</xdr:rowOff>
    </xdr:from>
    <xdr:to>
      <xdr:col>8</xdr:col>
      <xdr:colOff>234204</xdr:colOff>
      <xdr:row>7</xdr:row>
      <xdr:rowOff>1163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C24CE5-B9A1-498D-B711-85459D8D0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8747" y="80821"/>
          <a:ext cx="1869437" cy="126908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10</xdr:row>
      <xdr:rowOff>50800</xdr:rowOff>
    </xdr:from>
    <xdr:to>
      <xdr:col>6</xdr:col>
      <xdr:colOff>539750</xdr:colOff>
      <xdr:row>24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8D723C-16DA-485C-ACF5-7E0400468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892300"/>
          <a:ext cx="394335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10</xdr:row>
      <xdr:rowOff>63500</xdr:rowOff>
    </xdr:from>
    <xdr:to>
      <xdr:col>15</xdr:col>
      <xdr:colOff>400050</xdr:colOff>
      <xdr:row>24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DB5B2E-C481-4CB4-A2E3-40FD53B30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905000"/>
          <a:ext cx="400050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298451</xdr:colOff>
      <xdr:row>4</xdr:row>
      <xdr:rowOff>50800</xdr:rowOff>
    </xdr:from>
    <xdr:to>
      <xdr:col>15</xdr:col>
      <xdr:colOff>227008</xdr:colOff>
      <xdr:row>8</xdr:row>
      <xdr:rowOff>114299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C47B4B-DFEF-4D44-B603-26BEDDC27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04051" y="787400"/>
          <a:ext cx="2366957" cy="800099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27</xdr:row>
      <xdr:rowOff>88900</xdr:rowOff>
    </xdr:from>
    <xdr:to>
      <xdr:col>15</xdr:col>
      <xdr:colOff>406400</xdr:colOff>
      <xdr:row>41</xdr:row>
      <xdr:rowOff>169333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02B1FB-BB11-4ED6-8DF1-8E2E171DF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060950"/>
          <a:ext cx="3987800" cy="2658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357910</xdr:colOff>
      <xdr:row>0</xdr:row>
      <xdr:rowOff>0</xdr:rowOff>
    </xdr:from>
    <xdr:to>
      <xdr:col>7</xdr:col>
      <xdr:colOff>577274</xdr:colOff>
      <xdr:row>7</xdr:row>
      <xdr:rowOff>18967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AE8FEF-051A-4AFB-A0F4-F614890E6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950" y="0"/>
          <a:ext cx="1423324" cy="136770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91440</xdr:rowOff>
    </xdr:from>
    <xdr:to>
      <xdr:col>11</xdr:col>
      <xdr:colOff>0</xdr:colOff>
      <xdr:row>28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A5B9D9-5177-4911-AAF0-8F35DBAAF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7200"/>
          <a:ext cx="6057900" cy="481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64238</xdr:rowOff>
    </xdr:from>
    <xdr:to>
      <xdr:col>8</xdr:col>
      <xdr:colOff>381000</xdr:colOff>
      <xdr:row>25</xdr:row>
      <xdr:rowOff>84303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B9215685-F333-4AFE-A832-D3CE034E6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" y="64238"/>
          <a:ext cx="5175250" cy="4623815"/>
        </a:xfrm>
        <a:prstGeom prst="rect">
          <a:avLst/>
        </a:prstGeom>
      </xdr:spPr>
    </xdr:pic>
    <xdr:clientData/>
  </xdr:twoCellAnchor>
  <xdr:twoCellAnchor editAs="oneCell">
    <xdr:from>
      <xdr:col>8</xdr:col>
      <xdr:colOff>443150</xdr:colOff>
      <xdr:row>0</xdr:row>
      <xdr:rowOff>76200</xdr:rowOff>
    </xdr:from>
    <xdr:to>
      <xdr:col>16</xdr:col>
      <xdr:colOff>67300</xdr:colOff>
      <xdr:row>12</xdr:row>
      <xdr:rowOff>31750</xdr:rowOff>
    </xdr:to>
    <xdr:pic>
      <xdr:nvPicPr>
        <xdr:cNvPr id="3" name="图片 7">
          <a:extLst>
            <a:ext uri="{FF2B5EF4-FFF2-40B4-BE49-F238E27FC236}">
              <a16:creationId xmlns:a16="http://schemas.microsoft.com/office/drawing/2014/main" id="{E2538D89-CE45-4C83-BDDD-E446D8699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9950" y="76200"/>
          <a:ext cx="4500950" cy="216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6075-8750-491D-B0B9-EA7891C27D83}">
  <dimension ref="A1:AH44"/>
  <sheetViews>
    <sheetView zoomScale="85" zoomScaleNormal="85" workbookViewId="0">
      <selection activeCell="AK19" sqref="AK19"/>
    </sheetView>
  </sheetViews>
  <sheetFormatPr defaultColWidth="8.77734375" defaultRowHeight="14.4" x14ac:dyDescent="0.3"/>
  <cols>
    <col min="1" max="27" width="5.77734375" style="3" customWidth="1"/>
    <col min="28" max="28" width="8.77734375" style="1"/>
    <col min="29" max="34" width="5.77734375" style="1" customWidth="1"/>
    <col min="35" max="16384" width="8.77734375" style="1"/>
  </cols>
  <sheetData>
    <row r="1" spans="1:34" x14ac:dyDescent="0.3">
      <c r="A1" s="2"/>
      <c r="B1" s="2" t="s">
        <v>42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51" t="s">
        <v>21</v>
      </c>
    </row>
    <row r="2" spans="1:34" x14ac:dyDescent="0.3">
      <c r="A2" s="124" t="s">
        <v>5</v>
      </c>
      <c r="B2" s="2" t="s">
        <v>0</v>
      </c>
      <c r="C2" s="21">
        <v>10.95</v>
      </c>
      <c r="D2" s="21">
        <v>10.91</v>
      </c>
      <c r="E2" s="21">
        <v>10.97</v>
      </c>
      <c r="F2" s="21">
        <v>10.92</v>
      </c>
      <c r="G2" s="21">
        <v>11.02</v>
      </c>
      <c r="H2" s="21">
        <v>10.92</v>
      </c>
      <c r="I2" s="21">
        <v>10.98</v>
      </c>
      <c r="J2" s="21">
        <v>10.959999999999999</v>
      </c>
      <c r="K2" s="21">
        <v>10.940000000000001</v>
      </c>
      <c r="L2" s="21">
        <v>10.91</v>
      </c>
      <c r="M2" s="21">
        <v>10.940000000000001</v>
      </c>
      <c r="N2" s="21">
        <v>10.97</v>
      </c>
      <c r="O2" s="21">
        <v>10.99</v>
      </c>
      <c r="P2" s="21">
        <v>10.93</v>
      </c>
      <c r="Q2" s="21">
        <v>11.02</v>
      </c>
      <c r="R2" s="21">
        <v>10.95</v>
      </c>
      <c r="S2" s="21">
        <v>10.959999999999999</v>
      </c>
      <c r="T2" s="21">
        <v>10.97</v>
      </c>
      <c r="U2" s="21">
        <v>11</v>
      </c>
      <c r="V2" s="21">
        <v>10.95</v>
      </c>
      <c r="W2" s="21">
        <v>10.95</v>
      </c>
      <c r="X2" s="21">
        <v>10.92</v>
      </c>
      <c r="Y2" s="21">
        <v>10.95</v>
      </c>
      <c r="Z2" s="21">
        <v>11</v>
      </c>
      <c r="AA2" s="21">
        <v>10.940000000000001</v>
      </c>
      <c r="AB2" s="51" t="s">
        <v>22</v>
      </c>
    </row>
    <row r="3" spans="1:34" x14ac:dyDescent="0.3">
      <c r="A3" s="124"/>
      <c r="B3" s="2" t="s">
        <v>1</v>
      </c>
      <c r="C3" s="21">
        <v>10.9</v>
      </c>
      <c r="D3" s="21">
        <v>10.97</v>
      </c>
      <c r="E3" s="21">
        <v>10.91</v>
      </c>
      <c r="F3" s="21">
        <v>10.940000000000001</v>
      </c>
      <c r="G3" s="21">
        <v>10.959999999999999</v>
      </c>
      <c r="H3" s="21">
        <v>10.940000000000001</v>
      </c>
      <c r="I3" s="21">
        <v>10.91</v>
      </c>
      <c r="J3" s="21">
        <v>10.93</v>
      </c>
      <c r="K3" s="21">
        <v>10.93</v>
      </c>
      <c r="L3" s="21">
        <v>10.95</v>
      </c>
      <c r="M3" s="21">
        <v>10.940000000000001</v>
      </c>
      <c r="N3" s="21">
        <v>10.95</v>
      </c>
      <c r="O3" s="21">
        <v>10.95</v>
      </c>
      <c r="P3" s="21">
        <v>10.97</v>
      </c>
      <c r="Q3" s="21">
        <v>10.98</v>
      </c>
      <c r="R3" s="21">
        <v>10.95</v>
      </c>
      <c r="S3" s="21">
        <v>10.95</v>
      </c>
      <c r="T3" s="21">
        <v>10.97</v>
      </c>
      <c r="U3" s="21">
        <v>10.93</v>
      </c>
      <c r="V3" s="21">
        <v>10.92</v>
      </c>
      <c r="W3" s="21">
        <v>10.940000000000001</v>
      </c>
      <c r="X3" s="21">
        <v>10.97</v>
      </c>
      <c r="Y3" s="21">
        <v>10.940000000000001</v>
      </c>
      <c r="Z3" s="21">
        <v>10.99</v>
      </c>
      <c r="AA3" s="21">
        <v>10.92</v>
      </c>
    </row>
    <row r="4" spans="1:34" x14ac:dyDescent="0.3">
      <c r="A4" s="124"/>
      <c r="B4" s="2" t="s">
        <v>2</v>
      </c>
      <c r="C4" s="21">
        <v>10.95</v>
      </c>
      <c r="D4" s="21">
        <v>10.95</v>
      </c>
      <c r="E4" s="21">
        <v>10.940000000000001</v>
      </c>
      <c r="F4" s="21">
        <v>10.95</v>
      </c>
      <c r="G4" s="21">
        <v>10.92</v>
      </c>
      <c r="H4" s="21">
        <v>10.93</v>
      </c>
      <c r="I4" s="21">
        <v>10.959999999999999</v>
      </c>
      <c r="J4" s="21">
        <v>10.940000000000001</v>
      </c>
      <c r="K4" s="21">
        <v>10.97</v>
      </c>
      <c r="L4" s="21">
        <v>10.93</v>
      </c>
      <c r="M4" s="21">
        <v>10.98</v>
      </c>
      <c r="N4" s="21">
        <v>10.93</v>
      </c>
      <c r="O4" s="21">
        <v>10.95</v>
      </c>
      <c r="P4" s="21">
        <v>10.940000000000001</v>
      </c>
      <c r="Q4" s="21">
        <v>10.97</v>
      </c>
      <c r="R4" s="21">
        <v>10.93</v>
      </c>
      <c r="S4" s="21">
        <v>10.97</v>
      </c>
      <c r="T4" s="21">
        <v>10.93</v>
      </c>
      <c r="U4" s="21">
        <v>10.95</v>
      </c>
      <c r="V4" s="21">
        <v>10.92</v>
      </c>
      <c r="W4" s="21">
        <v>10.95</v>
      </c>
      <c r="X4" s="21">
        <v>11</v>
      </c>
      <c r="Y4" s="21">
        <v>10.93</v>
      </c>
      <c r="Z4" s="21">
        <v>10.9</v>
      </c>
      <c r="AA4" s="21">
        <v>10.959999999999999</v>
      </c>
    </row>
    <row r="5" spans="1:34" x14ac:dyDescent="0.3">
      <c r="A5" s="124"/>
      <c r="B5" s="2" t="s">
        <v>3</v>
      </c>
      <c r="C5" s="21">
        <v>10.959999999999999</v>
      </c>
      <c r="D5" s="21">
        <v>10.98</v>
      </c>
      <c r="E5" s="21">
        <v>10.95</v>
      </c>
      <c r="F5" s="21">
        <v>10.95</v>
      </c>
      <c r="G5" s="21">
        <v>10.98</v>
      </c>
      <c r="H5" s="21">
        <v>10.98</v>
      </c>
      <c r="I5" s="21">
        <v>10.9</v>
      </c>
      <c r="J5" s="21">
        <v>10.93</v>
      </c>
      <c r="K5" s="21">
        <v>10.959999999999999</v>
      </c>
      <c r="L5" s="21">
        <v>10.959999999999999</v>
      </c>
      <c r="M5" s="21">
        <v>10.940000000000001</v>
      </c>
      <c r="N5" s="21">
        <v>10.92</v>
      </c>
      <c r="O5" s="21">
        <v>10.95</v>
      </c>
      <c r="P5" s="21">
        <v>10.92</v>
      </c>
      <c r="Q5" s="21">
        <v>10.959999999999999</v>
      </c>
      <c r="R5" s="21">
        <v>10.940000000000001</v>
      </c>
      <c r="S5" s="21">
        <v>10.99</v>
      </c>
      <c r="T5" s="21">
        <v>10.95</v>
      </c>
      <c r="U5" s="21">
        <v>10.959999999999999</v>
      </c>
      <c r="V5" s="21">
        <v>10.98</v>
      </c>
      <c r="W5" s="21">
        <v>10.959999999999999</v>
      </c>
      <c r="X5" s="21">
        <v>10.940000000000001</v>
      </c>
      <c r="Y5" s="21">
        <v>10.959999999999999</v>
      </c>
      <c r="Z5" s="21">
        <v>10.940000000000001</v>
      </c>
      <c r="AA5" s="21">
        <v>10.93</v>
      </c>
    </row>
    <row r="6" spans="1:34" x14ac:dyDescent="0.3">
      <c r="A6" s="124"/>
      <c r="B6" s="2" t="s">
        <v>4</v>
      </c>
      <c r="C6" s="21">
        <v>10.98</v>
      </c>
      <c r="D6" s="21">
        <v>10.940000000000001</v>
      </c>
      <c r="E6" s="21">
        <v>10.93</v>
      </c>
      <c r="F6" s="21">
        <v>10.93</v>
      </c>
      <c r="G6" s="21">
        <v>10.99</v>
      </c>
      <c r="H6" s="21">
        <v>10.95</v>
      </c>
      <c r="I6" s="21">
        <v>10.93</v>
      </c>
      <c r="J6" s="21">
        <v>10.959999999999999</v>
      </c>
      <c r="K6" s="21">
        <v>10.95</v>
      </c>
      <c r="L6" s="21">
        <v>10.92</v>
      </c>
      <c r="M6" s="21">
        <v>10.97</v>
      </c>
      <c r="N6" s="21">
        <v>10.98</v>
      </c>
      <c r="O6" s="21">
        <v>10.959999999999999</v>
      </c>
      <c r="P6" s="21">
        <v>10.93</v>
      </c>
      <c r="Q6" s="21">
        <v>10.91</v>
      </c>
      <c r="R6" s="21">
        <v>10.93</v>
      </c>
      <c r="S6" s="21">
        <v>10.95</v>
      </c>
      <c r="T6" s="21">
        <v>11.01</v>
      </c>
      <c r="U6" s="21">
        <v>10.959999999999999</v>
      </c>
      <c r="V6" s="21">
        <v>10.93</v>
      </c>
      <c r="W6" s="21">
        <v>10.97</v>
      </c>
      <c r="X6" s="21">
        <v>10.940000000000001</v>
      </c>
      <c r="Y6" s="21">
        <v>10.95</v>
      </c>
      <c r="Z6" s="21">
        <v>10.98</v>
      </c>
      <c r="AA6" s="21">
        <v>10.959999999999999</v>
      </c>
    </row>
    <row r="7" spans="1:34" x14ac:dyDescent="0.3">
      <c r="A7" s="125"/>
      <c r="B7" s="14" t="s">
        <v>6</v>
      </c>
      <c r="C7" s="2">
        <f>AVERAGE(C2:C6)</f>
        <v>10.947999999999999</v>
      </c>
      <c r="D7" s="2">
        <f t="shared" ref="D7:AA7" si="0">AVERAGE(D2:D6)</f>
        <v>10.95</v>
      </c>
      <c r="E7" s="2">
        <f t="shared" si="0"/>
        <v>10.940000000000001</v>
      </c>
      <c r="F7" s="2">
        <f t="shared" si="0"/>
        <v>10.938000000000001</v>
      </c>
      <c r="G7" s="2">
        <f t="shared" si="0"/>
        <v>10.974</v>
      </c>
      <c r="H7" s="2">
        <f t="shared" si="0"/>
        <v>10.943999999999999</v>
      </c>
      <c r="I7" s="2">
        <f t="shared" si="0"/>
        <v>10.936</v>
      </c>
      <c r="J7" s="2">
        <f t="shared" si="0"/>
        <v>10.943999999999999</v>
      </c>
      <c r="K7" s="2">
        <f t="shared" si="0"/>
        <v>10.95</v>
      </c>
      <c r="L7" s="2">
        <f t="shared" si="0"/>
        <v>10.934000000000001</v>
      </c>
      <c r="M7" s="2">
        <f t="shared" si="0"/>
        <v>10.953999999999999</v>
      </c>
      <c r="N7" s="2">
        <f t="shared" si="0"/>
        <v>10.95</v>
      </c>
      <c r="O7" s="2">
        <f t="shared" si="0"/>
        <v>10.96</v>
      </c>
      <c r="P7" s="2">
        <f t="shared" si="0"/>
        <v>10.938000000000001</v>
      </c>
      <c r="Q7" s="2">
        <f t="shared" si="0"/>
        <v>10.968</v>
      </c>
      <c r="R7" s="2">
        <f t="shared" si="0"/>
        <v>10.94</v>
      </c>
      <c r="S7" s="2">
        <f t="shared" si="0"/>
        <v>10.963999999999999</v>
      </c>
      <c r="T7" s="2">
        <f t="shared" si="0"/>
        <v>10.966000000000001</v>
      </c>
      <c r="U7" s="2">
        <f t="shared" si="0"/>
        <v>10.959999999999999</v>
      </c>
      <c r="V7" s="2">
        <f t="shared" si="0"/>
        <v>10.94</v>
      </c>
      <c r="W7" s="2">
        <f t="shared" si="0"/>
        <v>10.954000000000001</v>
      </c>
      <c r="X7" s="2">
        <f t="shared" si="0"/>
        <v>10.953999999999999</v>
      </c>
      <c r="Y7" s="2">
        <f t="shared" si="0"/>
        <v>10.946000000000002</v>
      </c>
      <c r="Z7" s="2">
        <f t="shared" si="0"/>
        <v>10.962</v>
      </c>
      <c r="AA7" s="2">
        <f t="shared" si="0"/>
        <v>10.942</v>
      </c>
      <c r="AB7" s="14" t="s">
        <v>13</v>
      </c>
      <c r="AC7" s="2">
        <f>AVERAGE(C7:AA7)</f>
        <v>10.950240000000001</v>
      </c>
    </row>
    <row r="8" spans="1:34" x14ac:dyDescent="0.3">
      <c r="A8" s="125"/>
      <c r="B8" s="14" t="s">
        <v>7</v>
      </c>
      <c r="C8" s="2">
        <f>MAX(C2:C6)-MIN(C2:C6)</f>
        <v>8.0000000000000071E-2</v>
      </c>
      <c r="D8" s="2">
        <f t="shared" ref="D8:AA8" si="1">MAX(D2:D6)-MIN(D2:D6)</f>
        <v>7.0000000000000284E-2</v>
      </c>
      <c r="E8" s="2">
        <f t="shared" si="1"/>
        <v>6.0000000000000497E-2</v>
      </c>
      <c r="F8" s="2">
        <f t="shared" si="1"/>
        <v>2.9999999999999361E-2</v>
      </c>
      <c r="G8" s="2">
        <f t="shared" si="1"/>
        <v>9.9999999999999645E-2</v>
      </c>
      <c r="H8" s="2">
        <f t="shared" si="1"/>
        <v>6.0000000000000497E-2</v>
      </c>
      <c r="I8" s="2">
        <f t="shared" si="1"/>
        <v>8.0000000000000071E-2</v>
      </c>
      <c r="J8" s="2">
        <f t="shared" si="1"/>
        <v>2.9999999999999361E-2</v>
      </c>
      <c r="K8" s="2">
        <f t="shared" si="1"/>
        <v>4.0000000000000924E-2</v>
      </c>
      <c r="L8" s="2">
        <f t="shared" si="1"/>
        <v>4.9999999999998934E-2</v>
      </c>
      <c r="M8" s="2">
        <f t="shared" si="1"/>
        <v>3.9999999999999147E-2</v>
      </c>
      <c r="N8" s="2">
        <f t="shared" si="1"/>
        <v>6.0000000000000497E-2</v>
      </c>
      <c r="O8" s="2">
        <f t="shared" si="1"/>
        <v>4.0000000000000924E-2</v>
      </c>
      <c r="P8" s="2">
        <f t="shared" si="1"/>
        <v>5.0000000000000711E-2</v>
      </c>
      <c r="Q8" s="2">
        <f t="shared" si="1"/>
        <v>0.10999999999999943</v>
      </c>
      <c r="R8" s="2">
        <f t="shared" si="1"/>
        <v>1.9999999999999574E-2</v>
      </c>
      <c r="S8" s="2">
        <f t="shared" si="1"/>
        <v>4.0000000000000924E-2</v>
      </c>
      <c r="T8" s="2">
        <f t="shared" si="1"/>
        <v>8.0000000000000071E-2</v>
      </c>
      <c r="U8" s="2">
        <f t="shared" si="1"/>
        <v>7.0000000000000284E-2</v>
      </c>
      <c r="V8" s="2">
        <f t="shared" si="1"/>
        <v>6.0000000000000497E-2</v>
      </c>
      <c r="W8" s="2">
        <f t="shared" si="1"/>
        <v>2.9999999999999361E-2</v>
      </c>
      <c r="X8" s="2">
        <f t="shared" si="1"/>
        <v>8.0000000000000071E-2</v>
      </c>
      <c r="Y8" s="2">
        <f t="shared" si="1"/>
        <v>2.9999999999999361E-2</v>
      </c>
      <c r="Z8" s="2">
        <f t="shared" si="1"/>
        <v>9.9999999999999645E-2</v>
      </c>
      <c r="AA8" s="2">
        <f t="shared" si="1"/>
        <v>3.9999999999999147E-2</v>
      </c>
      <c r="AB8" s="14" t="s">
        <v>14</v>
      </c>
      <c r="AC8" s="2">
        <f>AVERAGE(C8:AA8)</f>
        <v>5.7999999999999968E-2</v>
      </c>
    </row>
    <row r="9" spans="1:34" x14ac:dyDescent="0.3">
      <c r="A9" s="125"/>
      <c r="B9" s="14" t="s">
        <v>8</v>
      </c>
      <c r="C9" s="2">
        <f>STDEV(C2:C6)</f>
        <v>2.9495762407505104E-2</v>
      </c>
      <c r="D9" s="2">
        <f t="shared" ref="D9:AA9" si="2">STDEV(D2:D6)</f>
        <v>2.7386127875258372E-2</v>
      </c>
      <c r="E9" s="2">
        <f t="shared" si="2"/>
        <v>2.2360679774998015E-2</v>
      </c>
      <c r="F9" s="2">
        <f t="shared" si="2"/>
        <v>1.3038404810405088E-2</v>
      </c>
      <c r="G9" s="2">
        <f t="shared" si="2"/>
        <v>3.714835124201344E-2</v>
      </c>
      <c r="H9" s="2">
        <f t="shared" si="2"/>
        <v>2.3021728866442805E-2</v>
      </c>
      <c r="I9" s="2">
        <f t="shared" si="2"/>
        <v>3.3615472627943087E-2</v>
      </c>
      <c r="J9" s="2">
        <f t="shared" si="2"/>
        <v>1.5165750888102661E-2</v>
      </c>
      <c r="K9" s="2">
        <f t="shared" si="2"/>
        <v>1.581138830084184E-2</v>
      </c>
      <c r="L9" s="2">
        <f t="shared" si="2"/>
        <v>2.0736441353327278E-2</v>
      </c>
      <c r="M9" s="2">
        <f t="shared" si="2"/>
        <v>1.9493588689617512E-2</v>
      </c>
      <c r="N9" s="2">
        <f t="shared" si="2"/>
        <v>2.549509756796425E-2</v>
      </c>
      <c r="O9" s="2">
        <f t="shared" si="2"/>
        <v>1.7320508075689172E-2</v>
      </c>
      <c r="P9" s="2">
        <f t="shared" si="2"/>
        <v>1.9235384061671721E-2</v>
      </c>
      <c r="Q9" s="2">
        <f t="shared" si="2"/>
        <v>3.962322551231779E-2</v>
      </c>
      <c r="R9" s="2">
        <f t="shared" si="2"/>
        <v>9.9999999999997868E-3</v>
      </c>
      <c r="S9" s="2">
        <f t="shared" si="2"/>
        <v>1.6733200530682005E-2</v>
      </c>
      <c r="T9" s="2">
        <f t="shared" si="2"/>
        <v>2.9664793948382798E-2</v>
      </c>
      <c r="U9" s="2">
        <f t="shared" si="2"/>
        <v>2.5495097567964076E-2</v>
      </c>
      <c r="V9" s="2">
        <f t="shared" si="2"/>
        <v>2.5495097567964076E-2</v>
      </c>
      <c r="W9" s="2">
        <f t="shared" si="2"/>
        <v>1.1401754250991216E-2</v>
      </c>
      <c r="X9" s="2">
        <f t="shared" si="2"/>
        <v>3.1304951684996869E-2</v>
      </c>
      <c r="Y9" s="2">
        <f t="shared" si="2"/>
        <v>1.1401754250990903E-2</v>
      </c>
      <c r="Z9" s="2">
        <f t="shared" si="2"/>
        <v>4.1472882706655223E-2</v>
      </c>
      <c r="AA9" s="2">
        <f t="shared" si="2"/>
        <v>1.7888543819997885E-2</v>
      </c>
      <c r="AB9" s="14" t="s">
        <v>15</v>
      </c>
      <c r="AC9" s="2">
        <f>AVERAGE(C9:AA9)</f>
        <v>2.3192239535308922E-2</v>
      </c>
    </row>
    <row r="10" spans="1:34" x14ac:dyDescent="0.3">
      <c r="A10" s="120" t="s">
        <v>9</v>
      </c>
      <c r="B10" s="121"/>
      <c r="C10" s="126"/>
      <c r="D10" s="120" t="s">
        <v>10</v>
      </c>
      <c r="E10" s="121"/>
      <c r="F10" s="122">
        <f>STDEV(C2:AA6)</f>
        <v>2.4771992509752302E-2</v>
      </c>
      <c r="G10" s="123"/>
      <c r="H10" s="120" t="s">
        <v>11</v>
      </c>
      <c r="I10" s="121"/>
      <c r="J10" s="121"/>
      <c r="K10" s="121"/>
      <c r="L10" s="121"/>
      <c r="M10" s="122">
        <f>AC8/2.326</f>
        <v>2.4935511607910563E-2</v>
      </c>
      <c r="N10" s="123"/>
      <c r="O10" s="120" t="s">
        <v>12</v>
      </c>
      <c r="P10" s="121"/>
      <c r="Q10" s="121"/>
      <c r="R10" s="121"/>
      <c r="S10" s="121"/>
      <c r="T10" s="122">
        <f>'Xbar-R and Xbar-S'!AC9/0.94</f>
        <v>2.4672595250328642E-2</v>
      </c>
      <c r="U10" s="123"/>
      <c r="V10" s="13"/>
      <c r="W10" s="13"/>
      <c r="X10" s="13"/>
      <c r="Y10" s="13"/>
      <c r="Z10" s="13"/>
      <c r="AA10" s="13"/>
    </row>
    <row r="12" spans="1:34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28" t="s">
        <v>16</v>
      </c>
      <c r="O12" s="29"/>
      <c r="P12" s="110">
        <f>'Xbar-R and Xbar-S'!AC7+0.577*'Xbar-R and Xbar-S'!AC8</f>
        <v>10.983706000000002</v>
      </c>
      <c r="Q12" s="111"/>
      <c r="R12" s="5"/>
      <c r="S12" s="5"/>
      <c r="T12" s="5"/>
      <c r="U12" s="5"/>
      <c r="V12" s="5"/>
      <c r="W12" s="5"/>
      <c r="X12" s="5"/>
      <c r="Y12" s="5"/>
      <c r="Z12" s="5"/>
      <c r="AA12" s="5"/>
      <c r="AB12" s="15"/>
      <c r="AC12" s="15"/>
      <c r="AD12" s="28" t="s">
        <v>19</v>
      </c>
      <c r="AE12" s="29"/>
      <c r="AF12" s="29"/>
      <c r="AG12" s="110">
        <f>AC7+1.427*AC9</f>
        <v>10.983335325816887</v>
      </c>
      <c r="AH12" s="111"/>
    </row>
    <row r="13" spans="1:34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  <c r="N13" s="30" t="s">
        <v>36</v>
      </c>
      <c r="O13" s="31"/>
      <c r="P13" s="112">
        <f>AC7-0.577*AC8</f>
        <v>10.916774</v>
      </c>
      <c r="Q13" s="113"/>
      <c r="R13" s="8"/>
      <c r="S13" s="8"/>
      <c r="T13" s="8"/>
      <c r="U13" s="8"/>
      <c r="V13" s="8"/>
      <c r="W13" s="8"/>
      <c r="X13" s="8"/>
      <c r="Y13" s="8"/>
      <c r="Z13" s="8"/>
      <c r="AA13" s="8"/>
      <c r="AB13" s="16"/>
      <c r="AC13" s="16"/>
      <c r="AD13" s="30" t="s">
        <v>20</v>
      </c>
      <c r="AE13" s="31"/>
      <c r="AF13" s="31"/>
      <c r="AG13" s="112">
        <f>AC7-1.427*AC9</f>
        <v>10.917144674183115</v>
      </c>
      <c r="AH13" s="113"/>
    </row>
    <row r="14" spans="1:34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  <c r="N14" s="30"/>
      <c r="O14" s="31"/>
      <c r="P14" s="31"/>
      <c r="Q14" s="32"/>
      <c r="R14" s="7"/>
      <c r="S14" s="8"/>
      <c r="T14" s="8"/>
      <c r="U14" s="8"/>
      <c r="V14" s="8"/>
      <c r="W14" s="8"/>
      <c r="X14" s="8"/>
      <c r="Y14" s="8"/>
      <c r="Z14" s="8"/>
      <c r="AA14" s="8"/>
      <c r="AB14" s="16"/>
      <c r="AC14" s="16"/>
      <c r="AD14" s="30"/>
      <c r="AE14" s="31"/>
      <c r="AF14" s="31"/>
      <c r="AG14" s="31"/>
      <c r="AH14" s="32"/>
    </row>
    <row r="15" spans="1:34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  <c r="N15" s="30"/>
      <c r="O15" s="31"/>
      <c r="P15" s="31"/>
      <c r="Q15" s="32"/>
      <c r="R15" s="7"/>
      <c r="S15" s="8"/>
      <c r="T15" s="8"/>
      <c r="U15" s="8"/>
      <c r="V15" s="8"/>
      <c r="W15" s="8"/>
      <c r="X15" s="8"/>
      <c r="Y15" s="8"/>
      <c r="Z15" s="8"/>
      <c r="AA15" s="8"/>
      <c r="AB15" s="16"/>
      <c r="AC15" s="16"/>
      <c r="AD15" s="30"/>
      <c r="AE15" s="31"/>
      <c r="AF15" s="31"/>
      <c r="AG15" s="31"/>
      <c r="AH15" s="32"/>
    </row>
    <row r="16" spans="1:34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30"/>
      <c r="O16" s="31"/>
      <c r="P16" s="31"/>
      <c r="Q16" s="32"/>
      <c r="R16" s="7"/>
      <c r="S16" s="8"/>
      <c r="T16" s="8"/>
      <c r="U16" s="8"/>
      <c r="V16" s="8"/>
      <c r="W16" s="8"/>
      <c r="X16" s="8"/>
      <c r="Y16" s="8"/>
      <c r="Z16" s="8"/>
      <c r="AA16" s="8"/>
      <c r="AB16" s="16"/>
      <c r="AC16" s="16"/>
      <c r="AD16" s="30"/>
      <c r="AE16" s="31"/>
      <c r="AF16" s="31"/>
      <c r="AG16" s="31"/>
      <c r="AH16" s="32"/>
    </row>
    <row r="17" spans="1:34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N17" s="30"/>
      <c r="O17" s="31"/>
      <c r="P17" s="31"/>
      <c r="Q17" s="32"/>
      <c r="R17" s="7"/>
      <c r="S17" s="8"/>
      <c r="T17" s="8"/>
      <c r="U17" s="8"/>
      <c r="V17" s="8"/>
      <c r="W17" s="8"/>
      <c r="X17" s="8"/>
      <c r="Y17" s="8"/>
      <c r="Z17" s="8"/>
      <c r="AA17" s="8"/>
      <c r="AB17" s="16"/>
      <c r="AC17" s="16"/>
      <c r="AD17" s="30"/>
      <c r="AE17" s="31"/>
      <c r="AF17" s="31"/>
      <c r="AG17" s="31"/>
      <c r="AH17" s="32"/>
    </row>
    <row r="18" spans="1:34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  <c r="N18" s="30"/>
      <c r="O18" s="31"/>
      <c r="P18" s="31"/>
      <c r="Q18" s="32"/>
      <c r="R18" s="7"/>
      <c r="S18" s="8"/>
      <c r="T18" s="8"/>
      <c r="U18" s="8"/>
      <c r="V18" s="8"/>
      <c r="W18" s="8"/>
      <c r="X18" s="8"/>
      <c r="Y18" s="8"/>
      <c r="Z18" s="8"/>
      <c r="AA18" s="8"/>
      <c r="AB18" s="16"/>
      <c r="AC18" s="16"/>
      <c r="AD18" s="30"/>
      <c r="AE18" s="31"/>
      <c r="AF18" s="31"/>
      <c r="AG18" s="31"/>
      <c r="AH18" s="32"/>
    </row>
    <row r="19" spans="1:34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  <c r="N19" s="30"/>
      <c r="O19" s="31"/>
      <c r="P19" s="31"/>
      <c r="Q19" s="32"/>
      <c r="R19" s="7"/>
      <c r="S19" s="8"/>
      <c r="T19" s="8"/>
      <c r="U19" s="8"/>
      <c r="V19" s="8"/>
      <c r="W19" s="8"/>
      <c r="X19" s="8"/>
      <c r="Y19" s="8"/>
      <c r="Z19" s="8"/>
      <c r="AA19" s="8"/>
      <c r="AB19" s="16"/>
      <c r="AC19" s="16"/>
      <c r="AD19" s="30"/>
      <c r="AE19" s="31"/>
      <c r="AF19" s="31"/>
      <c r="AG19" s="31"/>
      <c r="AH19" s="32"/>
    </row>
    <row r="20" spans="1:34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  <c r="N20" s="30"/>
      <c r="O20" s="31"/>
      <c r="P20" s="31"/>
      <c r="Q20" s="32"/>
      <c r="R20" s="7"/>
      <c r="S20" s="8"/>
      <c r="T20" s="8"/>
      <c r="U20" s="8"/>
      <c r="V20" s="8"/>
      <c r="W20" s="8"/>
      <c r="X20" s="8"/>
      <c r="Y20" s="8"/>
      <c r="Z20" s="8"/>
      <c r="AA20" s="8"/>
      <c r="AB20" s="16"/>
      <c r="AC20" s="16"/>
      <c r="AD20" s="30"/>
      <c r="AE20" s="31"/>
      <c r="AF20" s="31"/>
      <c r="AG20" s="31"/>
      <c r="AH20" s="32"/>
    </row>
    <row r="21" spans="1:34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  <c r="N21" s="30"/>
      <c r="O21" s="31"/>
      <c r="P21" s="31"/>
      <c r="Q21" s="32"/>
      <c r="R21" s="7"/>
      <c r="S21" s="8"/>
      <c r="T21" s="8"/>
      <c r="U21" s="8"/>
      <c r="V21" s="8"/>
      <c r="W21" s="8"/>
      <c r="X21" s="8"/>
      <c r="Y21" s="8"/>
      <c r="Z21" s="8"/>
      <c r="AA21" s="8"/>
      <c r="AB21" s="16"/>
      <c r="AC21" s="16"/>
      <c r="AD21" s="30"/>
      <c r="AE21" s="31"/>
      <c r="AF21" s="31"/>
      <c r="AG21" s="31"/>
      <c r="AH21" s="32"/>
    </row>
    <row r="22" spans="1:34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  <c r="N22" s="33" t="s">
        <v>17</v>
      </c>
      <c r="O22" s="34"/>
      <c r="P22" s="114">
        <f>2.114*AC8</f>
        <v>0.12261199999999993</v>
      </c>
      <c r="Q22" s="115"/>
      <c r="R22" s="7"/>
      <c r="S22" s="8"/>
      <c r="T22" s="8"/>
      <c r="U22" s="8"/>
      <c r="V22" s="8"/>
      <c r="W22" s="8"/>
      <c r="X22" s="8"/>
      <c r="Y22" s="8"/>
      <c r="Z22" s="8"/>
      <c r="AA22" s="8"/>
      <c r="AB22" s="16"/>
      <c r="AC22" s="16"/>
      <c r="AD22" s="33" t="s">
        <v>40</v>
      </c>
      <c r="AE22" s="34"/>
      <c r="AF22" s="34"/>
      <c r="AG22" s="118">
        <f>2.089*AC9</f>
        <v>4.844858838926034E-2</v>
      </c>
      <c r="AH22" s="119"/>
    </row>
    <row r="23" spans="1:34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  <c r="N23" s="33"/>
      <c r="O23" s="34"/>
      <c r="P23" s="34"/>
      <c r="Q23" s="35"/>
      <c r="R23" s="7"/>
      <c r="S23" s="8"/>
      <c r="T23" s="8"/>
      <c r="U23" s="8"/>
      <c r="V23" s="8"/>
      <c r="W23" s="8"/>
      <c r="X23" s="8"/>
      <c r="Y23" s="8"/>
      <c r="Z23" s="8"/>
      <c r="AA23" s="8"/>
      <c r="AB23" s="16"/>
      <c r="AC23" s="16"/>
      <c r="AD23" s="33"/>
      <c r="AE23" s="34"/>
      <c r="AF23" s="34"/>
      <c r="AG23" s="34"/>
      <c r="AH23" s="35"/>
    </row>
    <row r="24" spans="1:34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  <c r="N24" s="33"/>
      <c r="O24" s="34"/>
      <c r="P24" s="34"/>
      <c r="Q24" s="35"/>
      <c r="R24" s="7"/>
      <c r="S24" s="8"/>
      <c r="T24" s="8"/>
      <c r="U24" s="8"/>
      <c r="V24" s="8"/>
      <c r="W24" s="8"/>
      <c r="X24" s="8"/>
      <c r="Y24" s="8"/>
      <c r="Z24" s="8"/>
      <c r="AA24" s="8"/>
      <c r="AB24" s="16"/>
      <c r="AC24" s="16"/>
      <c r="AD24" s="33"/>
      <c r="AE24" s="34"/>
      <c r="AF24" s="34"/>
      <c r="AG24" s="34"/>
      <c r="AH24" s="35"/>
    </row>
    <row r="25" spans="1:34" x14ac:dyDescent="0.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  <c r="N25" s="33"/>
      <c r="O25" s="34"/>
      <c r="P25" s="34"/>
      <c r="Q25" s="35"/>
      <c r="R25" s="7"/>
      <c r="S25" s="8"/>
      <c r="T25" s="8"/>
      <c r="U25" s="8"/>
      <c r="V25" s="8"/>
      <c r="W25" s="8"/>
      <c r="X25" s="8"/>
      <c r="Y25" s="8"/>
      <c r="Z25" s="8"/>
      <c r="AA25" s="8"/>
      <c r="AB25" s="16"/>
      <c r="AC25" s="16"/>
      <c r="AD25" s="33"/>
      <c r="AE25" s="34"/>
      <c r="AF25" s="34"/>
      <c r="AG25" s="34"/>
      <c r="AH25" s="35"/>
    </row>
    <row r="26" spans="1:34" x14ac:dyDescent="0.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  <c r="N26" s="33" t="s">
        <v>18</v>
      </c>
      <c r="O26" s="34"/>
      <c r="P26" s="116">
        <f>0*AC8</f>
        <v>0</v>
      </c>
      <c r="Q26" s="117"/>
      <c r="R26" s="7"/>
      <c r="S26" s="8"/>
      <c r="T26" s="8"/>
      <c r="U26" s="8"/>
      <c r="V26" s="8"/>
      <c r="W26" s="8"/>
      <c r="X26" s="8"/>
      <c r="Y26" s="8"/>
      <c r="Z26" s="8"/>
      <c r="AA26" s="8"/>
      <c r="AB26" s="16"/>
      <c r="AC26" s="16"/>
      <c r="AD26" s="33" t="s">
        <v>41</v>
      </c>
      <c r="AE26" s="34"/>
      <c r="AF26" s="34"/>
      <c r="AG26" s="116">
        <f>0*AC9</f>
        <v>0</v>
      </c>
      <c r="AH26" s="117"/>
    </row>
    <row r="27" spans="1:34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  <c r="N27" s="33"/>
      <c r="O27" s="34"/>
      <c r="P27" s="34"/>
      <c r="Q27" s="35"/>
      <c r="R27" s="7"/>
      <c r="S27" s="8"/>
      <c r="T27" s="8"/>
      <c r="U27" s="8"/>
      <c r="V27" s="8"/>
      <c r="W27" s="8"/>
      <c r="X27" s="8"/>
      <c r="Y27" s="8"/>
      <c r="Z27" s="8"/>
      <c r="AA27" s="8"/>
      <c r="AB27" s="16"/>
      <c r="AC27" s="16"/>
      <c r="AD27" s="36"/>
      <c r="AE27" s="37"/>
      <c r="AF27" s="37"/>
      <c r="AG27" s="37"/>
      <c r="AH27" s="38"/>
    </row>
    <row r="28" spans="1:34" x14ac:dyDescent="0.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  <c r="N28" s="33"/>
      <c r="O28" s="34"/>
      <c r="P28" s="34"/>
      <c r="Q28" s="35"/>
      <c r="R28" s="7"/>
      <c r="S28" s="8"/>
      <c r="T28" s="8"/>
      <c r="U28" s="8"/>
      <c r="V28" s="8"/>
      <c r="W28" s="8"/>
      <c r="X28" s="8"/>
      <c r="Y28" s="8"/>
      <c r="Z28" s="8"/>
      <c r="AA28" s="8"/>
      <c r="AB28" s="16"/>
      <c r="AC28" s="16"/>
      <c r="AD28" s="36"/>
      <c r="AE28" s="37"/>
      <c r="AF28" s="37"/>
      <c r="AG28" s="37"/>
      <c r="AH28" s="38"/>
    </row>
    <row r="29" spans="1:34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  <c r="N29" s="39" t="s">
        <v>23</v>
      </c>
      <c r="O29" s="40"/>
      <c r="P29" s="40"/>
      <c r="Q29" s="41"/>
      <c r="R29" s="7"/>
      <c r="S29" s="8"/>
      <c r="T29" s="8"/>
      <c r="U29" s="8"/>
      <c r="V29" s="8"/>
      <c r="W29" s="8"/>
      <c r="X29" s="8"/>
      <c r="Y29" s="8"/>
      <c r="Z29" s="8"/>
      <c r="AA29" s="8"/>
      <c r="AB29" s="16"/>
      <c r="AC29" s="16"/>
      <c r="AD29" s="39" t="s">
        <v>23</v>
      </c>
      <c r="AE29" s="40"/>
      <c r="AF29" s="40"/>
      <c r="AG29" s="40"/>
      <c r="AH29" s="44"/>
    </row>
    <row r="30" spans="1:34" x14ac:dyDescent="0.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  <c r="N30" s="42" t="s">
        <v>30</v>
      </c>
      <c r="O30" s="43"/>
      <c r="P30" s="104">
        <f>(11.1-10.9)/6/F10</f>
        <v>1.3456056601103226</v>
      </c>
      <c r="Q30" s="105"/>
      <c r="R30" s="7"/>
      <c r="S30" s="8"/>
      <c r="T30" s="8"/>
      <c r="U30" s="8"/>
      <c r="V30" s="8"/>
      <c r="W30" s="8"/>
      <c r="X30" s="8"/>
      <c r="Y30" s="8"/>
      <c r="Z30" s="8"/>
      <c r="AA30" s="8"/>
      <c r="AB30" s="16"/>
      <c r="AC30" s="16"/>
      <c r="AD30" s="42" t="s">
        <v>30</v>
      </c>
      <c r="AE30" s="43"/>
      <c r="AF30" s="104">
        <f>(11.1-10.9)/6/F10</f>
        <v>1.3456056601103226</v>
      </c>
      <c r="AG30" s="104"/>
      <c r="AH30" s="105"/>
    </row>
    <row r="31" spans="1:34" x14ac:dyDescent="0.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  <c r="N31" s="39" t="s">
        <v>24</v>
      </c>
      <c r="O31" s="40"/>
      <c r="P31" s="45"/>
      <c r="Q31" s="46"/>
      <c r="R31" s="7"/>
      <c r="S31" s="8"/>
      <c r="T31" s="8"/>
      <c r="U31" s="8"/>
      <c r="V31" s="8"/>
      <c r="W31" s="8"/>
      <c r="X31" s="8"/>
      <c r="Y31" s="8"/>
      <c r="Z31" s="8"/>
      <c r="AA31" s="8"/>
      <c r="AB31" s="16"/>
      <c r="AC31" s="16"/>
      <c r="AD31" s="39" t="s">
        <v>24</v>
      </c>
      <c r="AE31" s="40"/>
      <c r="AF31" s="45"/>
      <c r="AG31" s="45"/>
      <c r="AH31" s="49"/>
    </row>
    <row r="32" spans="1:34" x14ac:dyDescent="0.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  <c r="N32" s="42" t="s">
        <v>25</v>
      </c>
      <c r="O32" s="43"/>
      <c r="P32" s="104">
        <f>(AC7-10.9)/3/F10</f>
        <v>0.67603228363943535</v>
      </c>
      <c r="Q32" s="105"/>
      <c r="R32" s="7"/>
      <c r="S32" s="8"/>
      <c r="T32" s="8"/>
      <c r="U32" s="8"/>
      <c r="V32" s="8"/>
      <c r="W32" s="8"/>
      <c r="X32" s="8"/>
      <c r="Y32" s="8"/>
      <c r="Z32" s="8"/>
      <c r="AA32" s="8"/>
      <c r="AB32" s="16"/>
      <c r="AC32" s="16"/>
      <c r="AD32" s="42" t="s">
        <v>25</v>
      </c>
      <c r="AE32" s="43"/>
      <c r="AF32" s="104">
        <f>(AC7-10.9)/3/F10</f>
        <v>0.67603228363943535</v>
      </c>
      <c r="AG32" s="104"/>
      <c r="AH32" s="105"/>
    </row>
    <row r="33" spans="1:34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  <c r="N33" s="39" t="s">
        <v>26</v>
      </c>
      <c r="O33" s="40"/>
      <c r="P33" s="45"/>
      <c r="Q33" s="46"/>
      <c r="R33" s="7"/>
      <c r="S33" s="8"/>
      <c r="T33" s="8"/>
      <c r="U33" s="8"/>
      <c r="V33" s="8"/>
      <c r="W33" s="8"/>
      <c r="X33" s="8"/>
      <c r="Y33" s="8"/>
      <c r="Z33" s="8"/>
      <c r="AA33" s="8"/>
      <c r="AB33" s="16"/>
      <c r="AC33" s="16"/>
      <c r="AD33" s="39" t="s">
        <v>26</v>
      </c>
      <c r="AE33" s="40"/>
      <c r="AF33" s="45"/>
      <c r="AG33" s="45"/>
      <c r="AH33" s="49"/>
    </row>
    <row r="34" spans="1:34" x14ac:dyDescent="0.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  <c r="N34" s="42" t="s">
        <v>27</v>
      </c>
      <c r="O34" s="43"/>
      <c r="P34" s="104">
        <f>(11.1-AC7)/3/F10</f>
        <v>2.0151790365812099</v>
      </c>
      <c r="Q34" s="105"/>
      <c r="R34" s="7"/>
      <c r="S34" s="8"/>
      <c r="T34" s="8"/>
      <c r="U34" s="8"/>
      <c r="V34" s="8"/>
      <c r="W34" s="8"/>
      <c r="X34" s="8"/>
      <c r="Y34" s="8"/>
      <c r="Z34" s="8"/>
      <c r="AA34" s="8"/>
      <c r="AB34" s="16"/>
      <c r="AC34" s="16"/>
      <c r="AD34" s="42" t="s">
        <v>27</v>
      </c>
      <c r="AE34" s="43"/>
      <c r="AF34" s="104">
        <f>(11.1-AC7)/3/F10</f>
        <v>2.0151790365812099</v>
      </c>
      <c r="AG34" s="104"/>
      <c r="AH34" s="105"/>
    </row>
    <row r="35" spans="1:34" x14ac:dyDescent="0.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  <c r="N35" s="39" t="s">
        <v>28</v>
      </c>
      <c r="O35" s="40"/>
      <c r="P35" s="45"/>
      <c r="Q35" s="46"/>
      <c r="R35" s="7"/>
      <c r="S35" s="8"/>
      <c r="T35" s="8"/>
      <c r="U35" s="8"/>
      <c r="V35" s="8"/>
      <c r="W35" s="8"/>
      <c r="X35" s="8"/>
      <c r="Y35" s="8"/>
      <c r="Z35" s="8"/>
      <c r="AA35" s="8"/>
      <c r="AB35" s="16"/>
      <c r="AC35" s="16"/>
      <c r="AD35" s="39" t="s">
        <v>28</v>
      </c>
      <c r="AE35" s="40"/>
      <c r="AF35" s="45"/>
      <c r="AG35" s="45"/>
      <c r="AH35" s="49"/>
    </row>
    <row r="36" spans="1:34" x14ac:dyDescent="0.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  <c r="N36" s="42" t="s">
        <v>29</v>
      </c>
      <c r="O36" s="43"/>
      <c r="P36" s="104">
        <f>MIN(P32,P34)</f>
        <v>0.67603228363943535</v>
      </c>
      <c r="Q36" s="105"/>
      <c r="R36" s="7"/>
      <c r="S36" s="8"/>
      <c r="T36" s="8"/>
      <c r="U36" s="8"/>
      <c r="V36" s="8"/>
      <c r="W36" s="8"/>
      <c r="X36" s="8"/>
      <c r="Y36" s="8"/>
      <c r="Z36" s="8"/>
      <c r="AA36" s="8"/>
      <c r="AB36" s="16"/>
      <c r="AC36" s="16"/>
      <c r="AD36" s="42" t="s">
        <v>29</v>
      </c>
      <c r="AE36" s="43"/>
      <c r="AF36" s="104">
        <f>MIN(AF32,AF34)</f>
        <v>0.67603228363943535</v>
      </c>
      <c r="AG36" s="104"/>
      <c r="AH36" s="105"/>
    </row>
    <row r="37" spans="1:34" x14ac:dyDescent="0.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  <c r="N37" s="22" t="s">
        <v>37</v>
      </c>
      <c r="O37" s="23"/>
      <c r="P37" s="47"/>
      <c r="Q37" s="48"/>
      <c r="R37" s="7"/>
      <c r="S37" s="8"/>
      <c r="T37" s="8"/>
      <c r="U37" s="8"/>
      <c r="V37" s="8"/>
      <c r="W37" s="8"/>
      <c r="X37" s="8"/>
      <c r="Y37" s="8"/>
      <c r="Z37" s="8"/>
      <c r="AA37" s="8"/>
      <c r="AB37" s="16"/>
      <c r="AC37" s="16"/>
      <c r="AD37" s="22" t="s">
        <v>37</v>
      </c>
      <c r="AE37" s="23"/>
      <c r="AF37" s="47"/>
      <c r="AG37" s="47"/>
      <c r="AH37" s="50"/>
    </row>
    <row r="38" spans="1:34" x14ac:dyDescent="0.3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9"/>
      <c r="N38" s="24" t="s">
        <v>31</v>
      </c>
      <c r="O38" s="25"/>
      <c r="P38" s="106">
        <f>(11.1-10.9)/6/M10</f>
        <v>1.3367816091953983</v>
      </c>
      <c r="Q38" s="107"/>
      <c r="R38" s="7"/>
      <c r="S38" s="8"/>
      <c r="T38" s="8"/>
      <c r="U38" s="8"/>
      <c r="V38" s="8"/>
      <c r="W38" s="8"/>
      <c r="X38" s="8"/>
      <c r="Y38" s="8"/>
      <c r="Z38" s="8"/>
      <c r="AA38" s="8"/>
      <c r="AB38" s="16"/>
      <c r="AC38" s="16"/>
      <c r="AD38" s="24" t="s">
        <v>31</v>
      </c>
      <c r="AE38" s="25"/>
      <c r="AF38" s="106">
        <f>(11.1-10.9)/6/T10</f>
        <v>1.3510266348202349</v>
      </c>
      <c r="AG38" s="106"/>
      <c r="AH38" s="107"/>
    </row>
    <row r="39" spans="1:34" x14ac:dyDescent="0.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  <c r="N39" s="22" t="s">
        <v>38</v>
      </c>
      <c r="O39" s="23"/>
      <c r="P39" s="47"/>
      <c r="Q39" s="48"/>
      <c r="R39" s="7"/>
      <c r="S39" s="8"/>
      <c r="T39" s="8"/>
      <c r="U39" s="8"/>
      <c r="V39" s="8"/>
      <c r="W39" s="8"/>
      <c r="X39" s="8"/>
      <c r="Y39" s="8"/>
      <c r="Z39" s="8"/>
      <c r="AA39" s="8"/>
      <c r="AB39" s="16"/>
      <c r="AC39" s="16"/>
      <c r="AD39" s="22" t="s">
        <v>38</v>
      </c>
      <c r="AE39" s="23"/>
      <c r="AF39" s="47"/>
      <c r="AG39" s="47"/>
      <c r="AH39" s="50"/>
    </row>
    <row r="40" spans="1:34" x14ac:dyDescent="0.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  <c r="N40" s="24" t="s">
        <v>32</v>
      </c>
      <c r="O40" s="25"/>
      <c r="P40" s="106">
        <f>(AC7-10.9)/3/M10</f>
        <v>0.67159908045977734</v>
      </c>
      <c r="Q40" s="107"/>
      <c r="R40" s="7"/>
      <c r="S40" s="8"/>
      <c r="T40" s="8"/>
      <c r="U40" s="8"/>
      <c r="V40" s="8"/>
      <c r="W40" s="8"/>
      <c r="X40" s="8"/>
      <c r="Y40" s="8"/>
      <c r="Z40" s="8"/>
      <c r="AA40" s="8"/>
      <c r="AB40" s="16"/>
      <c r="AC40" s="16"/>
      <c r="AD40" s="24" t="s">
        <v>32</v>
      </c>
      <c r="AE40" s="25"/>
      <c r="AF40" s="106">
        <f>(AC7-10.9)/3/T10</f>
        <v>0.6787557813336953</v>
      </c>
      <c r="AG40" s="106"/>
      <c r="AH40" s="107"/>
    </row>
    <row r="41" spans="1:34" x14ac:dyDescent="0.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  <c r="N41" s="22" t="s">
        <v>39</v>
      </c>
      <c r="O41" s="23"/>
      <c r="P41" s="47"/>
      <c r="Q41" s="48"/>
      <c r="R41" s="7"/>
      <c r="S41" s="8"/>
      <c r="T41" s="8"/>
      <c r="U41" s="8"/>
      <c r="V41" s="8"/>
      <c r="W41" s="8"/>
      <c r="X41" s="8"/>
      <c r="Y41" s="8"/>
      <c r="Z41" s="8"/>
      <c r="AA41" s="8"/>
      <c r="AB41" s="16"/>
      <c r="AC41" s="16"/>
      <c r="AD41" s="22" t="s">
        <v>39</v>
      </c>
      <c r="AE41" s="23"/>
      <c r="AF41" s="47"/>
      <c r="AG41" s="47"/>
      <c r="AH41" s="50"/>
    </row>
    <row r="42" spans="1:34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  <c r="N42" s="24" t="s">
        <v>33</v>
      </c>
      <c r="O42" s="25"/>
      <c r="P42" s="106">
        <f>(11.1-AC7)/3/M10</f>
        <v>2.0019641379310196</v>
      </c>
      <c r="Q42" s="107"/>
      <c r="R42" s="7"/>
      <c r="S42" s="8"/>
      <c r="T42" s="8"/>
      <c r="U42" s="8"/>
      <c r="V42" s="8"/>
      <c r="W42" s="8"/>
      <c r="X42" s="8"/>
      <c r="Y42" s="8"/>
      <c r="Z42" s="8"/>
      <c r="AA42" s="8"/>
      <c r="AB42" s="16"/>
      <c r="AC42" s="16"/>
      <c r="AD42" s="24" t="s">
        <v>33</v>
      </c>
      <c r="AE42" s="25"/>
      <c r="AF42" s="106">
        <f>(11.1-AC7)/3/T10</f>
        <v>2.0232974883067745</v>
      </c>
      <c r="AG42" s="106"/>
      <c r="AH42" s="107"/>
    </row>
    <row r="43" spans="1:34" x14ac:dyDescent="0.3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  <c r="N43" s="22" t="s">
        <v>35</v>
      </c>
      <c r="O43" s="23"/>
      <c r="P43" s="47"/>
      <c r="Q43" s="48"/>
      <c r="R43" s="7"/>
      <c r="S43" s="8"/>
      <c r="T43" s="8"/>
      <c r="U43" s="8"/>
      <c r="V43" s="8"/>
      <c r="W43" s="8"/>
      <c r="X43" s="8"/>
      <c r="Y43" s="8"/>
      <c r="Z43" s="8"/>
      <c r="AA43" s="8"/>
      <c r="AB43" s="16"/>
      <c r="AC43" s="16"/>
      <c r="AD43" s="22" t="s">
        <v>35</v>
      </c>
      <c r="AE43" s="23"/>
      <c r="AF43" s="47"/>
      <c r="AG43" s="47"/>
      <c r="AH43" s="50"/>
    </row>
    <row r="44" spans="1:34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2"/>
      <c r="N44" s="26" t="s">
        <v>34</v>
      </c>
      <c r="O44" s="27"/>
      <c r="P44" s="108">
        <f>MIN(P40,P42)</f>
        <v>0.67159908045977734</v>
      </c>
      <c r="Q44" s="109"/>
      <c r="R44" s="10"/>
      <c r="S44" s="11"/>
      <c r="T44" s="11"/>
      <c r="U44" s="11"/>
      <c r="V44" s="11"/>
      <c r="W44" s="11"/>
      <c r="X44" s="11"/>
      <c r="Y44" s="11"/>
      <c r="Z44" s="11"/>
      <c r="AA44" s="11"/>
      <c r="AB44" s="17"/>
      <c r="AC44" s="17"/>
      <c r="AD44" s="26" t="s">
        <v>34</v>
      </c>
      <c r="AE44" s="27"/>
      <c r="AF44" s="108">
        <f>MIN(AF40,AF42)</f>
        <v>0.6787557813336953</v>
      </c>
      <c r="AG44" s="108"/>
      <c r="AH44" s="109"/>
    </row>
  </sheetData>
  <mergeCells count="33">
    <mergeCell ref="H10:L10"/>
    <mergeCell ref="M10:N10"/>
    <mergeCell ref="O10:S10"/>
    <mergeCell ref="T10:U10"/>
    <mergeCell ref="A2:A6"/>
    <mergeCell ref="A7:A9"/>
    <mergeCell ref="A10:C10"/>
    <mergeCell ref="D10:E10"/>
    <mergeCell ref="F10:G10"/>
    <mergeCell ref="P12:Q12"/>
    <mergeCell ref="P13:Q13"/>
    <mergeCell ref="P22:Q22"/>
    <mergeCell ref="P26:Q26"/>
    <mergeCell ref="AG12:AH12"/>
    <mergeCell ref="AG13:AH13"/>
    <mergeCell ref="AG22:AH22"/>
    <mergeCell ref="AG26:AH26"/>
    <mergeCell ref="P42:Q42"/>
    <mergeCell ref="P44:Q44"/>
    <mergeCell ref="AF42:AH42"/>
    <mergeCell ref="AF44:AH44"/>
    <mergeCell ref="P34:Q34"/>
    <mergeCell ref="P36:Q36"/>
    <mergeCell ref="P30:Q30"/>
    <mergeCell ref="P32:Q32"/>
    <mergeCell ref="P38:Q38"/>
    <mergeCell ref="P40:Q40"/>
    <mergeCell ref="AF30:AH30"/>
    <mergeCell ref="AF32:AH32"/>
    <mergeCell ref="AF34:AH34"/>
    <mergeCell ref="AF36:AH36"/>
    <mergeCell ref="AF38:AH38"/>
    <mergeCell ref="AF40:AH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E17B-13A7-4D4B-98C2-C1CA60ECBC80}">
  <dimension ref="A1:AC39"/>
  <sheetViews>
    <sheetView zoomScale="85" zoomScaleNormal="85" workbookViewId="0">
      <selection activeCell="D5" sqref="D5:E5"/>
    </sheetView>
  </sheetViews>
  <sheetFormatPr defaultColWidth="8.77734375" defaultRowHeight="14.4" x14ac:dyDescent="0.3"/>
  <cols>
    <col min="1" max="2" width="8.77734375" style="1"/>
    <col min="3" max="27" width="5.77734375" style="1" customWidth="1"/>
    <col min="28" max="16384" width="8.77734375" style="1"/>
  </cols>
  <sheetData>
    <row r="1" spans="1:29" x14ac:dyDescent="0.3">
      <c r="A1" s="2"/>
      <c r="B1" s="2" t="s">
        <v>42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51" t="s">
        <v>21</v>
      </c>
    </row>
    <row r="2" spans="1:29" x14ac:dyDescent="0.3">
      <c r="A2" s="2" t="s">
        <v>5</v>
      </c>
      <c r="B2" s="2" t="s">
        <v>0</v>
      </c>
      <c r="C2" s="54">
        <v>10.95</v>
      </c>
      <c r="D2" s="54">
        <v>10.91</v>
      </c>
      <c r="E2" s="54">
        <v>10.97</v>
      </c>
      <c r="F2" s="54">
        <v>10.92</v>
      </c>
      <c r="G2" s="54">
        <v>11.02</v>
      </c>
      <c r="H2" s="54">
        <v>10.92</v>
      </c>
      <c r="I2" s="54">
        <v>10.98</v>
      </c>
      <c r="J2" s="54">
        <v>10.959999999999999</v>
      </c>
      <c r="K2" s="54">
        <v>10.940000000000001</v>
      </c>
      <c r="L2" s="54">
        <v>10.91</v>
      </c>
      <c r="M2" s="54">
        <v>10.940000000000001</v>
      </c>
      <c r="N2" s="54">
        <v>10.97</v>
      </c>
      <c r="O2" s="54">
        <v>10.99</v>
      </c>
      <c r="P2" s="54">
        <v>10.93</v>
      </c>
      <c r="Q2" s="54">
        <v>11.02</v>
      </c>
      <c r="R2" s="54">
        <v>10.95</v>
      </c>
      <c r="S2" s="54">
        <v>10.959999999999999</v>
      </c>
      <c r="T2" s="54">
        <v>10.97</v>
      </c>
      <c r="U2" s="54">
        <v>11</v>
      </c>
      <c r="V2" s="54">
        <v>10.95</v>
      </c>
      <c r="W2" s="54">
        <v>10.95</v>
      </c>
      <c r="X2" s="54">
        <v>10.92</v>
      </c>
      <c r="Y2" s="54">
        <v>10.95</v>
      </c>
      <c r="Z2" s="54">
        <v>11</v>
      </c>
      <c r="AA2" s="54">
        <v>10.940000000000001</v>
      </c>
      <c r="AB2" s="53" t="s">
        <v>22</v>
      </c>
    </row>
    <row r="3" spans="1:29" x14ac:dyDescent="0.3">
      <c r="B3" s="52" t="s">
        <v>43</v>
      </c>
      <c r="C3" s="2">
        <v>10.95</v>
      </c>
      <c r="D3" s="2">
        <v>10.91</v>
      </c>
      <c r="E3" s="2">
        <v>10.97</v>
      </c>
      <c r="F3" s="2">
        <v>10.92</v>
      </c>
      <c r="G3" s="2">
        <v>11.02</v>
      </c>
      <c r="H3" s="2">
        <v>10.92</v>
      </c>
      <c r="I3" s="2">
        <v>10.98</v>
      </c>
      <c r="J3" s="2">
        <v>10.959999999999999</v>
      </c>
      <c r="K3" s="2">
        <v>10.940000000000001</v>
      </c>
      <c r="L3" s="2">
        <v>10.91</v>
      </c>
      <c r="M3" s="2">
        <v>10.940000000000001</v>
      </c>
      <c r="N3" s="2">
        <v>10.97</v>
      </c>
      <c r="O3" s="2">
        <v>10.99</v>
      </c>
      <c r="P3" s="2">
        <v>10.93</v>
      </c>
      <c r="Q3" s="2">
        <v>11.02</v>
      </c>
      <c r="R3" s="2">
        <v>10.95</v>
      </c>
      <c r="S3" s="2">
        <v>10.959999999999999</v>
      </c>
      <c r="T3" s="2">
        <v>10.97</v>
      </c>
      <c r="U3" s="2">
        <v>11</v>
      </c>
      <c r="V3" s="2">
        <v>10.95</v>
      </c>
      <c r="W3" s="2">
        <v>10.95</v>
      </c>
      <c r="X3" s="2">
        <v>10.92</v>
      </c>
      <c r="Y3" s="2">
        <v>10.95</v>
      </c>
      <c r="Z3" s="2">
        <v>11</v>
      </c>
      <c r="AA3" s="2">
        <v>10.940000000000001</v>
      </c>
      <c r="AB3" s="14" t="s">
        <v>6</v>
      </c>
      <c r="AC3" s="14">
        <f>AVERAGE(C3:AA3)</f>
        <v>10.956799999999998</v>
      </c>
    </row>
    <row r="4" spans="1:29" x14ac:dyDescent="0.3">
      <c r="B4" s="52" t="s">
        <v>44</v>
      </c>
      <c r="C4" s="2"/>
      <c r="D4" s="2">
        <f>ABS(D3-C3)</f>
        <v>3.9999999999999147E-2</v>
      </c>
      <c r="E4" s="2">
        <f t="shared" ref="E4:AA4" si="0">ABS(E3-D3)</f>
        <v>6.0000000000000497E-2</v>
      </c>
      <c r="F4" s="2">
        <f t="shared" si="0"/>
        <v>5.0000000000000711E-2</v>
      </c>
      <c r="G4" s="2">
        <f t="shared" si="0"/>
        <v>9.9999999999999645E-2</v>
      </c>
      <c r="H4" s="2">
        <f t="shared" si="0"/>
        <v>9.9999999999999645E-2</v>
      </c>
      <c r="I4" s="2">
        <f t="shared" si="0"/>
        <v>6.0000000000000497E-2</v>
      </c>
      <c r="J4" s="2">
        <f t="shared" si="0"/>
        <v>2.000000000000135E-2</v>
      </c>
      <c r="K4" s="2">
        <f t="shared" si="0"/>
        <v>1.9999999999997797E-2</v>
      </c>
      <c r="L4" s="2">
        <f t="shared" si="0"/>
        <v>3.0000000000001137E-2</v>
      </c>
      <c r="M4" s="2">
        <f t="shared" si="0"/>
        <v>3.0000000000001137E-2</v>
      </c>
      <c r="N4" s="2">
        <f t="shared" si="0"/>
        <v>2.9999999999999361E-2</v>
      </c>
      <c r="O4" s="2">
        <f t="shared" si="0"/>
        <v>1.9999999999999574E-2</v>
      </c>
      <c r="P4" s="2">
        <f t="shared" si="0"/>
        <v>6.0000000000000497E-2</v>
      </c>
      <c r="Q4" s="2">
        <f t="shared" si="0"/>
        <v>8.9999999999999858E-2</v>
      </c>
      <c r="R4" s="2">
        <f t="shared" si="0"/>
        <v>7.0000000000000284E-2</v>
      </c>
      <c r="S4" s="2">
        <f t="shared" si="0"/>
        <v>9.9999999999997868E-3</v>
      </c>
      <c r="T4" s="2">
        <f t="shared" si="0"/>
        <v>1.0000000000001563E-2</v>
      </c>
      <c r="U4" s="2">
        <f t="shared" si="0"/>
        <v>2.9999999999999361E-2</v>
      </c>
      <c r="V4" s="2">
        <f t="shared" si="0"/>
        <v>5.0000000000000711E-2</v>
      </c>
      <c r="W4" s="2">
        <f t="shared" si="0"/>
        <v>0</v>
      </c>
      <c r="X4" s="2">
        <f t="shared" si="0"/>
        <v>2.9999999999999361E-2</v>
      </c>
      <c r="Y4" s="2">
        <f t="shared" si="0"/>
        <v>2.9999999999999361E-2</v>
      </c>
      <c r="Z4" s="2">
        <f t="shared" si="0"/>
        <v>5.0000000000000711E-2</v>
      </c>
      <c r="AA4" s="2">
        <f t="shared" si="0"/>
        <v>5.9999999999998721E-2</v>
      </c>
      <c r="AB4" s="14" t="s">
        <v>45</v>
      </c>
      <c r="AC4" s="14">
        <f>AVERAGE(D4:AA4)</f>
        <v>4.3750000000000032E-2</v>
      </c>
    </row>
    <row r="5" spans="1:29" x14ac:dyDescent="0.3">
      <c r="A5" s="120" t="s">
        <v>46</v>
      </c>
      <c r="B5" s="121"/>
      <c r="C5" s="126"/>
      <c r="D5" s="120" t="s">
        <v>10</v>
      </c>
      <c r="E5" s="121"/>
      <c r="F5" s="122">
        <f>STDEV(C2:AA2)</f>
        <v>3.1717503054307337E-2</v>
      </c>
      <c r="G5" s="123"/>
      <c r="H5" s="120" t="s">
        <v>47</v>
      </c>
      <c r="I5" s="121"/>
      <c r="J5" s="121"/>
      <c r="K5" s="121"/>
      <c r="L5" s="121"/>
      <c r="M5" s="122">
        <f>AC4/1.128</f>
        <v>3.8785460992907833E-2</v>
      </c>
      <c r="N5" s="123"/>
      <c r="V5" s="13"/>
      <c r="W5" s="13"/>
      <c r="X5" s="13"/>
      <c r="Y5" s="13"/>
      <c r="Z5" s="13"/>
      <c r="AA5" s="13"/>
    </row>
    <row r="7" spans="1:29" x14ac:dyDescent="0.3">
      <c r="A7" s="18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28" t="s">
        <v>48</v>
      </c>
      <c r="O7" s="29"/>
      <c r="P7" s="110">
        <f>AC3+2.66*AC4</f>
        <v>11.073174999999997</v>
      </c>
      <c r="Q7" s="111"/>
    </row>
    <row r="8" spans="1:29" x14ac:dyDescent="0.3">
      <c r="A8" s="1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30" t="s">
        <v>36</v>
      </c>
      <c r="O8" s="31"/>
      <c r="P8" s="112">
        <f>AC3-2.66*AC4</f>
        <v>10.840424999999998</v>
      </c>
      <c r="Q8" s="113"/>
    </row>
    <row r="9" spans="1:29" x14ac:dyDescent="0.3">
      <c r="A9" s="19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0"/>
      <c r="O9" s="31"/>
      <c r="P9" s="31"/>
      <c r="Q9" s="32"/>
    </row>
    <row r="10" spans="1:29" x14ac:dyDescent="0.3">
      <c r="A10" s="19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0"/>
      <c r="O10" s="31"/>
      <c r="P10" s="31"/>
      <c r="Q10" s="32"/>
    </row>
    <row r="11" spans="1:29" x14ac:dyDescent="0.3">
      <c r="A11" s="1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0"/>
      <c r="O11" s="31"/>
      <c r="P11" s="31"/>
      <c r="Q11" s="32"/>
    </row>
    <row r="12" spans="1:29" x14ac:dyDescent="0.3">
      <c r="A12" s="19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0"/>
      <c r="O12" s="31"/>
      <c r="P12" s="31"/>
      <c r="Q12" s="32"/>
    </row>
    <row r="13" spans="1:29" x14ac:dyDescent="0.3">
      <c r="A13" s="19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0"/>
      <c r="O13" s="31"/>
      <c r="P13" s="31"/>
      <c r="Q13" s="32"/>
    </row>
    <row r="14" spans="1:29" x14ac:dyDescent="0.3">
      <c r="A14" s="19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0"/>
      <c r="O14" s="31"/>
      <c r="P14" s="31"/>
      <c r="Q14" s="32"/>
    </row>
    <row r="15" spans="1:29" x14ac:dyDescent="0.3">
      <c r="A15" s="19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0"/>
      <c r="O15" s="31"/>
      <c r="P15" s="31"/>
      <c r="Q15" s="32"/>
    </row>
    <row r="16" spans="1:29" x14ac:dyDescent="0.3">
      <c r="A16" s="19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30"/>
      <c r="O16" s="31"/>
      <c r="P16" s="31"/>
      <c r="Q16" s="32"/>
    </row>
    <row r="17" spans="1:17" x14ac:dyDescent="0.3">
      <c r="A17" s="19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17</v>
      </c>
      <c r="O17" s="34"/>
      <c r="P17" s="114">
        <f>3.267*AC4</f>
        <v>0.14293125000000009</v>
      </c>
      <c r="Q17" s="115"/>
    </row>
    <row r="18" spans="1:17" x14ac:dyDescent="0.3">
      <c r="A18" s="19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33"/>
      <c r="O18" s="34"/>
      <c r="P18" s="34"/>
      <c r="Q18" s="35"/>
    </row>
    <row r="19" spans="1:17" x14ac:dyDescent="0.3">
      <c r="A19" s="19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33"/>
      <c r="O19" s="34"/>
      <c r="P19" s="34"/>
      <c r="Q19" s="35"/>
    </row>
    <row r="20" spans="1:17" x14ac:dyDescent="0.3">
      <c r="A20" s="19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3"/>
      <c r="O20" s="34"/>
      <c r="P20" s="34"/>
      <c r="Q20" s="35"/>
    </row>
    <row r="21" spans="1:17" x14ac:dyDescent="0.3">
      <c r="A21" s="19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3" t="s">
        <v>18</v>
      </c>
      <c r="O21" s="34"/>
      <c r="P21" s="116">
        <f>0*AC4</f>
        <v>0</v>
      </c>
      <c r="Q21" s="117"/>
    </row>
    <row r="22" spans="1:17" x14ac:dyDescent="0.3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33"/>
      <c r="O22" s="34"/>
      <c r="P22" s="34"/>
      <c r="Q22" s="35"/>
    </row>
    <row r="23" spans="1:17" x14ac:dyDescent="0.3">
      <c r="A23" s="19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3"/>
      <c r="O23" s="34"/>
      <c r="P23" s="34"/>
      <c r="Q23" s="35"/>
    </row>
    <row r="24" spans="1:17" x14ac:dyDescent="0.3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9" t="s">
        <v>23</v>
      </c>
      <c r="O24" s="40"/>
      <c r="P24" s="40"/>
      <c r="Q24" s="41"/>
    </row>
    <row r="25" spans="1:17" x14ac:dyDescent="0.3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42" t="s">
        <v>30</v>
      </c>
      <c r="O25" s="43"/>
      <c r="P25" s="104">
        <f>(11.1-10.9)/6/F5</f>
        <v>1.0509444351990516</v>
      </c>
      <c r="Q25" s="105"/>
    </row>
    <row r="26" spans="1:17" x14ac:dyDescent="0.3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39" t="s">
        <v>24</v>
      </c>
      <c r="O26" s="40"/>
      <c r="P26" s="45"/>
      <c r="Q26" s="46"/>
    </row>
    <row r="27" spans="1:17" x14ac:dyDescent="0.3">
      <c r="A27" s="19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42" t="s">
        <v>25</v>
      </c>
      <c r="O27" s="43"/>
      <c r="P27" s="104">
        <f>(AC3-10.9)/3/F5</f>
        <v>0.59693643919303496</v>
      </c>
      <c r="Q27" s="105"/>
    </row>
    <row r="28" spans="1:17" x14ac:dyDescent="0.3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9" t="s">
        <v>26</v>
      </c>
      <c r="O28" s="40"/>
      <c r="P28" s="45"/>
      <c r="Q28" s="46"/>
    </row>
    <row r="29" spans="1:17" x14ac:dyDescent="0.3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42" t="s">
        <v>27</v>
      </c>
      <c r="O29" s="43"/>
      <c r="P29" s="104">
        <f>(11.1-AC3)/3/F5</f>
        <v>1.5049524312050679</v>
      </c>
      <c r="Q29" s="105"/>
    </row>
    <row r="30" spans="1:17" x14ac:dyDescent="0.3">
      <c r="A30" s="19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9" t="s">
        <v>28</v>
      </c>
      <c r="O30" s="40"/>
      <c r="P30" s="45"/>
      <c r="Q30" s="46"/>
    </row>
    <row r="31" spans="1:17" x14ac:dyDescent="0.3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42" t="s">
        <v>29</v>
      </c>
      <c r="O31" s="43"/>
      <c r="P31" s="104">
        <f>MIN(P27,P29)</f>
        <v>0.59693643919303496</v>
      </c>
      <c r="Q31" s="105"/>
    </row>
    <row r="32" spans="1:17" x14ac:dyDescent="0.3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22" t="s">
        <v>37</v>
      </c>
      <c r="O32" s="23"/>
      <c r="P32" s="47"/>
      <c r="Q32" s="48"/>
    </row>
    <row r="33" spans="1:17" x14ac:dyDescent="0.3">
      <c r="A33" s="19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24" t="s">
        <v>31</v>
      </c>
      <c r="O33" s="25"/>
      <c r="P33" s="106">
        <f>(11.1-10.9)/6/M5</f>
        <v>0.85942857142856766</v>
      </c>
      <c r="Q33" s="107"/>
    </row>
    <row r="34" spans="1:17" x14ac:dyDescent="0.3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22" t="s">
        <v>38</v>
      </c>
      <c r="O34" s="23"/>
      <c r="P34" s="47"/>
      <c r="Q34" s="48"/>
    </row>
    <row r="35" spans="1:17" x14ac:dyDescent="0.3">
      <c r="A35" s="19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24" t="s">
        <v>32</v>
      </c>
      <c r="O35" s="25"/>
      <c r="P35" s="106">
        <f>(AC3-10.9)/3/M5</f>
        <v>0.48815542857140493</v>
      </c>
      <c r="Q35" s="107"/>
    </row>
    <row r="36" spans="1:17" x14ac:dyDescent="0.3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22" t="s">
        <v>39</v>
      </c>
      <c r="O36" s="23"/>
      <c r="P36" s="47"/>
      <c r="Q36" s="48"/>
    </row>
    <row r="37" spans="1:17" x14ac:dyDescent="0.3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24" t="s">
        <v>33</v>
      </c>
      <c r="O37" s="25"/>
      <c r="P37" s="106">
        <f>(11.1-AC3)/3/M5</f>
        <v>1.2307017142857304</v>
      </c>
      <c r="Q37" s="107"/>
    </row>
    <row r="38" spans="1:17" x14ac:dyDescent="0.3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22" t="s">
        <v>35</v>
      </c>
      <c r="O38" s="23"/>
      <c r="P38" s="47"/>
      <c r="Q38" s="48"/>
    </row>
    <row r="39" spans="1:17" x14ac:dyDescent="0.3">
      <c r="A39" s="2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26" t="s">
        <v>34</v>
      </c>
      <c r="O39" s="27"/>
      <c r="P39" s="108">
        <f>MIN(P35,P37)</f>
        <v>0.48815542857140493</v>
      </c>
      <c r="Q39" s="109"/>
    </row>
  </sheetData>
  <mergeCells count="17">
    <mergeCell ref="P17:Q17"/>
    <mergeCell ref="P21:Q21"/>
    <mergeCell ref="P25:Q25"/>
    <mergeCell ref="P39:Q39"/>
    <mergeCell ref="A5:C5"/>
    <mergeCell ref="D5:E5"/>
    <mergeCell ref="F5:G5"/>
    <mergeCell ref="H5:L5"/>
    <mergeCell ref="M5:N5"/>
    <mergeCell ref="P27:Q27"/>
    <mergeCell ref="P29:Q29"/>
    <mergeCell ref="P31:Q31"/>
    <mergeCell ref="P33:Q33"/>
    <mergeCell ref="P35:Q35"/>
    <mergeCell ref="P37:Q37"/>
    <mergeCell ref="P7:Q7"/>
    <mergeCell ref="P8:Q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CEA2-52C4-4DE7-AE6E-8AA20B84813C}">
  <dimension ref="A1:Y21"/>
  <sheetViews>
    <sheetView zoomScale="85" zoomScaleNormal="85" workbookViewId="0"/>
  </sheetViews>
  <sheetFormatPr defaultColWidth="8.77734375" defaultRowHeight="14.4" x14ac:dyDescent="0.3"/>
  <cols>
    <col min="1" max="1" width="8.77734375" style="1"/>
    <col min="2" max="2" width="10" style="1" bestFit="1" customWidth="1"/>
    <col min="3" max="22" width="6.88671875" style="1" customWidth="1"/>
    <col min="23" max="16384" width="8.77734375" style="1"/>
  </cols>
  <sheetData>
    <row r="1" spans="1:25" x14ac:dyDescent="0.3">
      <c r="A1" s="2"/>
      <c r="B1" s="2" t="s">
        <v>42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</row>
    <row r="2" spans="1:25" x14ac:dyDescent="0.3">
      <c r="A2" s="2" t="s">
        <v>5</v>
      </c>
      <c r="B2" s="2" t="s">
        <v>49</v>
      </c>
      <c r="C2" s="54">
        <v>6.2</v>
      </c>
      <c r="D2" s="54">
        <v>6.21</v>
      </c>
      <c r="E2" s="54">
        <v>6.15</v>
      </c>
      <c r="F2" s="54">
        <v>6.15</v>
      </c>
      <c r="G2" s="54">
        <v>6.15</v>
      </c>
      <c r="H2" s="54">
        <v>5.86</v>
      </c>
      <c r="I2" s="54">
        <v>5.87</v>
      </c>
      <c r="J2" s="54">
        <v>6.12</v>
      </c>
      <c r="K2" s="54">
        <v>6.12</v>
      </c>
      <c r="L2" s="54">
        <v>6.14</v>
      </c>
      <c r="M2" s="54">
        <v>6</v>
      </c>
      <c r="N2" s="54">
        <v>6.18</v>
      </c>
      <c r="O2" s="54">
        <v>6.02</v>
      </c>
      <c r="P2" s="54">
        <v>6.21</v>
      </c>
      <c r="Q2" s="54">
        <v>6.09</v>
      </c>
      <c r="R2" s="54">
        <v>6.17</v>
      </c>
      <c r="S2" s="54">
        <v>6.21</v>
      </c>
      <c r="T2" s="54">
        <v>6.03</v>
      </c>
      <c r="U2" s="54">
        <v>6</v>
      </c>
      <c r="V2" s="54">
        <v>6.18</v>
      </c>
      <c r="W2" s="14" t="s">
        <v>6</v>
      </c>
      <c r="X2" s="14">
        <f>AVERAGE(C2:V2)</f>
        <v>6.1029999999999998</v>
      </c>
    </row>
    <row r="3" spans="1:25" x14ac:dyDescent="0.3">
      <c r="A3" s="120" t="s">
        <v>46</v>
      </c>
      <c r="B3" s="121"/>
      <c r="C3" s="126"/>
      <c r="D3" s="120" t="s">
        <v>10</v>
      </c>
      <c r="E3" s="121"/>
      <c r="F3" s="122">
        <f>STDEV(C2:V2)</f>
        <v>0.10652896813839684</v>
      </c>
      <c r="G3" s="123"/>
      <c r="H3" s="56" t="s">
        <v>50</v>
      </c>
      <c r="I3" s="140">
        <f>F3</f>
        <v>0.10652896813839684</v>
      </c>
      <c r="J3" s="141"/>
      <c r="K3" s="57" t="s">
        <v>51</v>
      </c>
      <c r="L3" s="142">
        <f>F3*2</f>
        <v>0.21305793627679367</v>
      </c>
      <c r="M3" s="143"/>
      <c r="N3" s="58" t="s">
        <v>52</v>
      </c>
      <c r="O3" s="144">
        <f>F3*3</f>
        <v>0.3195869044151905</v>
      </c>
      <c r="P3" s="145"/>
      <c r="Q3" s="127" t="s">
        <v>81</v>
      </c>
      <c r="R3" s="128"/>
      <c r="S3" s="129">
        <f>AVERAGE(D4:V4)/1.128</f>
        <v>9.0518850317282504E-2</v>
      </c>
      <c r="T3" s="130"/>
      <c r="V3" s="13"/>
      <c r="W3" s="51" t="s">
        <v>79</v>
      </c>
    </row>
    <row r="4" spans="1:25" x14ac:dyDescent="0.3">
      <c r="D4" s="75">
        <f>ABS(D2-C2)</f>
        <v>9.9999999999997868E-3</v>
      </c>
      <c r="E4" s="75">
        <f t="shared" ref="E4:V4" si="0">ABS(E2-D2)</f>
        <v>5.9999999999999609E-2</v>
      </c>
      <c r="F4" s="75">
        <f t="shared" si="0"/>
        <v>0</v>
      </c>
      <c r="G4" s="75">
        <f t="shared" si="0"/>
        <v>0</v>
      </c>
      <c r="H4" s="75">
        <f t="shared" si="0"/>
        <v>0.29000000000000004</v>
      </c>
      <c r="I4" s="75">
        <f t="shared" si="0"/>
        <v>9.9999999999997868E-3</v>
      </c>
      <c r="J4" s="75">
        <f t="shared" si="0"/>
        <v>0.25</v>
      </c>
      <c r="K4" s="75">
        <f t="shared" si="0"/>
        <v>0</v>
      </c>
      <c r="L4" s="75">
        <f t="shared" si="0"/>
        <v>1.9999999999999574E-2</v>
      </c>
      <c r="M4" s="75">
        <f t="shared" si="0"/>
        <v>0.13999999999999968</v>
      </c>
      <c r="N4" s="75">
        <f t="shared" si="0"/>
        <v>0.17999999999999972</v>
      </c>
      <c r="O4" s="75">
        <f t="shared" si="0"/>
        <v>0.16000000000000014</v>
      </c>
      <c r="P4" s="75">
        <f t="shared" si="0"/>
        <v>0.19000000000000039</v>
      </c>
      <c r="Q4" s="75">
        <f t="shared" si="0"/>
        <v>0.12000000000000011</v>
      </c>
      <c r="R4" s="75">
        <f t="shared" si="0"/>
        <v>8.0000000000000071E-2</v>
      </c>
      <c r="S4" s="75">
        <f t="shared" si="0"/>
        <v>4.0000000000000036E-2</v>
      </c>
      <c r="T4" s="75">
        <f t="shared" si="0"/>
        <v>0.17999999999999972</v>
      </c>
      <c r="U4" s="75">
        <f t="shared" si="0"/>
        <v>3.0000000000000249E-2</v>
      </c>
      <c r="V4" s="75">
        <f t="shared" si="0"/>
        <v>0.17999999999999972</v>
      </c>
      <c r="W4" s="51" t="s">
        <v>80</v>
      </c>
    </row>
    <row r="6" spans="1:25" x14ac:dyDescent="0.3">
      <c r="A6" s="61" t="s">
        <v>53</v>
      </c>
      <c r="B6" s="62">
        <f>X2</f>
        <v>6.1029999999999998</v>
      </c>
      <c r="Q6" s="67" t="s">
        <v>60</v>
      </c>
      <c r="R6" s="68" t="s">
        <v>61</v>
      </c>
      <c r="S6" s="68"/>
      <c r="T6" s="68"/>
      <c r="U6" s="59"/>
      <c r="V6" s="76" t="s">
        <v>23</v>
      </c>
      <c r="W6" s="77"/>
      <c r="X6" s="77"/>
      <c r="Y6" s="78"/>
    </row>
    <row r="7" spans="1:25" x14ac:dyDescent="0.3">
      <c r="A7" s="63" t="s">
        <v>54</v>
      </c>
      <c r="B7" s="64">
        <f>B6+1*F3</f>
        <v>6.2095289681383967</v>
      </c>
      <c r="Q7" s="69" t="s">
        <v>62</v>
      </c>
      <c r="R7" s="70" t="s">
        <v>71</v>
      </c>
      <c r="S7" s="70"/>
      <c r="T7" s="70"/>
      <c r="U7" s="60"/>
      <c r="V7" s="42" t="s">
        <v>30</v>
      </c>
      <c r="W7" s="43"/>
      <c r="X7" s="104">
        <f>(6.5-5.5)/6/F3</f>
        <v>1.5645196755322184</v>
      </c>
      <c r="Y7" s="105"/>
    </row>
    <row r="8" spans="1:25" x14ac:dyDescent="0.3">
      <c r="A8" s="63" t="s">
        <v>55</v>
      </c>
      <c r="B8" s="64">
        <f>X2+L3</f>
        <v>6.3160579362767937</v>
      </c>
      <c r="Q8" s="69" t="s">
        <v>63</v>
      </c>
      <c r="R8" s="70" t="s">
        <v>72</v>
      </c>
      <c r="S8" s="70"/>
      <c r="T8" s="70"/>
      <c r="U8" s="60"/>
      <c r="V8" s="39" t="s">
        <v>24</v>
      </c>
      <c r="W8" s="40"/>
      <c r="X8" s="45"/>
      <c r="Y8" s="46"/>
    </row>
    <row r="9" spans="1:25" x14ac:dyDescent="0.3">
      <c r="A9" s="63" t="s">
        <v>56</v>
      </c>
      <c r="B9" s="64">
        <f>X2+O3</f>
        <v>6.4225869044151906</v>
      </c>
      <c r="Q9" s="69" t="s">
        <v>64</v>
      </c>
      <c r="R9" s="70" t="s">
        <v>73</v>
      </c>
      <c r="S9" s="70"/>
      <c r="T9" s="70"/>
      <c r="U9" s="60"/>
      <c r="V9" s="42" t="s">
        <v>25</v>
      </c>
      <c r="W9" s="43"/>
      <c r="X9" s="104">
        <f>(X2-5.5)/3/F3</f>
        <v>1.886810728691855</v>
      </c>
      <c r="Y9" s="105"/>
    </row>
    <row r="10" spans="1:25" x14ac:dyDescent="0.3">
      <c r="A10" s="63" t="s">
        <v>57</v>
      </c>
      <c r="B10" s="64">
        <f>X2-I3</f>
        <v>5.9964710318616028</v>
      </c>
      <c r="Q10" s="69" t="s">
        <v>65</v>
      </c>
      <c r="R10" s="70" t="s">
        <v>74</v>
      </c>
      <c r="S10" s="70"/>
      <c r="T10" s="70"/>
      <c r="U10" s="60"/>
      <c r="V10" s="39" t="s">
        <v>26</v>
      </c>
      <c r="W10" s="40"/>
      <c r="X10" s="45"/>
      <c r="Y10" s="46"/>
    </row>
    <row r="11" spans="1:25" x14ac:dyDescent="0.3">
      <c r="A11" s="63" t="s">
        <v>58</v>
      </c>
      <c r="B11" s="64">
        <f>X2-L3</f>
        <v>5.8899420637232058</v>
      </c>
      <c r="Q11" s="69" t="s">
        <v>66</v>
      </c>
      <c r="R11" s="70" t="s">
        <v>75</v>
      </c>
      <c r="S11" s="70"/>
      <c r="T11" s="70"/>
      <c r="U11" s="60"/>
      <c r="V11" s="42" t="s">
        <v>27</v>
      </c>
      <c r="W11" s="43"/>
      <c r="X11" s="104">
        <f>(6.5-X2)/3/F3</f>
        <v>1.2422286223725822</v>
      </c>
      <c r="Y11" s="105"/>
    </row>
    <row r="12" spans="1:25" x14ac:dyDescent="0.3">
      <c r="A12" s="65" t="s">
        <v>59</v>
      </c>
      <c r="B12" s="66">
        <f>X2-O3</f>
        <v>5.7834130955848089</v>
      </c>
      <c r="Q12" s="69" t="s">
        <v>67</v>
      </c>
      <c r="R12" s="70" t="s">
        <v>76</v>
      </c>
      <c r="S12" s="70"/>
      <c r="T12" s="70"/>
      <c r="U12" s="60"/>
      <c r="V12" s="39" t="s">
        <v>28</v>
      </c>
      <c r="W12" s="40"/>
      <c r="X12" s="45"/>
      <c r="Y12" s="46"/>
    </row>
    <row r="13" spans="1:25" x14ac:dyDescent="0.3">
      <c r="Q13" s="69" t="s">
        <v>68</v>
      </c>
      <c r="R13" s="70" t="s">
        <v>77</v>
      </c>
      <c r="S13" s="70"/>
      <c r="T13" s="70"/>
      <c r="U13" s="60"/>
      <c r="V13" s="42" t="s">
        <v>29</v>
      </c>
      <c r="W13" s="43"/>
      <c r="X13" s="104">
        <f>MIN(X9,X11)</f>
        <v>1.2422286223725822</v>
      </c>
      <c r="Y13" s="105"/>
    </row>
    <row r="14" spans="1:25" x14ac:dyDescent="0.3">
      <c r="Q14" s="69" t="s">
        <v>69</v>
      </c>
      <c r="R14" s="70" t="s">
        <v>78</v>
      </c>
      <c r="S14" s="70"/>
      <c r="T14" s="70"/>
      <c r="U14" s="60"/>
      <c r="V14" s="22" t="s">
        <v>82</v>
      </c>
      <c r="W14" s="23"/>
      <c r="X14" s="47"/>
      <c r="Y14" s="48"/>
    </row>
    <row r="15" spans="1:25" x14ac:dyDescent="0.3">
      <c r="Q15" s="71" t="s">
        <v>70</v>
      </c>
      <c r="R15" s="72"/>
      <c r="S15" s="72"/>
      <c r="T15" s="72"/>
      <c r="U15" s="73"/>
      <c r="V15" s="24" t="s">
        <v>31</v>
      </c>
      <c r="W15" s="25"/>
      <c r="X15" s="106">
        <f>(6.5-5.5)/6/S3</f>
        <v>1.8412371134020631</v>
      </c>
      <c r="Y15" s="107"/>
    </row>
    <row r="16" spans="1:25" x14ac:dyDescent="0.3">
      <c r="Q16" s="131" t="s">
        <v>86</v>
      </c>
      <c r="R16" s="132"/>
      <c r="S16" s="132"/>
      <c r="T16" s="132"/>
      <c r="U16" s="133"/>
      <c r="V16" s="22" t="s">
        <v>83</v>
      </c>
      <c r="W16" s="23"/>
      <c r="X16" s="47"/>
      <c r="Y16" s="48"/>
    </row>
    <row r="17" spans="2:25" x14ac:dyDescent="0.3">
      <c r="B17" s="55"/>
      <c r="Q17" s="134"/>
      <c r="R17" s="135"/>
      <c r="S17" s="135"/>
      <c r="T17" s="135"/>
      <c r="U17" s="136"/>
      <c r="V17" s="24" t="s">
        <v>32</v>
      </c>
      <c r="W17" s="25"/>
      <c r="X17" s="106">
        <f>(X2-5.5)/3/S3</f>
        <v>2.2205319587628876</v>
      </c>
      <c r="Y17" s="107"/>
    </row>
    <row r="18" spans="2:25" x14ac:dyDescent="0.3">
      <c r="Q18" s="134"/>
      <c r="R18" s="135"/>
      <c r="S18" s="135"/>
      <c r="T18" s="135"/>
      <c r="U18" s="136"/>
      <c r="V18" s="22" t="s">
        <v>84</v>
      </c>
      <c r="W18" s="23"/>
      <c r="X18" s="47"/>
      <c r="Y18" s="48"/>
    </row>
    <row r="19" spans="2:25" x14ac:dyDescent="0.3">
      <c r="Q19" s="134"/>
      <c r="R19" s="135"/>
      <c r="S19" s="135"/>
      <c r="T19" s="135"/>
      <c r="U19" s="136"/>
      <c r="V19" s="24" t="s">
        <v>33</v>
      </c>
      <c r="W19" s="25"/>
      <c r="X19" s="106">
        <f>(6.5-X2)/3/S3</f>
        <v>1.4619422680412391</v>
      </c>
      <c r="Y19" s="107"/>
    </row>
    <row r="20" spans="2:25" x14ac:dyDescent="0.3">
      <c r="Q20" s="134"/>
      <c r="R20" s="135"/>
      <c r="S20" s="135"/>
      <c r="T20" s="135"/>
      <c r="U20" s="136"/>
      <c r="V20" s="22" t="s">
        <v>85</v>
      </c>
      <c r="W20" s="23"/>
      <c r="X20" s="47"/>
      <c r="Y20" s="48"/>
    </row>
    <row r="21" spans="2:25" x14ac:dyDescent="0.3">
      <c r="Q21" s="137"/>
      <c r="R21" s="138"/>
      <c r="S21" s="138"/>
      <c r="T21" s="138"/>
      <c r="U21" s="139"/>
      <c r="V21" s="26" t="s">
        <v>34</v>
      </c>
      <c r="W21" s="27"/>
      <c r="X21" s="108">
        <f>MIN(X17,X19)</f>
        <v>1.4619422680412391</v>
      </c>
      <c r="Y21" s="109"/>
    </row>
  </sheetData>
  <mergeCells count="17">
    <mergeCell ref="O3:P3"/>
    <mergeCell ref="A3:C3"/>
    <mergeCell ref="D3:E3"/>
    <mergeCell ref="F3:G3"/>
    <mergeCell ref="X19:Y19"/>
    <mergeCell ref="X21:Y21"/>
    <mergeCell ref="X7:Y7"/>
    <mergeCell ref="X9:Y9"/>
    <mergeCell ref="X11:Y11"/>
    <mergeCell ref="X13:Y13"/>
    <mergeCell ref="X15:Y15"/>
    <mergeCell ref="X17:Y17"/>
    <mergeCell ref="Q3:R3"/>
    <mergeCell ref="S3:T3"/>
    <mergeCell ref="Q16:U21"/>
    <mergeCell ref="I3:J3"/>
    <mergeCell ref="L3:M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BB31-5F3B-4977-8DD4-B979299A838D}">
  <dimension ref="A1:AD58"/>
  <sheetViews>
    <sheetView zoomScale="70" zoomScaleNormal="70" workbookViewId="0"/>
  </sheetViews>
  <sheetFormatPr defaultColWidth="8.77734375" defaultRowHeight="14.4" x14ac:dyDescent="0.3"/>
  <cols>
    <col min="1" max="1" width="8.77734375" style="1"/>
    <col min="2" max="26" width="7.44140625" style="1" customWidth="1"/>
    <col min="27" max="16384" width="8.77734375" style="1"/>
  </cols>
  <sheetData>
    <row r="1" spans="1:30" x14ac:dyDescent="0.3">
      <c r="A1" s="79" t="s">
        <v>115</v>
      </c>
      <c r="B1" s="79">
        <v>1</v>
      </c>
      <c r="C1" s="79">
        <v>2</v>
      </c>
      <c r="D1" s="79">
        <v>3</v>
      </c>
      <c r="E1" s="79">
        <v>4</v>
      </c>
      <c r="F1" s="79">
        <v>5</v>
      </c>
      <c r="G1" s="79">
        <v>6</v>
      </c>
      <c r="H1" s="79">
        <v>7</v>
      </c>
      <c r="I1" s="79">
        <v>8</v>
      </c>
      <c r="J1" s="79">
        <v>9</v>
      </c>
      <c r="K1" s="79">
        <v>10</v>
      </c>
      <c r="L1" s="79">
        <v>11</v>
      </c>
      <c r="M1" s="79">
        <v>12</v>
      </c>
      <c r="N1" s="79">
        <v>13</v>
      </c>
      <c r="O1" s="79">
        <v>14</v>
      </c>
      <c r="P1" s="79">
        <v>15</v>
      </c>
      <c r="Q1" s="79">
        <v>16</v>
      </c>
      <c r="R1" s="79">
        <v>17</v>
      </c>
      <c r="S1" s="79">
        <v>18</v>
      </c>
      <c r="T1" s="79">
        <v>19</v>
      </c>
      <c r="U1" s="79">
        <v>20</v>
      </c>
      <c r="V1" s="79">
        <v>21</v>
      </c>
      <c r="W1" s="79">
        <v>22</v>
      </c>
      <c r="X1" s="79">
        <v>23</v>
      </c>
      <c r="Y1" s="79">
        <v>24</v>
      </c>
      <c r="Z1" s="79">
        <v>25</v>
      </c>
    </row>
    <row r="2" spans="1:30" x14ac:dyDescent="0.3">
      <c r="A2" s="79" t="s">
        <v>116</v>
      </c>
      <c r="B2" s="79">
        <v>4355</v>
      </c>
      <c r="C2" s="79">
        <v>4536</v>
      </c>
      <c r="D2" s="79">
        <v>4669</v>
      </c>
      <c r="E2" s="79">
        <v>4437</v>
      </c>
      <c r="F2" s="79">
        <v>4480</v>
      </c>
      <c r="G2" s="79">
        <v>4317</v>
      </c>
      <c r="H2" s="79">
        <v>4329</v>
      </c>
      <c r="I2" s="79">
        <v>4446</v>
      </c>
      <c r="J2" s="79">
        <v>4549</v>
      </c>
      <c r="K2" s="79">
        <v>4631</v>
      </c>
      <c r="L2" s="79">
        <v>4447</v>
      </c>
      <c r="M2" s="79">
        <v>4653</v>
      </c>
      <c r="N2" s="79">
        <v>4415</v>
      </c>
      <c r="O2" s="79">
        <v>4658</v>
      </c>
      <c r="P2" s="79">
        <v>4468</v>
      </c>
      <c r="Q2" s="79">
        <v>4522</v>
      </c>
      <c r="R2" s="79">
        <v>4659</v>
      </c>
      <c r="S2" s="79">
        <v>4592</v>
      </c>
      <c r="T2" s="79">
        <v>4387</v>
      </c>
      <c r="U2" s="79">
        <v>4482</v>
      </c>
      <c r="V2" s="79">
        <v>4654</v>
      </c>
      <c r="W2" s="79">
        <v>4323</v>
      </c>
      <c r="X2" s="79">
        <v>4669</v>
      </c>
      <c r="Y2" s="79">
        <v>4635</v>
      </c>
      <c r="Z2" s="79">
        <v>4411</v>
      </c>
    </row>
    <row r="3" spans="1:30" x14ac:dyDescent="0.3">
      <c r="A3" s="79" t="s">
        <v>117</v>
      </c>
      <c r="B3" s="79">
        <v>4375</v>
      </c>
      <c r="C3" s="79">
        <v>4539</v>
      </c>
      <c r="D3" s="79">
        <v>4714</v>
      </c>
      <c r="E3" s="79">
        <v>4415</v>
      </c>
      <c r="F3" s="79">
        <v>4406</v>
      </c>
      <c r="G3" s="79">
        <v>4390</v>
      </c>
      <c r="H3" s="79">
        <v>4318</v>
      </c>
      <c r="I3" s="79">
        <v>4465</v>
      </c>
      <c r="J3" s="79">
        <v>4425</v>
      </c>
      <c r="K3" s="79">
        <v>4587</v>
      </c>
      <c r="L3" s="79">
        <v>4419</v>
      </c>
      <c r="M3" s="79">
        <v>4687</v>
      </c>
      <c r="N3" s="79">
        <v>4377</v>
      </c>
      <c r="O3" s="79">
        <v>4643</v>
      </c>
      <c r="P3" s="79">
        <v>4511</v>
      </c>
      <c r="Q3" s="79">
        <v>4584</v>
      </c>
      <c r="R3" s="79">
        <v>4647</v>
      </c>
      <c r="S3" s="79">
        <v>4629</v>
      </c>
      <c r="T3" s="79">
        <v>4387</v>
      </c>
      <c r="U3" s="79">
        <v>4465</v>
      </c>
      <c r="V3" s="79">
        <v>4683</v>
      </c>
      <c r="W3" s="79">
        <v>4314</v>
      </c>
      <c r="X3" s="79">
        <v>4714</v>
      </c>
      <c r="Y3" s="79">
        <v>4584</v>
      </c>
      <c r="Z3" s="79">
        <v>4383</v>
      </c>
    </row>
    <row r="4" spans="1:30" x14ac:dyDescent="0.3">
      <c r="A4" s="79" t="s">
        <v>118</v>
      </c>
      <c r="B4" s="79">
        <v>4356</v>
      </c>
      <c r="C4" s="79">
        <v>4491</v>
      </c>
      <c r="D4" s="79">
        <v>4637</v>
      </c>
      <c r="E4" s="79">
        <v>4482</v>
      </c>
      <c r="F4" s="79">
        <v>4404</v>
      </c>
      <c r="G4" s="79">
        <v>4390</v>
      </c>
      <c r="H4" s="79">
        <v>4293</v>
      </c>
      <c r="I4" s="79">
        <v>4441</v>
      </c>
      <c r="J4" s="79">
        <v>4509</v>
      </c>
      <c r="K4" s="79">
        <v>4583</v>
      </c>
      <c r="L4" s="79">
        <v>4364</v>
      </c>
      <c r="M4" s="79">
        <v>4721</v>
      </c>
      <c r="N4" s="79">
        <v>4351</v>
      </c>
      <c r="O4" s="79">
        <v>4670</v>
      </c>
      <c r="P4" s="79">
        <v>4480</v>
      </c>
      <c r="Q4" s="79">
        <v>4613</v>
      </c>
      <c r="R4" s="79">
        <v>4696</v>
      </c>
      <c r="S4" s="79">
        <v>4555</v>
      </c>
      <c r="T4" s="79">
        <v>4312</v>
      </c>
      <c r="U4" s="79">
        <v>4455</v>
      </c>
      <c r="V4" s="79">
        <v>4728</v>
      </c>
      <c r="W4" s="79">
        <v>4376</v>
      </c>
      <c r="X4" s="79">
        <v>4637</v>
      </c>
      <c r="Y4" s="79">
        <v>4573</v>
      </c>
      <c r="Z4" s="79">
        <v>4422</v>
      </c>
    </row>
    <row r="5" spans="1:30" x14ac:dyDescent="0.3">
      <c r="A5" s="79" t="s">
        <v>119</v>
      </c>
      <c r="B5" s="79">
        <v>4344</v>
      </c>
      <c r="C5" s="79">
        <v>4425</v>
      </c>
      <c r="D5" s="79">
        <v>4675</v>
      </c>
      <c r="E5" s="79">
        <v>4465</v>
      </c>
      <c r="F5" s="79">
        <v>4428</v>
      </c>
      <c r="G5" s="79">
        <v>4402</v>
      </c>
      <c r="H5" s="79">
        <v>4303</v>
      </c>
      <c r="I5" s="79">
        <v>4451</v>
      </c>
      <c r="J5" s="79">
        <v>4451</v>
      </c>
      <c r="K5" s="79">
        <v>4592</v>
      </c>
      <c r="L5" s="79">
        <v>4460</v>
      </c>
      <c r="M5" s="79">
        <v>4691</v>
      </c>
      <c r="N5" s="79">
        <v>4398</v>
      </c>
      <c r="O5" s="79">
        <v>4655</v>
      </c>
      <c r="P5" s="79">
        <v>4517</v>
      </c>
      <c r="Q5" s="79">
        <v>4547</v>
      </c>
      <c r="R5" s="79">
        <v>4733</v>
      </c>
      <c r="S5" s="79">
        <v>4576</v>
      </c>
      <c r="T5" s="79">
        <v>4382</v>
      </c>
      <c r="U5" s="79">
        <v>4426</v>
      </c>
      <c r="V5" s="79">
        <v>4692</v>
      </c>
      <c r="W5" s="79">
        <v>4332</v>
      </c>
      <c r="X5" s="79">
        <v>4675</v>
      </c>
      <c r="Y5" s="79">
        <v>4592</v>
      </c>
      <c r="Z5" s="79">
        <v>4373</v>
      </c>
    </row>
    <row r="6" spans="1:30" x14ac:dyDescent="0.3">
      <c r="A6" s="79" t="s">
        <v>120</v>
      </c>
      <c r="B6" s="79">
        <v>4394</v>
      </c>
      <c r="C6" s="79">
        <v>4507</v>
      </c>
      <c r="D6" s="79">
        <v>4678</v>
      </c>
      <c r="E6" s="79">
        <v>4451</v>
      </c>
      <c r="F6" s="79">
        <v>4388</v>
      </c>
      <c r="G6" s="79">
        <v>4430</v>
      </c>
      <c r="H6" s="79">
        <v>4335</v>
      </c>
      <c r="I6" s="79">
        <v>4429</v>
      </c>
      <c r="J6" s="79">
        <v>4451</v>
      </c>
      <c r="K6" s="79">
        <v>4627</v>
      </c>
      <c r="L6" s="79">
        <v>4421</v>
      </c>
      <c r="M6" s="79">
        <v>4699</v>
      </c>
      <c r="N6" s="79">
        <v>4398</v>
      </c>
      <c r="O6" s="79">
        <v>4653</v>
      </c>
      <c r="P6" s="79">
        <v>4472</v>
      </c>
      <c r="Q6" s="79">
        <v>4562</v>
      </c>
      <c r="R6" s="79">
        <v>4668</v>
      </c>
      <c r="S6" s="79">
        <v>4610</v>
      </c>
      <c r="T6" s="79">
        <v>4404</v>
      </c>
      <c r="U6" s="79">
        <v>4410</v>
      </c>
      <c r="V6" s="79">
        <v>4679</v>
      </c>
      <c r="W6" s="79">
        <v>4329</v>
      </c>
      <c r="X6" s="79">
        <v>4672</v>
      </c>
      <c r="Y6" s="79">
        <v>4560</v>
      </c>
      <c r="Z6" s="79">
        <v>4365</v>
      </c>
    </row>
    <row r="7" spans="1:30" x14ac:dyDescent="0.3">
      <c r="A7" s="79" t="s">
        <v>6</v>
      </c>
      <c r="B7" s="79">
        <f>AVERAGE(B2:B6)</f>
        <v>4364.8</v>
      </c>
      <c r="C7" s="79">
        <f t="shared" ref="C7:Z7" si="0">AVERAGE(C2:C6)</f>
        <v>4499.6000000000004</v>
      </c>
      <c r="D7" s="79">
        <f t="shared" si="0"/>
        <v>4674.6000000000004</v>
      </c>
      <c r="E7" s="79">
        <f t="shared" si="0"/>
        <v>4450</v>
      </c>
      <c r="F7" s="79">
        <f t="shared" si="0"/>
        <v>4421.2</v>
      </c>
      <c r="G7" s="79">
        <f t="shared" si="0"/>
        <v>4385.8</v>
      </c>
      <c r="H7" s="79">
        <f t="shared" si="0"/>
        <v>4315.6000000000004</v>
      </c>
      <c r="I7" s="79">
        <f t="shared" si="0"/>
        <v>4446.3999999999996</v>
      </c>
      <c r="J7" s="79">
        <f t="shared" si="0"/>
        <v>4477</v>
      </c>
      <c r="K7" s="79">
        <f t="shared" si="0"/>
        <v>4604</v>
      </c>
      <c r="L7" s="79">
        <f t="shared" si="0"/>
        <v>4422.2</v>
      </c>
      <c r="M7" s="79">
        <f t="shared" si="0"/>
        <v>4690.2</v>
      </c>
      <c r="N7" s="79">
        <f t="shared" si="0"/>
        <v>4387.8</v>
      </c>
      <c r="O7" s="79">
        <f t="shared" si="0"/>
        <v>4655.8</v>
      </c>
      <c r="P7" s="79">
        <f t="shared" si="0"/>
        <v>4489.6000000000004</v>
      </c>
      <c r="Q7" s="79">
        <f t="shared" si="0"/>
        <v>4565.6000000000004</v>
      </c>
      <c r="R7" s="79">
        <f t="shared" si="0"/>
        <v>4680.6000000000004</v>
      </c>
      <c r="S7" s="79">
        <f t="shared" si="0"/>
        <v>4592.3999999999996</v>
      </c>
      <c r="T7" s="79">
        <f t="shared" si="0"/>
        <v>4374.3999999999996</v>
      </c>
      <c r="U7" s="79">
        <f t="shared" si="0"/>
        <v>4447.6000000000004</v>
      </c>
      <c r="V7" s="79">
        <f t="shared" si="0"/>
        <v>4687.2</v>
      </c>
      <c r="W7" s="79">
        <f t="shared" si="0"/>
        <v>4334.8</v>
      </c>
      <c r="X7" s="79">
        <f t="shared" si="0"/>
        <v>4673.3999999999996</v>
      </c>
      <c r="Y7" s="79">
        <f t="shared" si="0"/>
        <v>4588.8</v>
      </c>
      <c r="Z7" s="79">
        <f t="shared" si="0"/>
        <v>4390.8</v>
      </c>
    </row>
    <row r="8" spans="1:30" x14ac:dyDescent="0.3">
      <c r="A8" s="79" t="s">
        <v>44</v>
      </c>
      <c r="B8" s="79"/>
      <c r="C8" s="79">
        <f>ABS(C7-B7)</f>
        <v>134.80000000000018</v>
      </c>
      <c r="D8" s="79">
        <f t="shared" ref="D8:Z8" si="1">ABS(D7-C7)</f>
        <v>175</v>
      </c>
      <c r="E8" s="79">
        <f t="shared" si="1"/>
        <v>224.60000000000036</v>
      </c>
      <c r="F8" s="79">
        <f t="shared" si="1"/>
        <v>28.800000000000182</v>
      </c>
      <c r="G8" s="79">
        <f t="shared" si="1"/>
        <v>35.399999999999636</v>
      </c>
      <c r="H8" s="79">
        <f t="shared" si="1"/>
        <v>70.199999999999818</v>
      </c>
      <c r="I8" s="79">
        <f t="shared" si="1"/>
        <v>130.79999999999927</v>
      </c>
      <c r="J8" s="79">
        <f t="shared" si="1"/>
        <v>30.600000000000364</v>
      </c>
      <c r="K8" s="79">
        <f t="shared" si="1"/>
        <v>127</v>
      </c>
      <c r="L8" s="79">
        <f t="shared" si="1"/>
        <v>181.80000000000018</v>
      </c>
      <c r="M8" s="79">
        <f t="shared" si="1"/>
        <v>268</v>
      </c>
      <c r="N8" s="79">
        <f t="shared" si="1"/>
        <v>302.39999999999964</v>
      </c>
      <c r="O8" s="79">
        <f t="shared" si="1"/>
        <v>268</v>
      </c>
      <c r="P8" s="79">
        <f t="shared" si="1"/>
        <v>166.19999999999982</v>
      </c>
      <c r="Q8" s="79">
        <f t="shared" si="1"/>
        <v>76</v>
      </c>
      <c r="R8" s="79">
        <f t="shared" si="1"/>
        <v>115</v>
      </c>
      <c r="S8" s="79">
        <f t="shared" si="1"/>
        <v>88.200000000000728</v>
      </c>
      <c r="T8" s="79">
        <f t="shared" si="1"/>
        <v>218</v>
      </c>
      <c r="U8" s="79">
        <f t="shared" si="1"/>
        <v>73.200000000000728</v>
      </c>
      <c r="V8" s="79">
        <f t="shared" si="1"/>
        <v>239.59999999999945</v>
      </c>
      <c r="W8" s="79">
        <f t="shared" si="1"/>
        <v>352.39999999999964</v>
      </c>
      <c r="X8" s="79">
        <f t="shared" si="1"/>
        <v>338.59999999999945</v>
      </c>
      <c r="Y8" s="79">
        <f t="shared" si="1"/>
        <v>84.599999999999454</v>
      </c>
      <c r="Z8" s="79">
        <f t="shared" si="1"/>
        <v>198</v>
      </c>
    </row>
    <row r="9" spans="1:30" x14ac:dyDescent="0.3">
      <c r="A9" s="79" t="s">
        <v>7</v>
      </c>
      <c r="B9" s="79">
        <f>MAX(B2:B6)-MIN(B2:B6)</f>
        <v>50</v>
      </c>
      <c r="C9" s="79">
        <f t="shared" ref="C9:Z9" si="2">MAX(C2:C6)-MIN(C2:C6)</f>
        <v>114</v>
      </c>
      <c r="D9" s="79">
        <f t="shared" si="2"/>
        <v>77</v>
      </c>
      <c r="E9" s="79">
        <f t="shared" si="2"/>
        <v>67</v>
      </c>
      <c r="F9" s="79">
        <f t="shared" si="2"/>
        <v>92</v>
      </c>
      <c r="G9" s="79">
        <f t="shared" si="2"/>
        <v>113</v>
      </c>
      <c r="H9" s="79">
        <f t="shared" si="2"/>
        <v>42</v>
      </c>
      <c r="I9" s="79">
        <f t="shared" si="2"/>
        <v>36</v>
      </c>
      <c r="J9" s="79">
        <f t="shared" si="2"/>
        <v>124</v>
      </c>
      <c r="K9" s="79">
        <f t="shared" si="2"/>
        <v>48</v>
      </c>
      <c r="L9" s="79">
        <f t="shared" si="2"/>
        <v>96</v>
      </c>
      <c r="M9" s="79">
        <f t="shared" si="2"/>
        <v>68</v>
      </c>
      <c r="N9" s="79">
        <f t="shared" si="2"/>
        <v>64</v>
      </c>
      <c r="O9" s="79">
        <f t="shared" si="2"/>
        <v>27</v>
      </c>
      <c r="P9" s="79">
        <f t="shared" si="2"/>
        <v>49</v>
      </c>
      <c r="Q9" s="79">
        <f t="shared" si="2"/>
        <v>91</v>
      </c>
      <c r="R9" s="79">
        <f t="shared" si="2"/>
        <v>86</v>
      </c>
      <c r="S9" s="79">
        <f t="shared" si="2"/>
        <v>74</v>
      </c>
      <c r="T9" s="79">
        <f t="shared" si="2"/>
        <v>92</v>
      </c>
      <c r="U9" s="79">
        <f t="shared" si="2"/>
        <v>72</v>
      </c>
      <c r="V9" s="79">
        <f t="shared" si="2"/>
        <v>74</v>
      </c>
      <c r="W9" s="79">
        <f t="shared" si="2"/>
        <v>62</v>
      </c>
      <c r="X9" s="79">
        <f t="shared" si="2"/>
        <v>77</v>
      </c>
      <c r="Y9" s="79">
        <f t="shared" si="2"/>
        <v>75</v>
      </c>
      <c r="Z9" s="79">
        <f t="shared" si="2"/>
        <v>57</v>
      </c>
    </row>
    <row r="10" spans="1:30" x14ac:dyDescent="0.3">
      <c r="A10" s="79" t="s">
        <v>8</v>
      </c>
      <c r="B10" s="79">
        <f>STDEV(B2:B6)</f>
        <v>19.766132651583618</v>
      </c>
      <c r="C10" s="79">
        <f t="shared" ref="C10:Z10" si="3">STDEV(C2:C6)</f>
        <v>46.290387771112918</v>
      </c>
      <c r="D10" s="79">
        <f t="shared" si="3"/>
        <v>27.428087793355189</v>
      </c>
      <c r="E10" s="79">
        <f t="shared" si="3"/>
        <v>25.709920264364882</v>
      </c>
      <c r="F10" s="79">
        <f t="shared" si="3"/>
        <v>35.82178108358098</v>
      </c>
      <c r="G10" s="79">
        <f t="shared" si="3"/>
        <v>41.787557956884726</v>
      </c>
      <c r="H10" s="79">
        <f t="shared" si="3"/>
        <v>17.544229820656135</v>
      </c>
      <c r="I10" s="79">
        <f t="shared" si="3"/>
        <v>13.221195104830725</v>
      </c>
      <c r="J10" s="79">
        <f t="shared" si="3"/>
        <v>50.655700567655757</v>
      </c>
      <c r="K10" s="79">
        <f t="shared" si="3"/>
        <v>23.086792761230392</v>
      </c>
      <c r="L10" s="79">
        <f t="shared" si="3"/>
        <v>36.887667315784554</v>
      </c>
      <c r="M10" s="79">
        <f t="shared" si="3"/>
        <v>24.600812994695929</v>
      </c>
      <c r="N10" s="79">
        <f t="shared" si="3"/>
        <v>24.590648629102894</v>
      </c>
      <c r="O10" s="79">
        <f t="shared" si="3"/>
        <v>9.7313925005622899</v>
      </c>
      <c r="P10" s="79">
        <f t="shared" si="3"/>
        <v>22.788154817799533</v>
      </c>
      <c r="Q10" s="79">
        <f t="shared" si="3"/>
        <v>34.803735431703309</v>
      </c>
      <c r="R10" s="79">
        <f t="shared" si="3"/>
        <v>34.413660078521147</v>
      </c>
      <c r="S10" s="79">
        <f t="shared" si="3"/>
        <v>28.797569341873281</v>
      </c>
      <c r="T10" s="79">
        <f t="shared" si="3"/>
        <v>35.865024745565144</v>
      </c>
      <c r="U10" s="79">
        <f t="shared" si="3"/>
        <v>29.245512476275739</v>
      </c>
      <c r="V10" s="79">
        <f t="shared" si="3"/>
        <v>26.808580715882741</v>
      </c>
      <c r="W10" s="79">
        <f t="shared" si="3"/>
        <v>24.035390573069538</v>
      </c>
      <c r="X10" s="79">
        <f t="shared" si="3"/>
        <v>27.373344698812382</v>
      </c>
      <c r="Y10" s="79">
        <f t="shared" si="3"/>
        <v>28.490349243208655</v>
      </c>
      <c r="Z10" s="79">
        <f t="shared" si="3"/>
        <v>24.621129137389293</v>
      </c>
    </row>
    <row r="11" spans="1:30" x14ac:dyDescent="0.3">
      <c r="A11" s="79" t="s">
        <v>13</v>
      </c>
      <c r="B11" s="79">
        <f>AVERAGE(B7:Z7)</f>
        <v>4504.8080000000009</v>
      </c>
    </row>
    <row r="12" spans="1:30" x14ac:dyDescent="0.3">
      <c r="A12" s="79" t="s">
        <v>121</v>
      </c>
      <c r="B12" s="79">
        <f>AVERAGE(C8:Z8)</f>
        <v>163.6333333333333</v>
      </c>
      <c r="V12" s="146" t="s">
        <v>133</v>
      </c>
      <c r="W12" s="146"/>
      <c r="X12" s="146"/>
      <c r="Y12" s="146"/>
      <c r="Z12" s="146"/>
      <c r="AA12" s="146"/>
      <c r="AB12" s="146"/>
      <c r="AC12" s="146"/>
      <c r="AD12" s="146"/>
    </row>
    <row r="13" spans="1:30" x14ac:dyDescent="0.3">
      <c r="A13" s="79" t="s">
        <v>14</v>
      </c>
      <c r="B13" s="79">
        <f>AVERAGE(B9:Z9)</f>
        <v>73.08</v>
      </c>
      <c r="V13" s="146"/>
      <c r="W13" s="146"/>
      <c r="X13" s="146"/>
      <c r="Y13" s="146"/>
      <c r="Z13" s="146"/>
      <c r="AA13" s="146"/>
      <c r="AB13" s="146"/>
      <c r="AC13" s="146"/>
      <c r="AD13" s="146"/>
    </row>
    <row r="14" spans="1:30" x14ac:dyDescent="0.3">
      <c r="A14" s="79" t="s">
        <v>15</v>
      </c>
      <c r="B14" s="79">
        <f>AVERAGE(B10:Z10)</f>
        <v>28.57459033902007</v>
      </c>
      <c r="V14" s="146"/>
      <c r="W14" s="146"/>
      <c r="X14" s="146"/>
      <c r="Y14" s="146"/>
      <c r="Z14" s="146"/>
      <c r="AA14" s="146"/>
      <c r="AB14" s="146"/>
      <c r="AC14" s="146"/>
      <c r="AD14" s="146"/>
    </row>
    <row r="15" spans="1:30" x14ac:dyDescent="0.3">
      <c r="V15" s="146"/>
      <c r="W15" s="146"/>
      <c r="X15" s="146"/>
      <c r="Y15" s="146"/>
      <c r="Z15" s="146"/>
      <c r="AA15" s="146"/>
      <c r="AB15" s="146"/>
      <c r="AC15" s="146"/>
      <c r="AD15" s="146"/>
    </row>
    <row r="16" spans="1:30" x14ac:dyDescent="0.3">
      <c r="M16" s="18"/>
      <c r="N16" s="15" t="s">
        <v>106</v>
      </c>
      <c r="O16" s="15">
        <f>B11+2.66*B12</f>
        <v>4940.0726666666678</v>
      </c>
      <c r="P16" s="15"/>
      <c r="Q16" s="15" t="s">
        <v>124</v>
      </c>
      <c r="R16" s="15"/>
      <c r="S16" s="15"/>
      <c r="T16" s="15"/>
      <c r="U16" s="86"/>
    </row>
    <row r="17" spans="13:21" x14ac:dyDescent="0.3">
      <c r="M17" s="19"/>
      <c r="N17" s="16"/>
      <c r="O17" s="16"/>
      <c r="P17" s="16"/>
      <c r="Q17" s="16"/>
      <c r="R17" s="16"/>
      <c r="S17" s="16"/>
      <c r="T17" s="16"/>
      <c r="U17" s="93"/>
    </row>
    <row r="18" spans="13:21" x14ac:dyDescent="0.3">
      <c r="M18" s="19"/>
      <c r="N18" s="16" t="s">
        <v>53</v>
      </c>
      <c r="O18" s="16">
        <f>B11</f>
        <v>4504.8080000000009</v>
      </c>
      <c r="P18" s="16"/>
      <c r="Q18" s="16"/>
      <c r="R18" s="16"/>
      <c r="S18" s="16"/>
      <c r="T18" s="16"/>
      <c r="U18" s="93"/>
    </row>
    <row r="19" spans="13:21" x14ac:dyDescent="0.3">
      <c r="M19" s="19"/>
      <c r="N19" s="16"/>
      <c r="O19" s="16"/>
      <c r="P19" s="16"/>
      <c r="Q19" s="16"/>
      <c r="R19" s="16"/>
      <c r="S19" s="16"/>
      <c r="T19" s="16"/>
      <c r="U19" s="93"/>
    </row>
    <row r="20" spans="13:21" x14ac:dyDescent="0.3">
      <c r="M20" s="20"/>
      <c r="N20" s="17" t="s">
        <v>97</v>
      </c>
      <c r="O20" s="17">
        <f>B11-2.66*B12</f>
        <v>4069.5433333333344</v>
      </c>
      <c r="P20" s="17"/>
      <c r="Q20" s="17" t="s">
        <v>125</v>
      </c>
      <c r="R20" s="17"/>
      <c r="S20" s="17"/>
      <c r="T20" s="17"/>
      <c r="U20" s="88"/>
    </row>
    <row r="24" spans="13:21" x14ac:dyDescent="0.3">
      <c r="M24" s="18"/>
      <c r="N24" s="15" t="s">
        <v>106</v>
      </c>
      <c r="O24" s="15">
        <f>3.267*'I-MR-R or S'!B12</f>
        <v>534.59009999999989</v>
      </c>
      <c r="P24" s="15"/>
      <c r="Q24" s="15" t="s">
        <v>123</v>
      </c>
      <c r="R24" s="15"/>
      <c r="S24" s="15"/>
      <c r="T24" s="15"/>
      <c r="U24" s="86"/>
    </row>
    <row r="25" spans="13:21" x14ac:dyDescent="0.3">
      <c r="M25" s="19"/>
      <c r="N25" s="16"/>
      <c r="O25" s="16"/>
      <c r="P25" s="16"/>
      <c r="Q25" s="16"/>
      <c r="R25" s="16"/>
      <c r="S25" s="16"/>
      <c r="T25" s="16"/>
      <c r="U25" s="93"/>
    </row>
    <row r="26" spans="13:21" x14ac:dyDescent="0.3">
      <c r="M26" s="19"/>
      <c r="N26" s="16" t="s">
        <v>121</v>
      </c>
      <c r="O26" s="16">
        <f>B12</f>
        <v>163.6333333333333</v>
      </c>
      <c r="P26" s="16"/>
      <c r="Q26" s="16"/>
      <c r="R26" s="16"/>
      <c r="S26" s="16"/>
      <c r="T26" s="16"/>
      <c r="U26" s="93"/>
    </row>
    <row r="27" spans="13:21" x14ac:dyDescent="0.3">
      <c r="M27" s="19"/>
      <c r="N27" s="16"/>
      <c r="O27" s="16"/>
      <c r="P27" s="16"/>
      <c r="Q27" s="16"/>
      <c r="R27" s="16"/>
      <c r="S27" s="16"/>
      <c r="T27" s="16"/>
      <c r="U27" s="93"/>
    </row>
    <row r="28" spans="13:21" x14ac:dyDescent="0.3">
      <c r="M28" s="20"/>
      <c r="N28" s="17" t="s">
        <v>97</v>
      </c>
      <c r="O28" s="17">
        <f>0*B12</f>
        <v>0</v>
      </c>
      <c r="P28" s="17"/>
      <c r="Q28" s="17" t="s">
        <v>122</v>
      </c>
      <c r="R28" s="17"/>
      <c r="S28" s="17"/>
      <c r="T28" s="17"/>
      <c r="U28" s="88"/>
    </row>
    <row r="31" spans="13:21" x14ac:dyDescent="0.3">
      <c r="M31" s="18"/>
      <c r="N31" s="15" t="s">
        <v>106</v>
      </c>
      <c r="O31" s="15">
        <f>2.114*'I-MR-R or S'!B13</f>
        <v>154.49112</v>
      </c>
      <c r="P31" s="15"/>
      <c r="Q31" s="15" t="s">
        <v>127</v>
      </c>
      <c r="R31" s="15"/>
      <c r="S31" s="15"/>
      <c r="T31" s="15"/>
      <c r="U31" s="86"/>
    </row>
    <row r="32" spans="13:21" x14ac:dyDescent="0.3">
      <c r="M32" s="19"/>
      <c r="N32" s="16"/>
      <c r="O32" s="16"/>
      <c r="P32" s="16"/>
      <c r="Q32" s="16"/>
      <c r="R32" s="16"/>
      <c r="S32" s="16"/>
      <c r="T32" s="16"/>
      <c r="U32" s="93"/>
    </row>
    <row r="33" spans="13:21" x14ac:dyDescent="0.3">
      <c r="M33" s="19"/>
      <c r="N33" s="16" t="s">
        <v>14</v>
      </c>
      <c r="O33" s="16">
        <f>B13</f>
        <v>73.08</v>
      </c>
      <c r="P33" s="16"/>
      <c r="Q33" s="16"/>
      <c r="R33" s="16"/>
      <c r="S33" s="16"/>
      <c r="T33" s="16"/>
      <c r="U33" s="93"/>
    </row>
    <row r="34" spans="13:21" x14ac:dyDescent="0.3">
      <c r="M34" s="19"/>
      <c r="N34" s="16"/>
      <c r="O34" s="16"/>
      <c r="P34" s="16"/>
      <c r="Q34" s="16"/>
      <c r="R34" s="16"/>
      <c r="S34" s="16"/>
      <c r="T34" s="16"/>
      <c r="U34" s="93"/>
    </row>
    <row r="35" spans="13:21" x14ac:dyDescent="0.3">
      <c r="M35" s="20"/>
      <c r="N35" s="17" t="s">
        <v>97</v>
      </c>
      <c r="O35" s="17">
        <f>0*B13</f>
        <v>0</v>
      </c>
      <c r="P35" s="17"/>
      <c r="Q35" s="17" t="s">
        <v>126</v>
      </c>
      <c r="R35" s="17"/>
      <c r="S35" s="17"/>
      <c r="T35" s="17"/>
      <c r="U35" s="88"/>
    </row>
    <row r="39" spans="13:21" x14ac:dyDescent="0.3">
      <c r="M39" s="18"/>
      <c r="N39" s="15" t="s">
        <v>106</v>
      </c>
      <c r="O39" s="15">
        <v>4940.0726666666678</v>
      </c>
      <c r="P39" s="15"/>
      <c r="Q39" s="15" t="s">
        <v>124</v>
      </c>
      <c r="R39" s="15"/>
      <c r="S39" s="15"/>
      <c r="T39" s="15"/>
      <c r="U39" s="86"/>
    </row>
    <row r="40" spans="13:21" x14ac:dyDescent="0.3">
      <c r="M40" s="19"/>
      <c r="N40" s="16"/>
      <c r="O40" s="16"/>
      <c r="P40" s="16"/>
      <c r="Q40" s="16"/>
      <c r="R40" s="16"/>
      <c r="S40" s="16"/>
      <c r="T40" s="16"/>
      <c r="U40" s="93"/>
    </row>
    <row r="41" spans="13:21" x14ac:dyDescent="0.3">
      <c r="M41" s="19"/>
      <c r="N41" s="16" t="s">
        <v>53</v>
      </c>
      <c r="O41" s="16">
        <v>4504.8080000000009</v>
      </c>
      <c r="P41" s="16"/>
      <c r="Q41" s="16"/>
      <c r="R41" s="16"/>
      <c r="S41" s="16"/>
      <c r="T41" s="16"/>
      <c r="U41" s="93"/>
    </row>
    <row r="42" spans="13:21" x14ac:dyDescent="0.3">
      <c r="M42" s="19"/>
      <c r="N42" s="16"/>
      <c r="O42" s="16"/>
      <c r="P42" s="16"/>
      <c r="Q42" s="16"/>
      <c r="R42" s="16"/>
      <c r="S42" s="16"/>
      <c r="T42" s="16"/>
      <c r="U42" s="93"/>
    </row>
    <row r="43" spans="13:21" x14ac:dyDescent="0.3">
      <c r="M43" s="20"/>
      <c r="N43" s="17" t="s">
        <v>97</v>
      </c>
      <c r="O43" s="17">
        <v>4069.5433333333344</v>
      </c>
      <c r="P43" s="17"/>
      <c r="Q43" s="17" t="s">
        <v>129</v>
      </c>
      <c r="R43" s="17"/>
      <c r="S43" s="17"/>
      <c r="T43" s="17"/>
      <c r="U43" s="88"/>
    </row>
    <row r="47" spans="13:21" x14ac:dyDescent="0.3">
      <c r="M47" s="18"/>
      <c r="N47" s="15" t="s">
        <v>106</v>
      </c>
      <c r="O47" s="15">
        <v>534.59009999999989</v>
      </c>
      <c r="P47" s="15"/>
      <c r="Q47" s="15" t="s">
        <v>130</v>
      </c>
      <c r="R47" s="15"/>
      <c r="S47" s="15"/>
      <c r="T47" s="15"/>
      <c r="U47" s="86"/>
    </row>
    <row r="48" spans="13:21" x14ac:dyDescent="0.3">
      <c r="M48" s="19"/>
      <c r="N48" s="16"/>
      <c r="O48" s="16"/>
      <c r="P48" s="16"/>
      <c r="Q48" s="16"/>
      <c r="R48" s="16"/>
      <c r="S48" s="16"/>
      <c r="T48" s="16"/>
      <c r="U48" s="93"/>
    </row>
    <row r="49" spans="13:21" x14ac:dyDescent="0.3">
      <c r="M49" s="19"/>
      <c r="N49" s="16" t="s">
        <v>121</v>
      </c>
      <c r="O49" s="16">
        <v>163.6333333333333</v>
      </c>
      <c r="P49" s="16"/>
      <c r="Q49" s="16"/>
      <c r="R49" s="16"/>
      <c r="S49" s="16"/>
      <c r="T49" s="16"/>
      <c r="U49" s="93"/>
    </row>
    <row r="50" spans="13:21" x14ac:dyDescent="0.3">
      <c r="M50" s="19"/>
      <c r="N50" s="16"/>
      <c r="O50" s="16"/>
      <c r="P50" s="16"/>
      <c r="Q50" s="16"/>
      <c r="R50" s="16"/>
      <c r="S50" s="16"/>
      <c r="T50" s="16"/>
      <c r="U50" s="93"/>
    </row>
    <row r="51" spans="13:21" x14ac:dyDescent="0.3">
      <c r="M51" s="20"/>
      <c r="N51" s="17" t="s">
        <v>97</v>
      </c>
      <c r="O51" s="17">
        <v>0</v>
      </c>
      <c r="P51" s="17"/>
      <c r="Q51" s="17" t="s">
        <v>131</v>
      </c>
      <c r="R51" s="17"/>
      <c r="S51" s="17"/>
      <c r="T51" s="17"/>
      <c r="U51" s="88"/>
    </row>
    <row r="54" spans="13:21" x14ac:dyDescent="0.3">
      <c r="M54" s="18"/>
      <c r="N54" s="15" t="s">
        <v>106</v>
      </c>
      <c r="O54" s="15">
        <f>2.089*B14</f>
        <v>59.692319218212923</v>
      </c>
      <c r="P54" s="15"/>
      <c r="Q54" s="15" t="s">
        <v>132</v>
      </c>
      <c r="R54" s="15"/>
      <c r="S54" s="15"/>
      <c r="T54" s="15"/>
      <c r="U54" s="86"/>
    </row>
    <row r="55" spans="13:21" x14ac:dyDescent="0.3">
      <c r="M55" s="19"/>
      <c r="N55" s="16"/>
      <c r="O55" s="16"/>
      <c r="P55" s="16"/>
      <c r="Q55" s="16"/>
      <c r="R55" s="16"/>
      <c r="S55" s="16"/>
      <c r="T55" s="16"/>
      <c r="U55" s="93"/>
    </row>
    <row r="56" spans="13:21" x14ac:dyDescent="0.3">
      <c r="M56" s="19"/>
      <c r="N56" s="16" t="s">
        <v>15</v>
      </c>
      <c r="O56" s="16">
        <f>B14</f>
        <v>28.57459033902007</v>
      </c>
      <c r="P56" s="16"/>
      <c r="Q56" s="16"/>
      <c r="R56" s="16"/>
      <c r="S56" s="16"/>
      <c r="T56" s="16"/>
      <c r="U56" s="93"/>
    </row>
    <row r="57" spans="13:21" x14ac:dyDescent="0.3">
      <c r="M57" s="19"/>
      <c r="N57" s="16"/>
      <c r="O57" s="16"/>
      <c r="P57" s="16"/>
      <c r="Q57" s="16"/>
      <c r="R57" s="16"/>
      <c r="S57" s="16"/>
      <c r="T57" s="16"/>
      <c r="U57" s="93"/>
    </row>
    <row r="58" spans="13:21" x14ac:dyDescent="0.3">
      <c r="M58" s="20"/>
      <c r="N58" s="17" t="s">
        <v>97</v>
      </c>
      <c r="O58" s="17">
        <f>0*B14</f>
        <v>0</v>
      </c>
      <c r="P58" s="17"/>
      <c r="Q58" s="17" t="s">
        <v>128</v>
      </c>
      <c r="R58" s="17"/>
      <c r="S58" s="17"/>
      <c r="T58" s="17"/>
      <c r="U58" s="88"/>
    </row>
  </sheetData>
  <mergeCells count="1">
    <mergeCell ref="V12:AD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C992-91BE-40FC-8F3B-30AE8405F2A9}">
  <dimension ref="A1:AH54"/>
  <sheetViews>
    <sheetView zoomScale="55" zoomScaleNormal="55" workbookViewId="0"/>
  </sheetViews>
  <sheetFormatPr defaultColWidth="8.77734375" defaultRowHeight="14.4" x14ac:dyDescent="0.3"/>
  <cols>
    <col min="1" max="1" width="16.33203125" style="1" customWidth="1"/>
    <col min="2" max="16384" width="8.77734375" style="1"/>
  </cols>
  <sheetData>
    <row r="1" spans="1:33" x14ac:dyDescent="0.3">
      <c r="A1" s="80" t="s">
        <v>90</v>
      </c>
      <c r="B1" s="80">
        <v>38869</v>
      </c>
      <c r="C1" s="80">
        <v>38870</v>
      </c>
      <c r="D1" s="80">
        <v>38871</v>
      </c>
      <c r="E1" s="80">
        <v>38872</v>
      </c>
      <c r="F1" s="80">
        <v>38873</v>
      </c>
      <c r="G1" s="80">
        <v>38874</v>
      </c>
      <c r="H1" s="80">
        <v>38875</v>
      </c>
      <c r="I1" s="80">
        <v>38876</v>
      </c>
      <c r="J1" s="80">
        <v>38877</v>
      </c>
      <c r="K1" s="80">
        <v>38878</v>
      </c>
      <c r="L1" s="80">
        <v>38879</v>
      </c>
      <c r="M1" s="80">
        <v>38880</v>
      </c>
      <c r="N1" s="80">
        <v>38881</v>
      </c>
      <c r="O1" s="80">
        <v>38882</v>
      </c>
      <c r="P1" s="80">
        <v>38883</v>
      </c>
      <c r="Q1" s="80">
        <v>38884</v>
      </c>
      <c r="R1" s="80">
        <v>38885</v>
      </c>
      <c r="S1" s="80">
        <v>38886</v>
      </c>
      <c r="T1" s="80">
        <v>38887</v>
      </c>
      <c r="U1" s="80">
        <v>38888</v>
      </c>
      <c r="V1" s="80">
        <v>38889</v>
      </c>
      <c r="W1" s="80">
        <v>38890</v>
      </c>
      <c r="X1" s="80">
        <v>38891</v>
      </c>
      <c r="Y1" s="80">
        <v>38892</v>
      </c>
      <c r="Z1" s="80">
        <v>38893</v>
      </c>
      <c r="AA1" s="80">
        <v>38894</v>
      </c>
      <c r="AB1" s="80">
        <v>38895</v>
      </c>
      <c r="AC1" s="80">
        <v>38896</v>
      </c>
      <c r="AD1" s="80">
        <v>38897</v>
      </c>
      <c r="AE1" s="80">
        <v>38898</v>
      </c>
    </row>
    <row r="2" spans="1:33" x14ac:dyDescent="0.3">
      <c r="A2" s="81" t="s">
        <v>87</v>
      </c>
      <c r="B2" s="81">
        <v>150</v>
      </c>
      <c r="C2" s="81">
        <v>150</v>
      </c>
      <c r="D2" s="81">
        <v>150</v>
      </c>
      <c r="E2" s="81">
        <v>150</v>
      </c>
      <c r="F2" s="81">
        <v>150</v>
      </c>
      <c r="G2" s="81">
        <v>150</v>
      </c>
      <c r="H2" s="81">
        <v>150</v>
      </c>
      <c r="I2" s="81">
        <v>150</v>
      </c>
      <c r="J2" s="81">
        <v>150</v>
      </c>
      <c r="K2" s="81">
        <v>150</v>
      </c>
      <c r="L2" s="81">
        <v>150</v>
      </c>
      <c r="M2" s="81">
        <v>150</v>
      </c>
      <c r="N2" s="81">
        <v>150</v>
      </c>
      <c r="O2" s="81">
        <v>150</v>
      </c>
      <c r="P2" s="81">
        <v>150</v>
      </c>
      <c r="Q2" s="81">
        <v>150</v>
      </c>
      <c r="R2" s="81">
        <v>150</v>
      </c>
      <c r="S2" s="81">
        <v>150</v>
      </c>
      <c r="T2" s="81">
        <v>150</v>
      </c>
      <c r="U2" s="81">
        <v>150</v>
      </c>
      <c r="V2" s="81">
        <v>150</v>
      </c>
      <c r="W2" s="81">
        <v>150</v>
      </c>
      <c r="X2" s="81">
        <v>150</v>
      </c>
      <c r="Y2" s="81">
        <v>150</v>
      </c>
      <c r="Z2" s="81">
        <v>150</v>
      </c>
      <c r="AA2" s="81">
        <v>150</v>
      </c>
      <c r="AB2" s="81">
        <v>150</v>
      </c>
      <c r="AC2" s="81">
        <v>150</v>
      </c>
      <c r="AD2" s="81">
        <v>150</v>
      </c>
      <c r="AE2" s="81">
        <v>150</v>
      </c>
      <c r="AF2" s="84" t="s">
        <v>100</v>
      </c>
      <c r="AG2" s="85">
        <v>150</v>
      </c>
    </row>
    <row r="3" spans="1:33" x14ac:dyDescent="0.3">
      <c r="A3" s="81" t="s">
        <v>92</v>
      </c>
      <c r="B3" s="81">
        <v>3</v>
      </c>
      <c r="C3" s="81">
        <v>4</v>
      </c>
      <c r="D3" s="81">
        <v>6</v>
      </c>
      <c r="E3" s="81">
        <v>8</v>
      </c>
      <c r="F3" s="81">
        <v>6</v>
      </c>
      <c r="G3" s="81">
        <v>6</v>
      </c>
      <c r="H3" s="81">
        <v>3</v>
      </c>
      <c r="I3" s="81">
        <v>4</v>
      </c>
      <c r="J3" s="81">
        <v>8</v>
      </c>
      <c r="K3" s="81">
        <v>7</v>
      </c>
      <c r="L3" s="81">
        <v>9</v>
      </c>
      <c r="M3" s="81">
        <v>6</v>
      </c>
      <c r="N3" s="81">
        <v>12</v>
      </c>
      <c r="O3" s="81">
        <v>3</v>
      </c>
      <c r="P3" s="81">
        <v>7</v>
      </c>
      <c r="Q3" s="81">
        <v>10</v>
      </c>
      <c r="R3" s="81">
        <v>6</v>
      </c>
      <c r="S3" s="81">
        <v>3</v>
      </c>
      <c r="T3" s="81">
        <v>7</v>
      </c>
      <c r="U3" s="81">
        <v>4</v>
      </c>
      <c r="V3" s="81">
        <v>5</v>
      </c>
      <c r="W3" s="81">
        <v>4</v>
      </c>
      <c r="X3" s="81">
        <v>12</v>
      </c>
      <c r="Y3" s="81">
        <v>11</v>
      </c>
      <c r="Z3" s="81">
        <v>7</v>
      </c>
      <c r="AA3" s="81">
        <v>8</v>
      </c>
      <c r="AB3" s="81">
        <v>8</v>
      </c>
      <c r="AC3" s="81">
        <v>7</v>
      </c>
      <c r="AD3" s="81">
        <v>7</v>
      </c>
      <c r="AE3" s="81">
        <v>5</v>
      </c>
      <c r="AF3" s="84" t="s">
        <v>94</v>
      </c>
      <c r="AG3" s="85">
        <f>AVERAGE(B3:AE3)</f>
        <v>6.5333333333333332</v>
      </c>
    </row>
    <row r="4" spans="1:33" x14ac:dyDescent="0.3">
      <c r="A4" s="82" t="s">
        <v>91</v>
      </c>
      <c r="B4" s="83">
        <f>B3/B2</f>
        <v>0.02</v>
      </c>
      <c r="C4" s="83">
        <f t="shared" ref="C4:AE4" si="0">C3/C2</f>
        <v>2.6666666666666668E-2</v>
      </c>
      <c r="D4" s="83">
        <f t="shared" si="0"/>
        <v>0.04</v>
      </c>
      <c r="E4" s="83">
        <f t="shared" si="0"/>
        <v>5.3333333333333337E-2</v>
      </c>
      <c r="F4" s="83">
        <f t="shared" si="0"/>
        <v>0.04</v>
      </c>
      <c r="G4" s="83">
        <f t="shared" si="0"/>
        <v>0.04</v>
      </c>
      <c r="H4" s="83">
        <f t="shared" si="0"/>
        <v>0.02</v>
      </c>
      <c r="I4" s="83">
        <f t="shared" si="0"/>
        <v>2.6666666666666668E-2</v>
      </c>
      <c r="J4" s="83">
        <f t="shared" si="0"/>
        <v>5.3333333333333337E-2</v>
      </c>
      <c r="K4" s="83">
        <f t="shared" si="0"/>
        <v>4.6666666666666669E-2</v>
      </c>
      <c r="L4" s="83">
        <f t="shared" si="0"/>
        <v>0.06</v>
      </c>
      <c r="M4" s="83">
        <f t="shared" si="0"/>
        <v>0.04</v>
      </c>
      <c r="N4" s="83">
        <f t="shared" si="0"/>
        <v>0.08</v>
      </c>
      <c r="O4" s="83">
        <f t="shared" si="0"/>
        <v>0.02</v>
      </c>
      <c r="P4" s="83">
        <f t="shared" si="0"/>
        <v>4.6666666666666669E-2</v>
      </c>
      <c r="Q4" s="83">
        <f t="shared" si="0"/>
        <v>6.6666666666666666E-2</v>
      </c>
      <c r="R4" s="83">
        <f t="shared" si="0"/>
        <v>0.04</v>
      </c>
      <c r="S4" s="83">
        <f t="shared" si="0"/>
        <v>0.02</v>
      </c>
      <c r="T4" s="83">
        <f t="shared" si="0"/>
        <v>4.6666666666666669E-2</v>
      </c>
      <c r="U4" s="83">
        <f t="shared" si="0"/>
        <v>2.6666666666666668E-2</v>
      </c>
      <c r="V4" s="83">
        <f t="shared" si="0"/>
        <v>3.3333333333333333E-2</v>
      </c>
      <c r="W4" s="83">
        <f t="shared" si="0"/>
        <v>2.6666666666666668E-2</v>
      </c>
      <c r="X4" s="83">
        <f t="shared" si="0"/>
        <v>0.08</v>
      </c>
      <c r="Y4" s="83">
        <f t="shared" si="0"/>
        <v>7.3333333333333334E-2</v>
      </c>
      <c r="Z4" s="83">
        <f t="shared" si="0"/>
        <v>4.6666666666666669E-2</v>
      </c>
      <c r="AA4" s="83">
        <f t="shared" si="0"/>
        <v>5.3333333333333337E-2</v>
      </c>
      <c r="AB4" s="83">
        <f t="shared" si="0"/>
        <v>5.3333333333333337E-2</v>
      </c>
      <c r="AC4" s="83">
        <f t="shared" si="0"/>
        <v>4.6666666666666669E-2</v>
      </c>
      <c r="AD4" s="83">
        <f t="shared" si="0"/>
        <v>4.6666666666666669E-2</v>
      </c>
      <c r="AE4" s="83">
        <f t="shared" si="0"/>
        <v>3.3333333333333333E-2</v>
      </c>
      <c r="AF4" s="84" t="s">
        <v>93</v>
      </c>
      <c r="AG4" s="85">
        <f>AVERAGE(B4:AE4)</f>
        <v>4.3555555555555542E-2</v>
      </c>
    </row>
    <row r="6" spans="1:33" x14ac:dyDescent="0.3">
      <c r="G6" s="146" t="s">
        <v>103</v>
      </c>
      <c r="H6" s="146"/>
      <c r="I6" s="146"/>
      <c r="J6" s="146"/>
      <c r="K6" s="146"/>
      <c r="L6" s="146"/>
      <c r="M6" s="146"/>
      <c r="N6" s="146"/>
      <c r="O6" s="146"/>
    </row>
    <row r="7" spans="1:33" x14ac:dyDescent="0.3">
      <c r="G7" s="146"/>
      <c r="H7" s="146"/>
      <c r="I7" s="146"/>
      <c r="J7" s="146"/>
      <c r="K7" s="146"/>
      <c r="L7" s="146"/>
      <c r="M7" s="146"/>
      <c r="N7" s="146"/>
      <c r="O7" s="146"/>
    </row>
    <row r="8" spans="1:33" x14ac:dyDescent="0.3">
      <c r="A8" s="18" t="s">
        <v>95</v>
      </c>
      <c r="B8" s="15"/>
      <c r="C8" s="15"/>
      <c r="D8" s="15">
        <f>AG4+3*SQRT(AG4*(1-AG4)/150)</f>
        <v>9.3550636795094969E-2</v>
      </c>
      <c r="E8" s="86">
        <f>D8</f>
        <v>9.3550636795094969E-2</v>
      </c>
      <c r="G8" s="146"/>
      <c r="H8" s="146"/>
      <c r="I8" s="146"/>
      <c r="J8" s="146"/>
      <c r="K8" s="146"/>
      <c r="L8" s="146"/>
      <c r="M8" s="146"/>
      <c r="N8" s="146"/>
      <c r="O8" s="146"/>
      <c r="Q8" s="18" t="s">
        <v>99</v>
      </c>
      <c r="R8" s="15"/>
      <c r="S8" s="15"/>
      <c r="T8" s="15">
        <f>AG2*AG4+3*SQRT(AG2*AG4*(1-AG4))</f>
        <v>14.032595519264245</v>
      </c>
      <c r="U8" s="86">
        <f>T8</f>
        <v>14.032595519264245</v>
      </c>
    </row>
    <row r="9" spans="1:33" x14ac:dyDescent="0.3">
      <c r="A9" s="19" t="s">
        <v>96</v>
      </c>
      <c r="B9" s="16"/>
      <c r="C9" s="16"/>
      <c r="D9" s="89">
        <f>AG4</f>
        <v>4.3555555555555542E-2</v>
      </c>
      <c r="E9" s="87">
        <f>D9</f>
        <v>4.3555555555555542E-2</v>
      </c>
      <c r="G9" s="146"/>
      <c r="H9" s="146"/>
      <c r="I9" s="146"/>
      <c r="J9" s="146"/>
      <c r="K9" s="146"/>
      <c r="L9" s="146"/>
      <c r="M9" s="146"/>
      <c r="N9" s="146"/>
      <c r="O9" s="146"/>
      <c r="Q9" s="19" t="s">
        <v>101</v>
      </c>
      <c r="R9" s="16"/>
      <c r="S9" s="16"/>
      <c r="T9" s="89">
        <f>AG3</f>
        <v>6.5333333333333332</v>
      </c>
      <c r="U9" s="87">
        <f>T9</f>
        <v>6.5333333333333332</v>
      </c>
    </row>
    <row r="10" spans="1:33" x14ac:dyDescent="0.3">
      <c r="A10" s="20" t="s">
        <v>98</v>
      </c>
      <c r="B10" s="17"/>
      <c r="C10" s="17"/>
      <c r="D10" s="17">
        <f>AG4-3*SQRT(AG4*(1-AG4)/150)</f>
        <v>-6.4395256839838849E-3</v>
      </c>
      <c r="E10" s="88">
        <f>0</f>
        <v>0</v>
      </c>
      <c r="Q10" s="20" t="s">
        <v>102</v>
      </c>
      <c r="R10" s="17"/>
      <c r="S10" s="17"/>
      <c r="T10" s="17">
        <f>AG2*AG4-3*SQRT(AG2*AG4*(1-AG4))</f>
        <v>-0.96592885259758265</v>
      </c>
      <c r="U10" s="88">
        <f>0</f>
        <v>0</v>
      </c>
    </row>
    <row r="53" spans="1:34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s="92" customFormat="1" ht="24.45" customHeight="1" x14ac:dyDescent="0.3">
      <c r="B54" s="147" t="s">
        <v>113</v>
      </c>
      <c r="C54" s="147"/>
      <c r="D54" s="147"/>
      <c r="E54" s="147"/>
      <c r="F54" s="147"/>
      <c r="G54" s="147"/>
      <c r="H54" s="147"/>
      <c r="S54" s="147" t="s">
        <v>114</v>
      </c>
      <c r="T54" s="147"/>
      <c r="U54" s="147"/>
      <c r="V54" s="147"/>
      <c r="W54" s="147"/>
      <c r="X54" s="147"/>
      <c r="Y54" s="147"/>
    </row>
  </sheetData>
  <mergeCells count="3">
    <mergeCell ref="B54:H54"/>
    <mergeCell ref="S54:Y54"/>
    <mergeCell ref="G6:O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2453-47DC-4969-8F9B-7944103AB045}">
  <dimension ref="A1:AB42"/>
  <sheetViews>
    <sheetView zoomScale="55" zoomScaleNormal="55" workbookViewId="0">
      <selection activeCell="AL12" sqref="AL12"/>
    </sheetView>
  </sheetViews>
  <sheetFormatPr defaultColWidth="8.77734375" defaultRowHeight="14.4" x14ac:dyDescent="0.3"/>
  <cols>
    <col min="1" max="1" width="14" style="1" customWidth="1"/>
    <col min="2" max="16384" width="8.77734375" style="1"/>
  </cols>
  <sheetData>
    <row r="1" spans="1:12" x14ac:dyDescent="0.3">
      <c r="A1" s="74"/>
      <c r="B1" s="74" t="s">
        <v>134</v>
      </c>
      <c r="C1" s="74" t="s">
        <v>135</v>
      </c>
      <c r="D1" s="74" t="s">
        <v>136</v>
      </c>
      <c r="E1" s="74" t="s">
        <v>137</v>
      </c>
    </row>
    <row r="2" spans="1:12" x14ac:dyDescent="0.3">
      <c r="A2" s="74" t="s">
        <v>87</v>
      </c>
      <c r="B2" s="74">
        <v>1000</v>
      </c>
      <c r="C2" s="74">
        <v>127</v>
      </c>
      <c r="D2" s="74">
        <v>110</v>
      </c>
      <c r="E2" s="74">
        <v>130</v>
      </c>
    </row>
    <row r="3" spans="1:12" x14ac:dyDescent="0.3">
      <c r="A3" s="74" t="s">
        <v>138</v>
      </c>
      <c r="B3" s="74">
        <v>22</v>
      </c>
      <c r="C3" s="74">
        <v>1</v>
      </c>
      <c r="D3" s="74">
        <v>1</v>
      </c>
      <c r="E3" s="74">
        <v>7</v>
      </c>
    </row>
    <row r="4" spans="1:12" x14ac:dyDescent="0.3">
      <c r="A4" s="74" t="s">
        <v>139</v>
      </c>
      <c r="B4" s="74">
        <f>B3/B2</f>
        <v>2.1999999999999999E-2</v>
      </c>
      <c r="C4" s="74">
        <f t="shared" ref="C4:E4" si="0">C3/C2</f>
        <v>7.874015748031496E-3</v>
      </c>
      <c r="D4" s="74">
        <f t="shared" si="0"/>
        <v>9.0909090909090905E-3</v>
      </c>
      <c r="E4" s="74">
        <f t="shared" si="0"/>
        <v>5.3846153846153849E-2</v>
      </c>
    </row>
    <row r="6" spans="1:12" x14ac:dyDescent="0.3">
      <c r="A6" s="1" t="s">
        <v>60</v>
      </c>
      <c r="B6" s="1" t="s">
        <v>140</v>
      </c>
    </row>
    <row r="7" spans="1:12" ht="19.95" customHeight="1" x14ac:dyDescent="0.3">
      <c r="B7" s="94" t="s">
        <v>134</v>
      </c>
    </row>
    <row r="8" spans="1:12" s="96" customFormat="1" ht="19.95" customHeight="1" x14ac:dyDescent="0.3">
      <c r="A8" s="95" t="s">
        <v>141</v>
      </c>
      <c r="B8" s="95">
        <f>B9+3*SQRT(B9*(1-B9)/B2)</f>
        <v>3.5915602753743725E-2</v>
      </c>
      <c r="E8" s="1" t="s">
        <v>142</v>
      </c>
    </row>
    <row r="9" spans="1:12" s="96" customFormat="1" ht="19.95" customHeight="1" x14ac:dyDescent="0.3">
      <c r="A9" s="95" t="s">
        <v>143</v>
      </c>
      <c r="B9" s="95">
        <f>B3/B2</f>
        <v>2.1999999999999999E-2</v>
      </c>
      <c r="E9" s="1" t="s">
        <v>144</v>
      </c>
    </row>
    <row r="10" spans="1:12" s="96" customFormat="1" ht="19.95" customHeight="1" x14ac:dyDescent="0.3">
      <c r="A10" s="96" t="s">
        <v>145</v>
      </c>
      <c r="B10" s="96">
        <f>B9-3*SQRT(B9*(1-B9)/B2)</f>
        <v>8.0843972462562724E-3</v>
      </c>
      <c r="E10" s="1" t="s">
        <v>146</v>
      </c>
    </row>
    <row r="11" spans="1:12" s="96" customFormat="1" ht="19.95" customHeight="1" x14ac:dyDescent="0.3">
      <c r="A11" s="97" t="s">
        <v>145</v>
      </c>
      <c r="B11" s="98">
        <f>IF(B10&lt;0, 0, B10)</f>
        <v>8.0843972462562724E-3</v>
      </c>
      <c r="C11" s="99"/>
      <c r="D11" s="99"/>
    </row>
    <row r="12" spans="1:12" ht="31.5" customHeight="1" x14ac:dyDescent="0.3">
      <c r="A12" s="1" t="s">
        <v>62</v>
      </c>
      <c r="B12" s="1" t="s">
        <v>147</v>
      </c>
    </row>
    <row r="13" spans="1:12" ht="19.95" customHeight="1" x14ac:dyDescent="0.3">
      <c r="B13" s="94" t="s">
        <v>134</v>
      </c>
      <c r="C13" s="94" t="s">
        <v>135</v>
      </c>
    </row>
    <row r="14" spans="1:12" ht="19.95" customHeight="1" x14ac:dyDescent="0.3">
      <c r="A14" s="100" t="s">
        <v>141</v>
      </c>
      <c r="B14" s="100">
        <f>B15+3*SQRT(B15*(1-B15)/B2)</f>
        <v>3.3821776918493862E-2</v>
      </c>
      <c r="C14" s="100">
        <f>B15+3*SQRT(B15*(1-B15)/C2)</f>
        <v>5.8047670826179912E-2</v>
      </c>
      <c r="E14" s="1" t="s">
        <v>142</v>
      </c>
      <c r="L14" s="1" t="s">
        <v>148</v>
      </c>
    </row>
    <row r="15" spans="1:12" ht="19.95" customHeight="1" x14ac:dyDescent="0.3">
      <c r="A15" s="100" t="s">
        <v>143</v>
      </c>
      <c r="B15" s="100">
        <f>SUM(B3:C3)/SUM(B2:C2)</f>
        <v>2.0408163265306121E-2</v>
      </c>
      <c r="C15" s="100">
        <f>B15</f>
        <v>2.0408163265306121E-2</v>
      </c>
      <c r="E15" s="1" t="s">
        <v>149</v>
      </c>
    </row>
    <row r="16" spans="1:12" ht="19.95" customHeight="1" x14ac:dyDescent="0.3">
      <c r="A16" s="1" t="s">
        <v>145</v>
      </c>
      <c r="B16" s="1">
        <f>B15-3*SQRT(B15*(1-B15)/B2)</f>
        <v>6.9945496121183795E-3</v>
      </c>
      <c r="C16" s="1">
        <f>B15-3*SQRT(B15*(1-B15)/C2)</f>
        <v>-1.7231344295567674E-2</v>
      </c>
      <c r="E16" s="1" t="s">
        <v>146</v>
      </c>
      <c r="L16" s="1" t="s">
        <v>150</v>
      </c>
    </row>
    <row r="17" spans="1:28" ht="19.95" customHeight="1" x14ac:dyDescent="0.3">
      <c r="A17" s="98" t="s">
        <v>145</v>
      </c>
      <c r="B17" s="98">
        <f>IF(B16&lt;0, 0, B16)</f>
        <v>6.9945496121183795E-3</v>
      </c>
      <c r="C17" s="98">
        <f>IF(C16&lt;0, 0, C16)</f>
        <v>0</v>
      </c>
    </row>
    <row r="18" spans="1:28" ht="31.5" customHeight="1" x14ac:dyDescent="0.3">
      <c r="A18" s="1" t="s">
        <v>63</v>
      </c>
      <c r="B18" s="1" t="s">
        <v>151</v>
      </c>
    </row>
    <row r="19" spans="1:28" ht="19.95" customHeight="1" x14ac:dyDescent="0.3">
      <c r="B19" s="94" t="s">
        <v>134</v>
      </c>
      <c r="C19" s="94" t="s">
        <v>135</v>
      </c>
      <c r="D19" s="94" t="s">
        <v>136</v>
      </c>
    </row>
    <row r="20" spans="1:28" ht="19.95" customHeight="1" x14ac:dyDescent="0.3">
      <c r="A20" s="100" t="s">
        <v>141</v>
      </c>
      <c r="B20" s="100">
        <f>B21+3*SQRT(B21*(1-B21)/B2)</f>
        <v>3.2487195776214665E-2</v>
      </c>
      <c r="C20" s="100">
        <f>B21+3*SQRT(B21*(1-B21)/C2)</f>
        <v>5.6120344825812657E-2</v>
      </c>
      <c r="D20" s="100">
        <f>B21+3*SQRT(B21*(1-B21)/D2)</f>
        <v>5.8855796080456463E-2</v>
      </c>
      <c r="F20" s="1" t="s">
        <v>142</v>
      </c>
      <c r="M20" s="1" t="s">
        <v>148</v>
      </c>
      <c r="U20" s="1" t="s">
        <v>152</v>
      </c>
    </row>
    <row r="21" spans="1:28" ht="19.95" customHeight="1" x14ac:dyDescent="0.3">
      <c r="A21" s="100" t="s">
        <v>143</v>
      </c>
      <c r="B21" s="100">
        <f>SUM(B3:D3)/SUM(B2:D2)</f>
        <v>1.9401778496362168E-2</v>
      </c>
      <c r="C21" s="100">
        <f>B21</f>
        <v>1.9401778496362168E-2</v>
      </c>
      <c r="D21" s="100">
        <f>B21</f>
        <v>1.9401778496362168E-2</v>
      </c>
      <c r="F21" s="1" t="s">
        <v>153</v>
      </c>
    </row>
    <row r="22" spans="1:28" ht="19.95" customHeight="1" x14ac:dyDescent="0.3">
      <c r="A22" s="1" t="s">
        <v>145</v>
      </c>
      <c r="B22" s="1">
        <f>B21-3*SQRT(B21*(1-B21)/B2)</f>
        <v>6.3163612165096691E-3</v>
      </c>
      <c r="C22" s="1">
        <f>B21-3*SQRT(B21*(1-B21)/C2)</f>
        <v>-1.7316787833088321E-2</v>
      </c>
      <c r="D22" s="1">
        <f>B21-3*SQRT(B21*(1-B21)/D2)</f>
        <v>-2.0052239087732127E-2</v>
      </c>
      <c r="F22" s="1" t="s">
        <v>154</v>
      </c>
      <c r="M22" s="1" t="s">
        <v>155</v>
      </c>
      <c r="U22" s="1" t="s">
        <v>156</v>
      </c>
    </row>
    <row r="23" spans="1:28" ht="19.95" customHeight="1" x14ac:dyDescent="0.3">
      <c r="A23" s="98" t="s">
        <v>145</v>
      </c>
      <c r="B23" s="98">
        <f>IF(B22&lt;0, 0, B22)</f>
        <v>6.3163612165096691E-3</v>
      </c>
      <c r="C23" s="98">
        <f t="shared" ref="C23:D23" si="1">IF(C22&lt;0, 0, C22)</f>
        <v>0</v>
      </c>
      <c r="D23" s="98">
        <f t="shared" si="1"/>
        <v>0</v>
      </c>
    </row>
    <row r="24" spans="1:28" ht="31.5" customHeight="1" x14ac:dyDescent="0.3">
      <c r="A24" s="1" t="s">
        <v>64</v>
      </c>
      <c r="B24" s="1" t="s">
        <v>157</v>
      </c>
    </row>
    <row r="25" spans="1:28" ht="19.95" customHeight="1" x14ac:dyDescent="0.3">
      <c r="B25" s="94" t="s">
        <v>134</v>
      </c>
      <c r="C25" s="94" t="s">
        <v>135</v>
      </c>
      <c r="D25" s="94" t="s">
        <v>136</v>
      </c>
      <c r="E25" s="94" t="s">
        <v>137</v>
      </c>
    </row>
    <row r="26" spans="1:28" ht="19.95" customHeight="1" x14ac:dyDescent="0.3">
      <c r="A26" s="100" t="s">
        <v>141</v>
      </c>
      <c r="B26" s="100">
        <f>B27+3*SQRT(B27*(1-B27)/B2)</f>
        <v>3.6800716305405087E-2</v>
      </c>
      <c r="C26" s="100">
        <f>B27+3*SQRT(B27*(1-B27)/C2)</f>
        <v>6.230838888887661E-2</v>
      </c>
      <c r="D26" s="100">
        <f>B27+3*SQRT(B27*(1-B27)/D2)</f>
        <v>6.5260809441256923E-2</v>
      </c>
      <c r="E26" s="100">
        <f>C27+3*SQRT(C27*(1-C27)/E2)</f>
        <v>6.1848439154525731E-2</v>
      </c>
      <c r="F26" s="1" t="s">
        <v>142</v>
      </c>
      <c r="M26" s="1" t="s">
        <v>148</v>
      </c>
      <c r="U26" s="1" t="s">
        <v>152</v>
      </c>
      <c r="AB26" s="1" t="s">
        <v>158</v>
      </c>
    </row>
    <row r="27" spans="1:28" ht="19.95" customHeight="1" x14ac:dyDescent="0.3">
      <c r="A27" s="100" t="s">
        <v>143</v>
      </c>
      <c r="B27" s="100">
        <f>SUM(B3:E3)/SUM(B2:E2)</f>
        <v>2.2677395757132408E-2</v>
      </c>
      <c r="C27" s="100">
        <f>B27</f>
        <v>2.2677395757132408E-2</v>
      </c>
      <c r="D27" s="100">
        <f>B27</f>
        <v>2.2677395757132408E-2</v>
      </c>
      <c r="E27" s="100">
        <f>C27</f>
        <v>2.2677395757132408E-2</v>
      </c>
      <c r="F27" s="1" t="s">
        <v>159</v>
      </c>
    </row>
    <row r="28" spans="1:28" ht="19.95" customHeight="1" x14ac:dyDescent="0.3">
      <c r="A28" s="1" t="s">
        <v>145</v>
      </c>
      <c r="B28" s="1">
        <f>B27-3*SQRT(B27*(1-B27)/B2)</f>
        <v>8.5540752088597329E-3</v>
      </c>
      <c r="C28" s="1">
        <f>B27-3*SQRT(B27*(1-B27)/C2)</f>
        <v>-1.6953597374611794E-2</v>
      </c>
      <c r="D28" s="1">
        <f>B27-3*SQRT(B27*(1-B27)/D2)</f>
        <v>-1.9906017926992113E-2</v>
      </c>
      <c r="E28" s="1">
        <f>C27-3*SQRT(C27*(1-C27)/E2)</f>
        <v>-1.6493647640260914E-2</v>
      </c>
      <c r="F28" s="1" t="s">
        <v>154</v>
      </c>
      <c r="M28" s="1" t="s">
        <v>155</v>
      </c>
      <c r="U28" s="1" t="s">
        <v>156</v>
      </c>
      <c r="AB28" s="1" t="s">
        <v>160</v>
      </c>
    </row>
    <row r="29" spans="1:28" ht="19.95" customHeight="1" x14ac:dyDescent="0.3">
      <c r="A29" s="98" t="s">
        <v>145</v>
      </c>
      <c r="B29" s="98">
        <f>IF(B28&lt;0, 0, B28)</f>
        <v>8.5540752088597329E-3</v>
      </c>
      <c r="C29" s="98">
        <f t="shared" ref="C29:E29" si="2">IF(C28&lt;0, 0, C28)</f>
        <v>0</v>
      </c>
      <c r="D29" s="98">
        <f t="shared" si="2"/>
        <v>0</v>
      </c>
      <c r="E29" s="98">
        <f t="shared" si="2"/>
        <v>0</v>
      </c>
    </row>
    <row r="30" spans="1:28" ht="31.5" customHeight="1" x14ac:dyDescent="0.3">
      <c r="A30" s="1" t="s">
        <v>161</v>
      </c>
      <c r="B30" s="1" t="s">
        <v>162</v>
      </c>
    </row>
    <row r="31" spans="1:28" ht="19.95" customHeight="1" x14ac:dyDescent="0.3">
      <c r="B31" s="94" t="s">
        <v>134</v>
      </c>
      <c r="C31" s="94" t="s">
        <v>135</v>
      </c>
      <c r="D31" s="94" t="s">
        <v>136</v>
      </c>
      <c r="E31" s="94" t="s">
        <v>163</v>
      </c>
      <c r="F31" s="94" t="s">
        <v>164</v>
      </c>
    </row>
    <row r="32" spans="1:28" ht="19.95" customHeight="1" x14ac:dyDescent="0.3">
      <c r="A32" s="100" t="s">
        <v>141</v>
      </c>
      <c r="B32" s="100"/>
      <c r="C32" s="100"/>
      <c r="D32" s="100"/>
      <c r="E32" s="100"/>
      <c r="F32" s="100"/>
      <c r="J32" s="1" t="s">
        <v>142</v>
      </c>
      <c r="Q32" s="1" t="s">
        <v>148</v>
      </c>
      <c r="W32" s="1" t="s">
        <v>165</v>
      </c>
      <c r="Y32" s="1" t="s">
        <v>166</v>
      </c>
    </row>
    <row r="33" spans="1:25" ht="19.95" customHeight="1" x14ac:dyDescent="0.3">
      <c r="A33" s="100" t="s">
        <v>143</v>
      </c>
      <c r="B33" s="100"/>
      <c r="C33" s="100"/>
      <c r="D33" s="100"/>
      <c r="E33" s="100"/>
      <c r="F33" s="100"/>
      <c r="J33" s="1" t="s">
        <v>167</v>
      </c>
    </row>
    <row r="34" spans="1:25" ht="19.95" customHeight="1" x14ac:dyDescent="0.3">
      <c r="A34" s="1" t="s">
        <v>145</v>
      </c>
      <c r="J34" s="1" t="s">
        <v>154</v>
      </c>
      <c r="Q34" s="1" t="s">
        <v>155</v>
      </c>
      <c r="W34" s="1" t="s">
        <v>165</v>
      </c>
      <c r="Y34" s="1" t="s">
        <v>168</v>
      </c>
    </row>
    <row r="35" spans="1:25" ht="19.95" customHeight="1" x14ac:dyDescent="0.3">
      <c r="A35" s="98" t="s">
        <v>145</v>
      </c>
      <c r="B35" s="98"/>
      <c r="C35" s="98"/>
      <c r="D35" s="98"/>
      <c r="E35" s="98"/>
      <c r="F35" s="98"/>
    </row>
    <row r="37" spans="1:25" ht="31.5" customHeight="1" x14ac:dyDescent="0.3">
      <c r="A37" s="1" t="s">
        <v>169</v>
      </c>
      <c r="B37" s="1" t="s">
        <v>170</v>
      </c>
    </row>
    <row r="38" spans="1:25" ht="19.95" customHeight="1" x14ac:dyDescent="0.3">
      <c r="B38" s="101" t="s">
        <v>134</v>
      </c>
      <c r="C38" s="94" t="s">
        <v>135</v>
      </c>
      <c r="D38" s="94" t="s">
        <v>136</v>
      </c>
      <c r="E38" s="94" t="s">
        <v>163</v>
      </c>
      <c r="F38" s="94" t="s">
        <v>164</v>
      </c>
      <c r="G38" s="94" t="s">
        <v>171</v>
      </c>
    </row>
    <row r="39" spans="1:25" ht="19.95" customHeight="1" x14ac:dyDescent="0.3">
      <c r="A39" s="100" t="s">
        <v>141</v>
      </c>
      <c r="B39" s="102"/>
      <c r="C39" s="100"/>
      <c r="D39" s="100"/>
      <c r="E39" s="100"/>
      <c r="F39" s="100"/>
      <c r="G39" s="100"/>
      <c r="J39" s="1" t="s">
        <v>148</v>
      </c>
      <c r="Q39" s="1" t="s">
        <v>152</v>
      </c>
      <c r="W39" s="1" t="s">
        <v>165</v>
      </c>
      <c r="Y39" s="1" t="s">
        <v>172</v>
      </c>
    </row>
    <row r="40" spans="1:25" ht="19.95" customHeight="1" x14ac:dyDescent="0.3">
      <c r="A40" s="100" t="s">
        <v>143</v>
      </c>
      <c r="B40" s="102"/>
      <c r="C40" s="100"/>
      <c r="D40" s="100"/>
      <c r="E40" s="100"/>
      <c r="F40" s="100"/>
      <c r="G40" s="100"/>
      <c r="J40" s="1" t="s">
        <v>173</v>
      </c>
    </row>
    <row r="41" spans="1:25" ht="19.95" customHeight="1" x14ac:dyDescent="0.3">
      <c r="A41" s="1" t="s">
        <v>145</v>
      </c>
      <c r="B41" s="102"/>
      <c r="J41" s="1" t="s">
        <v>155</v>
      </c>
      <c r="Q41" s="1" t="s">
        <v>156</v>
      </c>
      <c r="W41" s="1" t="s">
        <v>165</v>
      </c>
      <c r="Y41" s="1" t="s">
        <v>174</v>
      </c>
    </row>
    <row r="42" spans="1:25" ht="19.95" customHeight="1" x14ac:dyDescent="0.3">
      <c r="A42" s="98" t="s">
        <v>145</v>
      </c>
      <c r="B42" s="103"/>
      <c r="C42" s="98"/>
      <c r="D42" s="98"/>
      <c r="E42" s="98"/>
      <c r="F42" s="98"/>
      <c r="G42" s="9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EC7C-AC7B-40BC-88E8-0B935A99290A}">
  <dimension ref="A1:S27"/>
  <sheetViews>
    <sheetView zoomScale="85" zoomScaleNormal="85" workbookViewId="0">
      <selection activeCell="T22" sqref="T22"/>
    </sheetView>
  </sheetViews>
  <sheetFormatPr defaultColWidth="8.77734375" defaultRowHeight="14.4" x14ac:dyDescent="0.3"/>
  <cols>
    <col min="1" max="16384" width="8.77734375" style="1"/>
  </cols>
  <sheetData>
    <row r="1" spans="1:18" x14ac:dyDescent="0.3">
      <c r="A1" s="82" t="s">
        <v>88</v>
      </c>
      <c r="B1" s="82">
        <v>1</v>
      </c>
      <c r="C1" s="82">
        <v>2</v>
      </c>
      <c r="D1" s="82">
        <v>3</v>
      </c>
      <c r="E1" s="82">
        <v>4</v>
      </c>
      <c r="F1" s="82">
        <v>5</v>
      </c>
      <c r="G1" s="82">
        <v>6</v>
      </c>
      <c r="H1" s="82">
        <v>7</v>
      </c>
      <c r="I1" s="82">
        <v>8</v>
      </c>
      <c r="J1" s="82">
        <v>9</v>
      </c>
      <c r="K1" s="82">
        <v>10</v>
      </c>
      <c r="L1" s="82">
        <v>11</v>
      </c>
      <c r="M1" s="82">
        <v>12</v>
      </c>
      <c r="N1" s="82">
        <v>13</v>
      </c>
      <c r="O1" s="82">
        <v>14</v>
      </c>
      <c r="P1" s="82">
        <v>15</v>
      </c>
    </row>
    <row r="2" spans="1:18" x14ac:dyDescent="0.3">
      <c r="A2" s="82" t="s">
        <v>89</v>
      </c>
      <c r="B2" s="82">
        <v>10</v>
      </c>
      <c r="C2" s="82">
        <v>10</v>
      </c>
      <c r="D2" s="82">
        <v>10</v>
      </c>
      <c r="E2" s="82">
        <v>10</v>
      </c>
      <c r="F2" s="82">
        <v>10</v>
      </c>
      <c r="G2" s="82">
        <v>10</v>
      </c>
      <c r="H2" s="82">
        <v>10</v>
      </c>
      <c r="I2" s="82">
        <v>10</v>
      </c>
      <c r="J2" s="82">
        <v>10</v>
      </c>
      <c r="K2" s="82">
        <v>10</v>
      </c>
      <c r="L2" s="82">
        <v>10</v>
      </c>
      <c r="M2" s="82">
        <v>10</v>
      </c>
      <c r="N2" s="82">
        <v>10</v>
      </c>
      <c r="O2" s="82">
        <v>10</v>
      </c>
      <c r="P2" s="82">
        <v>10</v>
      </c>
      <c r="Q2" s="1" t="s">
        <v>110</v>
      </c>
      <c r="R2" s="1">
        <v>10</v>
      </c>
    </row>
    <row r="3" spans="1:18" x14ac:dyDescent="0.3">
      <c r="A3" s="82" t="s">
        <v>104</v>
      </c>
      <c r="B3" s="82">
        <v>26</v>
      </c>
      <c r="C3" s="82">
        <v>28</v>
      </c>
      <c r="D3" s="82">
        <v>23</v>
      </c>
      <c r="E3" s="82">
        <v>18</v>
      </c>
      <c r="F3" s="82">
        <v>32</v>
      </c>
      <c r="G3" s="82">
        <v>40</v>
      </c>
      <c r="H3" s="82">
        <v>35</v>
      </c>
      <c r="I3" s="82">
        <v>24</v>
      </c>
      <c r="J3" s="82">
        <v>18</v>
      </c>
      <c r="K3" s="82">
        <v>28</v>
      </c>
      <c r="L3" s="82">
        <v>16</v>
      </c>
      <c r="M3" s="82">
        <v>14</v>
      </c>
      <c r="N3" s="82">
        <v>24</v>
      </c>
      <c r="O3" s="82">
        <v>35</v>
      </c>
      <c r="P3" s="82">
        <v>30</v>
      </c>
      <c r="Q3" s="1" t="s">
        <v>108</v>
      </c>
      <c r="R3" s="1">
        <f>AVERAGE(B3:P3)</f>
        <v>26.066666666666666</v>
      </c>
    </row>
    <row r="4" spans="1:18" x14ac:dyDescent="0.3">
      <c r="A4" s="82" t="s">
        <v>105</v>
      </c>
      <c r="B4" s="82">
        <f>B3/B2</f>
        <v>2.6</v>
      </c>
      <c r="C4" s="82">
        <f t="shared" ref="C4:P4" si="0">C3/C2</f>
        <v>2.8</v>
      </c>
      <c r="D4" s="82">
        <f t="shared" si="0"/>
        <v>2.2999999999999998</v>
      </c>
      <c r="E4" s="82">
        <f t="shared" si="0"/>
        <v>1.8</v>
      </c>
      <c r="F4" s="82">
        <f t="shared" si="0"/>
        <v>3.2</v>
      </c>
      <c r="G4" s="82">
        <f t="shared" si="0"/>
        <v>4</v>
      </c>
      <c r="H4" s="82">
        <f t="shared" si="0"/>
        <v>3.5</v>
      </c>
      <c r="I4" s="82">
        <f t="shared" si="0"/>
        <v>2.4</v>
      </c>
      <c r="J4" s="82">
        <f t="shared" si="0"/>
        <v>1.8</v>
      </c>
      <c r="K4" s="82">
        <f t="shared" si="0"/>
        <v>2.8</v>
      </c>
      <c r="L4" s="82">
        <f t="shared" si="0"/>
        <v>1.6</v>
      </c>
      <c r="M4" s="82">
        <f t="shared" si="0"/>
        <v>1.4</v>
      </c>
      <c r="N4" s="82">
        <f t="shared" si="0"/>
        <v>2.4</v>
      </c>
      <c r="O4" s="82">
        <f t="shared" si="0"/>
        <v>3.5</v>
      </c>
      <c r="P4" s="82">
        <f t="shared" si="0"/>
        <v>3</v>
      </c>
      <c r="Q4" s="1" t="s">
        <v>107</v>
      </c>
      <c r="R4" s="1">
        <f>AVERAGE(B4:P4)</f>
        <v>2.6066666666666669</v>
      </c>
    </row>
    <row r="5" spans="1:18" ht="14.55" customHeight="1" x14ac:dyDescent="0.3">
      <c r="C5" s="148" t="s">
        <v>109</v>
      </c>
      <c r="D5" s="148"/>
      <c r="E5" s="148"/>
      <c r="F5" s="148"/>
      <c r="G5" s="148"/>
      <c r="H5" s="148"/>
      <c r="I5" s="148"/>
    </row>
    <row r="6" spans="1:18" ht="14.55" customHeight="1" x14ac:dyDescent="0.3">
      <c r="C6" s="148"/>
      <c r="D6" s="148"/>
      <c r="E6" s="148"/>
      <c r="F6" s="148"/>
      <c r="G6" s="148"/>
      <c r="H6" s="148"/>
      <c r="I6" s="148"/>
    </row>
    <row r="7" spans="1:18" ht="14.55" customHeight="1" x14ac:dyDescent="0.3">
      <c r="C7" s="148"/>
      <c r="D7" s="148"/>
      <c r="E7" s="148"/>
      <c r="F7" s="148"/>
      <c r="G7" s="148"/>
      <c r="H7" s="148"/>
      <c r="I7" s="148"/>
    </row>
    <row r="8" spans="1:18" ht="14.55" customHeight="1" x14ac:dyDescent="0.3">
      <c r="A8" s="1" t="s">
        <v>106</v>
      </c>
      <c r="B8" s="91">
        <f>R3+3*SQRT(R3)</f>
        <v>41.383324265503305</v>
      </c>
      <c r="C8" s="148"/>
      <c r="D8" s="148"/>
      <c r="E8" s="148"/>
      <c r="F8" s="148"/>
      <c r="G8" s="148"/>
      <c r="H8" s="148"/>
      <c r="I8" s="148"/>
      <c r="J8" s="1" t="s">
        <v>106</v>
      </c>
      <c r="K8" s="90">
        <f>R4+3*SQRT(R4/R2)</f>
        <v>4.1383324265503303</v>
      </c>
    </row>
    <row r="9" spans="1:18" x14ac:dyDescent="0.3">
      <c r="A9" s="1" t="s">
        <v>108</v>
      </c>
      <c r="B9" s="91">
        <f>R3</f>
        <v>26.066666666666666</v>
      </c>
      <c r="J9" s="1" t="s">
        <v>107</v>
      </c>
      <c r="K9" s="90">
        <f>R4</f>
        <v>2.6066666666666669</v>
      </c>
    </row>
    <row r="10" spans="1:18" x14ac:dyDescent="0.3">
      <c r="A10" s="1" t="s">
        <v>97</v>
      </c>
      <c r="B10" s="91">
        <f>R3-3*SQRT(R3)</f>
        <v>10.750009067830032</v>
      </c>
      <c r="J10" s="1" t="s">
        <v>97</v>
      </c>
      <c r="K10" s="90">
        <f>R4-3*SQRT(R4/R2)</f>
        <v>1.0750009067830033</v>
      </c>
    </row>
    <row r="26" spans="1:19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 x14ac:dyDescent="0.3">
      <c r="A27" s="149" t="s">
        <v>112</v>
      </c>
      <c r="B27" s="149"/>
      <c r="C27" s="149"/>
      <c r="D27" s="149"/>
      <c r="E27" s="149"/>
      <c r="F27" s="149"/>
      <c r="G27" s="149"/>
      <c r="J27" s="149" t="s">
        <v>111</v>
      </c>
      <c r="K27" s="149"/>
      <c r="L27" s="149"/>
      <c r="M27" s="149"/>
      <c r="N27" s="149"/>
      <c r="O27" s="149"/>
      <c r="P27" s="149"/>
    </row>
  </sheetData>
  <mergeCells count="3">
    <mergeCell ref="C5:I8"/>
    <mergeCell ref="J27:P27"/>
    <mergeCell ref="A27:G2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5669-B9FA-4AD1-AF41-5F03F7F08328}">
  <dimension ref="A1:AB43"/>
  <sheetViews>
    <sheetView zoomScale="55" zoomScaleNormal="55" workbookViewId="0"/>
  </sheetViews>
  <sheetFormatPr defaultColWidth="8.77734375" defaultRowHeight="14.4" x14ac:dyDescent="0.3"/>
  <cols>
    <col min="1" max="1" width="14" style="1" customWidth="1"/>
    <col min="2" max="16384" width="8.77734375" style="1"/>
  </cols>
  <sheetData>
    <row r="1" spans="1:12" x14ac:dyDescent="0.3">
      <c r="A1" s="74"/>
      <c r="B1" s="74" t="s">
        <v>134</v>
      </c>
      <c r="C1" s="74" t="s">
        <v>135</v>
      </c>
      <c r="D1" s="74" t="s">
        <v>136</v>
      </c>
      <c r="E1" s="74" t="s">
        <v>137</v>
      </c>
    </row>
    <row r="2" spans="1:12" x14ac:dyDescent="0.3">
      <c r="A2" s="74" t="s">
        <v>87</v>
      </c>
      <c r="B2" s="74">
        <v>118</v>
      </c>
      <c r="C2" s="74">
        <v>49</v>
      </c>
      <c r="D2" s="74">
        <v>117</v>
      </c>
      <c r="E2" s="74">
        <v>300</v>
      </c>
    </row>
    <row r="3" spans="1:12" x14ac:dyDescent="0.3">
      <c r="A3" s="74" t="s">
        <v>175</v>
      </c>
      <c r="B3" s="74">
        <v>1</v>
      </c>
      <c r="C3" s="74">
        <v>4</v>
      </c>
      <c r="D3" s="74">
        <v>5</v>
      </c>
      <c r="E3" s="74">
        <v>20</v>
      </c>
    </row>
    <row r="4" spans="1:12" x14ac:dyDescent="0.3">
      <c r="A4" s="74" t="s">
        <v>176</v>
      </c>
      <c r="B4" s="74">
        <f>B3/B2</f>
        <v>8.4745762711864406E-3</v>
      </c>
      <c r="C4" s="74">
        <v>8.1629999999999994E-2</v>
      </c>
      <c r="D4" s="74">
        <v>4.274E-2</v>
      </c>
      <c r="E4" s="74">
        <v>4.274E-2</v>
      </c>
    </row>
    <row r="6" spans="1:12" x14ac:dyDescent="0.3">
      <c r="A6" s="1" t="s">
        <v>60</v>
      </c>
      <c r="B6" s="1" t="s">
        <v>140</v>
      </c>
    </row>
    <row r="7" spans="1:12" ht="19.95" customHeight="1" x14ac:dyDescent="0.3">
      <c r="B7" s="94" t="s">
        <v>134</v>
      </c>
    </row>
    <row r="8" spans="1:12" s="96" customFormat="1" ht="19.95" customHeight="1" x14ac:dyDescent="0.3">
      <c r="A8" s="95" t="s">
        <v>141</v>
      </c>
      <c r="B8" s="95">
        <f>B9+3*SQRT(B9/B2)</f>
        <v>3.3898305084745763E-2</v>
      </c>
      <c r="E8" s="1" t="s">
        <v>177</v>
      </c>
    </row>
    <row r="9" spans="1:12" s="96" customFormat="1" ht="19.95" customHeight="1" x14ac:dyDescent="0.3">
      <c r="A9" s="95" t="s">
        <v>143</v>
      </c>
      <c r="B9" s="95">
        <f>B3/B2</f>
        <v>8.4745762711864406E-3</v>
      </c>
      <c r="E9" s="1" t="s">
        <v>144</v>
      </c>
    </row>
    <row r="10" spans="1:12" s="96" customFormat="1" ht="19.95" customHeight="1" x14ac:dyDescent="0.3">
      <c r="A10" s="96" t="s">
        <v>145</v>
      </c>
      <c r="B10" s="96">
        <f>B9-3*SQRT(B9/B2)</f>
        <v>-1.6949152542372885E-2</v>
      </c>
      <c r="E10" s="1" t="s">
        <v>178</v>
      </c>
    </row>
    <row r="11" spans="1:12" s="96" customFormat="1" ht="19.95" customHeight="1" x14ac:dyDescent="0.3">
      <c r="A11" s="97" t="s">
        <v>145</v>
      </c>
      <c r="B11" s="98">
        <f>IF(B10&lt;0, 0, B10)</f>
        <v>0</v>
      </c>
      <c r="C11" s="99"/>
      <c r="D11" s="99"/>
    </row>
    <row r="12" spans="1:12" ht="31.5" customHeight="1" x14ac:dyDescent="0.3">
      <c r="A12" s="1" t="s">
        <v>62</v>
      </c>
      <c r="B12" s="1" t="s">
        <v>147</v>
      </c>
    </row>
    <row r="13" spans="1:12" ht="19.95" customHeight="1" x14ac:dyDescent="0.3">
      <c r="B13" s="94" t="s">
        <v>134</v>
      </c>
      <c r="C13" s="94" t="s">
        <v>135</v>
      </c>
    </row>
    <row r="14" spans="1:12" ht="19.95" customHeight="1" x14ac:dyDescent="0.3">
      <c r="A14" s="100" t="s">
        <v>141</v>
      </c>
      <c r="B14" s="100">
        <f>B15+3*SQRT(B15/B2)</f>
        <v>7.7726817243227553E-2</v>
      </c>
      <c r="C14" s="100">
        <f>B15+3*SQRT(B15/C2)</f>
        <v>0.1040967490682629</v>
      </c>
      <c r="E14" s="1" t="s">
        <v>177</v>
      </c>
      <c r="L14" s="1" t="s">
        <v>179</v>
      </c>
    </row>
    <row r="15" spans="1:12" ht="19.95" customHeight="1" x14ac:dyDescent="0.3">
      <c r="A15" s="100" t="s">
        <v>143</v>
      </c>
      <c r="B15" s="100">
        <f>SUM(B3:C3)/SUM(B2:C2)</f>
        <v>2.9940119760479042E-2</v>
      </c>
      <c r="C15" s="100">
        <f>B15</f>
        <v>2.9940119760479042E-2</v>
      </c>
      <c r="E15" s="1" t="s">
        <v>149</v>
      </c>
    </row>
    <row r="16" spans="1:12" ht="19.95" customHeight="1" x14ac:dyDescent="0.3">
      <c r="A16" s="1" t="s">
        <v>145</v>
      </c>
      <c r="B16" s="1">
        <f>B15-3*SQRT(B15/B2)</f>
        <v>-1.7846577722269476E-2</v>
      </c>
      <c r="C16" s="1">
        <f>B15-3*SQRT(B15/C2)</f>
        <v>-4.4216509547304814E-2</v>
      </c>
      <c r="E16" s="1" t="s">
        <v>178</v>
      </c>
      <c r="L16" s="1" t="s">
        <v>180</v>
      </c>
    </row>
    <row r="17" spans="1:28" ht="19.95" customHeight="1" x14ac:dyDescent="0.3">
      <c r="A17" s="98" t="s">
        <v>145</v>
      </c>
      <c r="B17" s="98">
        <f>IF(B16&lt;0, 0, B16)</f>
        <v>0</v>
      </c>
      <c r="C17" s="98">
        <f>IF(C16&lt;0, 0, C16)</f>
        <v>0</v>
      </c>
    </row>
    <row r="18" spans="1:28" ht="31.5" customHeight="1" x14ac:dyDescent="0.3">
      <c r="A18" s="1" t="s">
        <v>63</v>
      </c>
      <c r="B18" s="1" t="s">
        <v>151</v>
      </c>
    </row>
    <row r="19" spans="1:28" ht="19.95" customHeight="1" x14ac:dyDescent="0.3">
      <c r="B19" s="94" t="s">
        <v>134</v>
      </c>
      <c r="C19" s="94" t="s">
        <v>135</v>
      </c>
      <c r="D19" s="94" t="s">
        <v>136</v>
      </c>
    </row>
    <row r="20" spans="1:28" ht="19.95" customHeight="1" x14ac:dyDescent="0.3">
      <c r="A20" s="100" t="s">
        <v>141</v>
      </c>
      <c r="B20" s="100">
        <f>B21+3*SQRT(B21/B2)</f>
        <v>8.7034092271623398E-2</v>
      </c>
      <c r="C20" s="100">
        <f>B21+3*SQRT(B21/C2)</f>
        <v>0.1156312631457197</v>
      </c>
      <c r="D20" s="100">
        <f>B21+3*SQRT(B21/D2)</f>
        <v>8.725508612990443E-2</v>
      </c>
      <c r="F20" s="1" t="s">
        <v>177</v>
      </c>
      <c r="M20" s="1" t="s">
        <v>179</v>
      </c>
      <c r="U20" s="1" t="s">
        <v>181</v>
      </c>
    </row>
    <row r="21" spans="1:28" ht="19.95" customHeight="1" x14ac:dyDescent="0.3">
      <c r="A21" s="100" t="s">
        <v>143</v>
      </c>
      <c r="B21" s="100">
        <f>SUM(B3:D3)/SUM(B2:D2)</f>
        <v>3.5211267605633804E-2</v>
      </c>
      <c r="C21" s="100">
        <f>B21</f>
        <v>3.5211267605633804E-2</v>
      </c>
      <c r="D21" s="100">
        <f>B21</f>
        <v>3.5211267605633804E-2</v>
      </c>
      <c r="F21" s="1" t="s">
        <v>153</v>
      </c>
    </row>
    <row r="22" spans="1:28" ht="19.95" customHeight="1" x14ac:dyDescent="0.3">
      <c r="A22" s="1" t="s">
        <v>145</v>
      </c>
      <c r="B22" s="1">
        <f>B21-3*SQRT(B21/B2)</f>
        <v>-1.6611557060355796E-2</v>
      </c>
      <c r="C22" s="1">
        <f>B21-3*SQRT(B21/C2)</f>
        <v>-4.5208727934452082E-2</v>
      </c>
      <c r="D22" s="1">
        <f>B21-3*SQRT(B21/D2)</f>
        <v>-1.6832550918636828E-2</v>
      </c>
      <c r="F22" s="1" t="s">
        <v>182</v>
      </c>
      <c r="M22" s="1" t="s">
        <v>183</v>
      </c>
      <c r="U22" s="1" t="s">
        <v>184</v>
      </c>
    </row>
    <row r="23" spans="1:28" ht="19.95" customHeight="1" x14ac:dyDescent="0.3">
      <c r="A23" s="98" t="s">
        <v>145</v>
      </c>
      <c r="B23" s="98">
        <f>IF(B22&lt;0, 0, B22)</f>
        <v>0</v>
      </c>
      <c r="C23" s="98">
        <f t="shared" ref="C23:D23" si="0">IF(C22&lt;0, 0, C22)</f>
        <v>0</v>
      </c>
      <c r="D23" s="98">
        <f t="shared" si="0"/>
        <v>0</v>
      </c>
    </row>
    <row r="24" spans="1:28" ht="31.5" customHeight="1" x14ac:dyDescent="0.3">
      <c r="A24" s="1" t="s">
        <v>64</v>
      </c>
      <c r="B24" s="1" t="s">
        <v>157</v>
      </c>
    </row>
    <row r="25" spans="1:28" ht="19.95" customHeight="1" x14ac:dyDescent="0.3">
      <c r="B25" s="94" t="s">
        <v>134</v>
      </c>
      <c r="C25" s="94" t="s">
        <v>135</v>
      </c>
      <c r="D25" s="94" t="s">
        <v>136</v>
      </c>
      <c r="E25" s="94" t="s">
        <v>137</v>
      </c>
    </row>
    <row r="26" spans="1:28" ht="19.95" customHeight="1" x14ac:dyDescent="0.3">
      <c r="A26" s="100" t="s">
        <v>141</v>
      </c>
      <c r="B26" s="100">
        <f>B27+3*SQRT(B27/B2)</f>
        <v>0.11396411514079011</v>
      </c>
      <c r="C26" s="100">
        <f>B27+3*SQRT(B27/C2)</f>
        <v>0.14850523742333249</v>
      </c>
      <c r="D26" s="100">
        <f>B27+3*SQRT(B27/D2)</f>
        <v>0.11423104280003944</v>
      </c>
      <c r="E26" s="100">
        <f>C27+3*SQRT(C27/E2)</f>
        <v>9.0626657207964645E-2</v>
      </c>
      <c r="F26" s="1" t="s">
        <v>177</v>
      </c>
      <c r="M26" s="1" t="s">
        <v>179</v>
      </c>
      <c r="U26" s="1" t="s">
        <v>181</v>
      </c>
      <c r="AB26" s="1" t="s">
        <v>185</v>
      </c>
    </row>
    <row r="27" spans="1:28" ht="19.95" customHeight="1" x14ac:dyDescent="0.3">
      <c r="A27" s="100" t="s">
        <v>143</v>
      </c>
      <c r="B27" s="100">
        <f>SUM(B3:E3)/SUM(B2:E2)</f>
        <v>5.1369863013698627E-2</v>
      </c>
      <c r="C27" s="100">
        <f>B27</f>
        <v>5.1369863013698627E-2</v>
      </c>
      <c r="D27" s="100">
        <f>B27</f>
        <v>5.1369863013698627E-2</v>
      </c>
      <c r="E27" s="100">
        <f>C27</f>
        <v>5.1369863013698627E-2</v>
      </c>
      <c r="F27" s="1" t="s">
        <v>159</v>
      </c>
    </row>
    <row r="28" spans="1:28" ht="19.95" customHeight="1" x14ac:dyDescent="0.3">
      <c r="A28" s="1" t="s">
        <v>145</v>
      </c>
      <c r="B28" s="1">
        <f>B27-3*SQRT(B27/B2)</f>
        <v>-1.1224389113392852E-2</v>
      </c>
      <c r="C28" s="1">
        <f>B27-3*SQRT(B27/C2)</f>
        <v>-4.5765511395935224E-2</v>
      </c>
      <c r="D28" s="1">
        <f>B27-3*SQRT(B27/D2)</f>
        <v>-1.1491316772642188E-2</v>
      </c>
      <c r="E28" s="1">
        <f>C27-3*SQRT(C27/E2)</f>
        <v>1.2113068819432603E-2</v>
      </c>
      <c r="F28" s="1" t="s">
        <v>182</v>
      </c>
      <c r="M28" s="1" t="s">
        <v>183</v>
      </c>
      <c r="U28" s="1" t="s">
        <v>184</v>
      </c>
      <c r="AB28" s="1" t="s">
        <v>186</v>
      </c>
    </row>
    <row r="29" spans="1:28" ht="19.95" customHeight="1" x14ac:dyDescent="0.3">
      <c r="A29" s="98" t="s">
        <v>145</v>
      </c>
      <c r="B29" s="98">
        <f>IF(B28&lt;0, 0, B28)</f>
        <v>0</v>
      </c>
      <c r="C29" s="98">
        <f t="shared" ref="C29:E29" si="1">IF(C28&lt;0, 0, C28)</f>
        <v>0</v>
      </c>
      <c r="D29" s="98">
        <f t="shared" si="1"/>
        <v>0</v>
      </c>
      <c r="E29" s="98">
        <f t="shared" si="1"/>
        <v>1.2113068819432603E-2</v>
      </c>
    </row>
    <row r="30" spans="1:28" x14ac:dyDescent="0.3">
      <c r="A30" s="1" t="s">
        <v>165</v>
      </c>
    </row>
    <row r="31" spans="1:28" ht="31.5" customHeight="1" x14ac:dyDescent="0.3">
      <c r="A31" s="1" t="s">
        <v>161</v>
      </c>
      <c r="B31" s="1" t="s">
        <v>162</v>
      </c>
    </row>
    <row r="32" spans="1:28" ht="19.95" customHeight="1" x14ac:dyDescent="0.3">
      <c r="B32" s="94" t="s">
        <v>134</v>
      </c>
      <c r="C32" s="94" t="s">
        <v>135</v>
      </c>
      <c r="D32" s="94" t="s">
        <v>136</v>
      </c>
      <c r="E32" s="94" t="s">
        <v>163</v>
      </c>
      <c r="F32" s="94" t="s">
        <v>164</v>
      </c>
    </row>
    <row r="33" spans="1:25" ht="19.95" customHeight="1" x14ac:dyDescent="0.3">
      <c r="A33" s="100" t="s">
        <v>141</v>
      </c>
      <c r="B33" s="100"/>
      <c r="C33" s="100"/>
      <c r="D33" s="100"/>
      <c r="E33" s="100"/>
      <c r="F33" s="100"/>
      <c r="J33" s="1" t="s">
        <v>177</v>
      </c>
      <c r="Q33" s="1" t="s">
        <v>179</v>
      </c>
      <c r="W33" s="1" t="s">
        <v>165</v>
      </c>
      <c r="Y33" s="1" t="s">
        <v>187</v>
      </c>
    </row>
    <row r="34" spans="1:25" ht="19.95" customHeight="1" x14ac:dyDescent="0.3">
      <c r="A34" s="100" t="s">
        <v>143</v>
      </c>
      <c r="B34" s="100"/>
      <c r="C34" s="100"/>
      <c r="D34" s="100"/>
      <c r="E34" s="100"/>
      <c r="F34" s="100"/>
      <c r="J34" s="1" t="s">
        <v>167</v>
      </c>
    </row>
    <row r="35" spans="1:25" ht="19.95" customHeight="1" x14ac:dyDescent="0.3">
      <c r="A35" s="1" t="s">
        <v>145</v>
      </c>
      <c r="J35" s="1" t="s">
        <v>182</v>
      </c>
      <c r="Q35" s="1" t="s">
        <v>183</v>
      </c>
      <c r="W35" s="1" t="s">
        <v>165</v>
      </c>
      <c r="Y35" s="1" t="s">
        <v>188</v>
      </c>
    </row>
    <row r="36" spans="1:25" ht="19.95" customHeight="1" x14ac:dyDescent="0.3">
      <c r="A36" s="98" t="s">
        <v>145</v>
      </c>
      <c r="B36" s="98"/>
      <c r="C36" s="98"/>
      <c r="D36" s="98"/>
      <c r="E36" s="98"/>
      <c r="F36" s="98"/>
    </row>
    <row r="38" spans="1:25" ht="31.5" customHeight="1" x14ac:dyDescent="0.3">
      <c r="A38" s="1" t="s">
        <v>169</v>
      </c>
      <c r="B38" s="1" t="s">
        <v>170</v>
      </c>
    </row>
    <row r="39" spans="1:25" ht="19.95" customHeight="1" x14ac:dyDescent="0.3">
      <c r="B39" s="101" t="s">
        <v>134</v>
      </c>
      <c r="C39" s="94" t="s">
        <v>135</v>
      </c>
      <c r="D39" s="94" t="s">
        <v>136</v>
      </c>
      <c r="E39" s="94" t="s">
        <v>163</v>
      </c>
      <c r="F39" s="94" t="s">
        <v>164</v>
      </c>
      <c r="G39" s="94" t="s">
        <v>171</v>
      </c>
    </row>
    <row r="40" spans="1:25" ht="19.95" customHeight="1" x14ac:dyDescent="0.3">
      <c r="A40" s="100" t="s">
        <v>141</v>
      </c>
      <c r="B40" s="102"/>
      <c r="C40" s="100"/>
      <c r="D40" s="100"/>
      <c r="E40" s="100"/>
      <c r="F40" s="100"/>
      <c r="G40" s="100"/>
      <c r="J40" s="1" t="s">
        <v>179</v>
      </c>
      <c r="Q40" s="1" t="s">
        <v>181</v>
      </c>
      <c r="W40" s="1" t="s">
        <v>165</v>
      </c>
      <c r="Y40" s="1" t="s">
        <v>189</v>
      </c>
    </row>
    <row r="41" spans="1:25" ht="19.95" customHeight="1" x14ac:dyDescent="0.3">
      <c r="A41" s="100" t="s">
        <v>143</v>
      </c>
      <c r="B41" s="102"/>
      <c r="C41" s="100"/>
      <c r="D41" s="100"/>
      <c r="E41" s="100"/>
      <c r="F41" s="100"/>
      <c r="G41" s="100"/>
      <c r="J41" s="1" t="s">
        <v>173</v>
      </c>
    </row>
    <row r="42" spans="1:25" ht="19.95" customHeight="1" x14ac:dyDescent="0.3">
      <c r="A42" s="1" t="s">
        <v>145</v>
      </c>
      <c r="B42" s="102"/>
      <c r="J42" s="1" t="s">
        <v>183</v>
      </c>
      <c r="Q42" s="1" t="s">
        <v>184</v>
      </c>
      <c r="W42" s="1" t="s">
        <v>165</v>
      </c>
      <c r="Y42" s="1" t="s">
        <v>190</v>
      </c>
    </row>
    <row r="43" spans="1:25" ht="19.95" customHeight="1" x14ac:dyDescent="0.3">
      <c r="A43" s="98" t="s">
        <v>145</v>
      </c>
      <c r="B43" s="103"/>
      <c r="C43" s="98"/>
      <c r="D43" s="98"/>
      <c r="E43" s="98"/>
      <c r="F43" s="98"/>
      <c r="G43" s="9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A9BC-D177-474E-AA67-991FC2549B73}">
  <dimension ref="A1"/>
  <sheetViews>
    <sheetView tabSelected="1" workbookViewId="0">
      <selection activeCell="O17" sqref="O1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06EF-C3A1-43E1-9A40-99CB5DC40D33}">
  <dimension ref="A1"/>
  <sheetViews>
    <sheetView workbookViewId="0">
      <selection activeCell="K24" sqref="K24"/>
    </sheetView>
  </sheetViews>
  <sheetFormatPr defaultColWidth="8.77734375" defaultRowHeight="14.4" x14ac:dyDescent="0.3"/>
  <cols>
    <col min="1" max="16384" width="8.77734375" style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CFC1CDFB704D47A06EEE3783C84EAF" ma:contentTypeVersion="6" ma:contentTypeDescription="Create a new document." ma:contentTypeScope="" ma:versionID="7d531e021ab0db92571be74b2e809fd8">
  <xsd:schema xmlns:xsd="http://www.w3.org/2001/XMLSchema" xmlns:xs="http://www.w3.org/2001/XMLSchema" xmlns:p="http://schemas.microsoft.com/office/2006/metadata/properties" xmlns:ns2="d2a803db-aa2e-4fe1-8034-40a6d7ae1b04" xmlns:ns3="9a2c642e-028d-4633-94e4-6ffe599895dc" targetNamespace="http://schemas.microsoft.com/office/2006/metadata/properties" ma:root="true" ma:fieldsID="a6d9ff68a511430b5a9d68428fbc0f84" ns2:_="" ns3:_="">
    <xsd:import namespace="d2a803db-aa2e-4fe1-8034-40a6d7ae1b04"/>
    <xsd:import namespace="9a2c642e-028d-4633-94e4-6ffe59989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803db-aa2e-4fe1-8034-40a6d7ae1b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c642e-028d-4633-94e4-6ffe599895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76978E-3910-472E-901E-E9CA524A5E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BDF3D3-85FC-4A92-B966-7E022B5FA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a803db-aa2e-4fe1-8034-40a6d7ae1b04"/>
    <ds:schemaRef ds:uri="9a2c642e-028d-4633-94e4-6ffe59989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EFA28D-32F0-46A5-AE45-F251DE3363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Xbar-R and Xbar-S</vt:lpstr>
      <vt:lpstr>I-MR</vt:lpstr>
      <vt:lpstr>Levey-Jennings</vt:lpstr>
      <vt:lpstr>I-MR-R or S</vt:lpstr>
      <vt:lpstr>P, NP</vt:lpstr>
      <vt:lpstr>unequal size P</vt:lpstr>
      <vt:lpstr>C, U</vt:lpstr>
      <vt:lpstr>unequal size U</vt:lpstr>
      <vt:lpstr>Deviation Calculation</vt:lpstr>
      <vt:lpstr>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Liu1</dc:creator>
  <cp:lastModifiedBy>JiangGi Fam</cp:lastModifiedBy>
  <dcterms:created xsi:type="dcterms:W3CDTF">2020-03-02T01:40:07Z</dcterms:created>
  <dcterms:modified xsi:type="dcterms:W3CDTF">2021-01-21T08:16:17Z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0x0101009CCFC1CDFB704D47A06EEE3783C84EAF</vt:lpwstr>
  </property>
</Properties>
</file>