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Public\Documents\Altium\PCB_Project\"/>
    </mc:Choice>
  </mc:AlternateContent>
  <xr:revisionPtr revIDLastSave="0" documentId="13_ncr:1_{8A97C827-7F3B-4B6D-8D39-0A1A17441E2D}" xr6:coauthVersionLast="36" xr6:coauthVersionMax="47" xr10:uidLastSave="{00000000-0000-0000-0000-000000000000}"/>
  <bookViews>
    <workbookView xWindow="0" yWindow="0" windowWidth="19200" windowHeight="6760" activeTab="3" xr2:uid="{00000000-000D-0000-FFFF-FFFF00000000}"/>
  </bookViews>
  <sheets>
    <sheet name="pin_def" sheetId="1" r:id="rId1"/>
    <sheet name="pad_placement" sheetId="2" r:id="rId2"/>
    <sheet name="sch_hier" sheetId="3" r:id="rId3"/>
    <sheet name="PCB_VREF" sheetId="4" r:id="rId4"/>
  </sheets>
  <calcPr calcId="191029"/>
</workbook>
</file>

<file path=xl/calcChain.xml><?xml version="1.0" encoding="utf-8"?>
<calcChain xmlns="http://schemas.openxmlformats.org/spreadsheetml/2006/main">
  <c r="F8" i="4" l="1"/>
  <c r="F7" i="4"/>
  <c r="F6" i="4"/>
  <c r="F5" i="4"/>
  <c r="D7" i="4"/>
  <c r="D6" i="4"/>
  <c r="D16" i="4"/>
  <c r="D14" i="4"/>
  <c r="D19" i="4"/>
  <c r="E26" i="4" l="1"/>
  <c r="D26" i="4"/>
  <c r="E25" i="4"/>
  <c r="D25" i="4"/>
  <c r="H47" i="4"/>
  <c r="G47" i="4"/>
  <c r="D51" i="4"/>
  <c r="E51" i="4" s="1"/>
  <c r="D47" i="4"/>
  <c r="G40" i="4" s="1"/>
  <c r="D44" i="4"/>
  <c r="D42" i="4"/>
  <c r="D41" i="4"/>
  <c r="E16" i="4"/>
  <c r="D20" i="4"/>
  <c r="E20" i="4" s="1"/>
  <c r="D18" i="4"/>
  <c r="D15" i="4"/>
  <c r="R29" i="2"/>
  <c r="R30" i="2"/>
  <c r="R31" i="2"/>
  <c r="R32" i="2"/>
  <c r="R33" i="2"/>
  <c r="R34" i="2"/>
  <c r="R35" i="2"/>
  <c r="R36" i="2"/>
  <c r="R37" i="2"/>
  <c r="R38" i="2"/>
  <c r="R39" i="2"/>
  <c r="R28" i="2"/>
  <c r="G40" i="2"/>
  <c r="H40" i="2"/>
  <c r="I40" i="2"/>
  <c r="J40" i="2"/>
  <c r="K40" i="2"/>
  <c r="L40" i="2"/>
  <c r="M40" i="2"/>
  <c r="N40" i="2"/>
  <c r="O40" i="2"/>
  <c r="P40" i="2"/>
  <c r="Q40" i="2"/>
  <c r="F40" i="2"/>
  <c r="G27" i="2"/>
  <c r="H27" i="2"/>
  <c r="I27" i="2"/>
  <c r="J27" i="2"/>
  <c r="K27" i="2"/>
  <c r="L27" i="2"/>
  <c r="M27" i="2"/>
  <c r="N27" i="2"/>
  <c r="O27" i="2"/>
  <c r="P27" i="2"/>
  <c r="Q27" i="2"/>
  <c r="F27" i="2"/>
  <c r="E29" i="2"/>
  <c r="E30" i="2"/>
  <c r="E31" i="2"/>
  <c r="E32" i="2"/>
  <c r="E33" i="2"/>
  <c r="E34" i="2"/>
  <c r="E35" i="2"/>
  <c r="E36" i="2"/>
  <c r="E37" i="2"/>
  <c r="E38" i="2"/>
  <c r="E39" i="2"/>
  <c r="E28" i="2"/>
  <c r="G21" i="2"/>
  <c r="H21" i="2"/>
  <c r="I21" i="2"/>
  <c r="J21" i="2"/>
  <c r="K21" i="2"/>
  <c r="L21" i="2"/>
  <c r="M21" i="2"/>
  <c r="N21" i="2"/>
  <c r="O21" i="2"/>
  <c r="P21" i="2"/>
  <c r="Q21" i="2"/>
  <c r="F21" i="2"/>
  <c r="G8" i="2"/>
  <c r="H8" i="2"/>
  <c r="I8" i="2"/>
  <c r="J8" i="2"/>
  <c r="K8" i="2"/>
  <c r="L8" i="2"/>
  <c r="M8" i="2"/>
  <c r="N8" i="2"/>
  <c r="O8" i="2"/>
  <c r="P8" i="2"/>
  <c r="Q8" i="2"/>
  <c r="F8" i="2"/>
  <c r="R10" i="2"/>
  <c r="R11" i="2"/>
  <c r="R12" i="2"/>
  <c r="R13" i="2"/>
  <c r="R14" i="2"/>
  <c r="R15" i="2"/>
  <c r="R16" i="2"/>
  <c r="R17" i="2"/>
  <c r="R18" i="2"/>
  <c r="R19" i="2"/>
  <c r="R20" i="2"/>
  <c r="R9" i="2"/>
  <c r="E10" i="2"/>
  <c r="E11" i="2"/>
  <c r="E12" i="2"/>
  <c r="E13" i="2"/>
  <c r="E14" i="2"/>
  <c r="E15" i="2"/>
  <c r="E16" i="2"/>
  <c r="E17" i="2"/>
  <c r="E18" i="2"/>
  <c r="E19" i="2"/>
  <c r="E20" i="2"/>
  <c r="E9" i="2"/>
  <c r="D52" i="4" l="1"/>
  <c r="E52" i="4" s="1"/>
  <c r="H48" i="4"/>
  <c r="G48" i="4"/>
  <c r="H43" i="4"/>
  <c r="H42" i="4"/>
  <c r="E14" i="4"/>
  <c r="E15" i="4"/>
  <c r="E18" i="4"/>
  <c r="F15" i="4"/>
  <c r="F19" i="4" s="1"/>
  <c r="E19" i="4"/>
  <c r="G16" i="4"/>
  <c r="G20" i="4" s="1"/>
  <c r="F16" i="4"/>
  <c r="F20" i="4" s="1"/>
  <c r="G15" i="4"/>
  <c r="G19" i="4" s="1"/>
  <c r="G14" i="4"/>
  <c r="G18" i="4" s="1"/>
  <c r="F14" i="4"/>
  <c r="F18" i="4" s="1"/>
  <c r="I20" i="4" l="1"/>
  <c r="L20" i="4" s="1"/>
  <c r="O20" i="4"/>
  <c r="R20" i="4" s="1"/>
  <c r="J20" i="4"/>
  <c r="M20" i="4" s="1"/>
  <c r="P20" i="4"/>
  <c r="S20" i="4" s="1"/>
  <c r="I18" i="4"/>
  <c r="L18" i="4" s="1"/>
  <c r="O18" i="4"/>
  <c r="R18" i="4" s="1"/>
  <c r="P19" i="4"/>
  <c r="S19" i="4" s="1"/>
  <c r="J19" i="4"/>
  <c r="M19" i="4" s="1"/>
  <c r="O19" i="4"/>
  <c r="R19" i="4" s="1"/>
  <c r="I19" i="4"/>
  <c r="L19" i="4" s="1"/>
  <c r="J18" i="4"/>
  <c r="M18" i="4" s="1"/>
  <c r="P18" i="4"/>
  <c r="S18" i="4" s="1"/>
</calcChain>
</file>

<file path=xl/sharedStrings.xml><?xml version="1.0" encoding="utf-8"?>
<sst xmlns="http://schemas.openxmlformats.org/spreadsheetml/2006/main" count="391" uniqueCount="237">
  <si>
    <t>No.</t>
  </si>
  <si>
    <t>Cat.</t>
  </si>
  <si>
    <t>Pad Inst. Name</t>
  </si>
  <si>
    <t>Name</t>
  </si>
  <si>
    <t>A/D</t>
  </si>
  <si>
    <t>I/O</t>
  </si>
  <si>
    <t>current</t>
  </si>
  <si>
    <t>freq</t>
  </si>
  <si>
    <t>out buffer</t>
  </si>
  <si>
    <t>note</t>
  </si>
  <si>
    <t>Pad</t>
  </si>
  <si>
    <t>direction</t>
  </si>
  <si>
    <t>Block</t>
  </si>
  <si>
    <t>Power</t>
  </si>
  <si>
    <r>
      <rPr>
        <sz val="12"/>
        <color theme="1"/>
        <rFont val="Calibri"/>
        <family val="2"/>
      </rPr>
      <t>VDD_2</t>
    </r>
    <r>
      <rPr>
        <sz val="12"/>
        <color theme="1"/>
        <rFont val="Calibri"/>
        <family val="2"/>
      </rPr>
      <t>V</t>
    </r>
    <r>
      <rPr>
        <sz val="12"/>
        <color theme="1"/>
        <rFont val="Calibri"/>
        <family val="2"/>
      </rPr>
      <t>8</t>
    </r>
    <r>
      <rPr>
        <sz val="12"/>
        <color theme="1"/>
        <rFont val="Calibri"/>
        <family val="2"/>
      </rPr>
      <t>_</t>
    </r>
    <r>
      <rPr>
        <sz val="12"/>
        <color theme="1"/>
        <rFont val="Calibri"/>
        <family val="2"/>
      </rPr>
      <t>OP1</t>
    </r>
  </si>
  <si>
    <t>POWER</t>
  </si>
  <si>
    <t>VDDI_33</t>
  </si>
  <si>
    <r>
      <rPr>
        <sz val="12"/>
        <color theme="1"/>
        <rFont val="Calibri"/>
        <family val="2"/>
      </rPr>
      <t>VDD_</t>
    </r>
    <r>
      <rPr>
        <sz val="12"/>
        <color theme="1"/>
        <rFont val="Calibri"/>
        <family val="2"/>
      </rPr>
      <t>2V8_</t>
    </r>
    <r>
      <rPr>
        <sz val="12"/>
        <color theme="1"/>
        <rFont val="Calibri"/>
        <family val="2"/>
      </rPr>
      <t>OP2</t>
    </r>
  </si>
  <si>
    <r>
      <rPr>
        <sz val="12"/>
        <color theme="1"/>
        <rFont val="Calibri"/>
        <family val="2"/>
      </rPr>
      <t>VDD_2</t>
    </r>
    <r>
      <rPr>
        <sz val="12"/>
        <color theme="1"/>
        <rFont val="Calibri"/>
        <family val="2"/>
      </rPr>
      <t>V8_</t>
    </r>
    <r>
      <rPr>
        <sz val="12"/>
        <color theme="1"/>
        <rFont val="Calibri"/>
        <family val="2"/>
      </rPr>
      <t>OP3</t>
    </r>
  </si>
  <si>
    <r>
      <rPr>
        <sz val="12"/>
        <color theme="1"/>
        <rFont val="Calibri"/>
        <family val="2"/>
      </rPr>
      <t>P</t>
    </r>
    <r>
      <rPr>
        <sz val="12"/>
        <color theme="1"/>
        <rFont val="Calibri"/>
        <family val="2"/>
      </rPr>
      <t>ower</t>
    </r>
  </si>
  <si>
    <r>
      <rPr>
        <sz val="12"/>
        <color theme="1"/>
        <rFont val="Calibri"/>
        <family val="2"/>
      </rPr>
      <t>P</t>
    </r>
    <r>
      <rPr>
        <sz val="12"/>
        <color theme="1"/>
        <rFont val="Calibri"/>
        <family val="2"/>
      </rPr>
      <t>OWER</t>
    </r>
  </si>
  <si>
    <t>Current Mirror</t>
  </si>
  <si>
    <r>
      <rPr>
        <sz val="12"/>
        <color theme="1"/>
        <rFont val="Calibri"/>
        <family val="2"/>
      </rPr>
      <t>P</t>
    </r>
    <r>
      <rPr>
        <sz val="12"/>
        <color theme="1"/>
        <rFont val="Calibri"/>
        <family val="2"/>
      </rPr>
      <t>ower</t>
    </r>
  </si>
  <si>
    <t>AVSS0</t>
  </si>
  <si>
    <r>
      <rPr>
        <sz val="12"/>
        <color theme="1"/>
        <rFont val="Calibri"/>
        <family val="2"/>
      </rPr>
      <t>V</t>
    </r>
    <r>
      <rPr>
        <sz val="12"/>
        <color theme="1"/>
        <rFont val="Calibri"/>
        <family val="2"/>
      </rPr>
      <t>SSI_33</t>
    </r>
  </si>
  <si>
    <t>AVSS1</t>
  </si>
  <si>
    <r>
      <rPr>
        <sz val="12"/>
        <color theme="1"/>
        <rFont val="Calibri"/>
        <family val="2"/>
      </rPr>
      <t>P</t>
    </r>
    <r>
      <rPr>
        <sz val="12"/>
        <color theme="1"/>
        <rFont val="Calibri"/>
        <family val="2"/>
      </rPr>
      <t>ower</t>
    </r>
  </si>
  <si>
    <r>
      <rPr>
        <sz val="12"/>
        <color theme="1"/>
        <rFont val="Calibri"/>
        <family val="2"/>
      </rPr>
      <t>D</t>
    </r>
    <r>
      <rPr>
        <sz val="12"/>
        <color theme="1"/>
        <rFont val="Calibri"/>
        <family val="2"/>
      </rPr>
      <t>VSS</t>
    </r>
  </si>
  <si>
    <r>
      <rPr>
        <sz val="12"/>
        <color theme="1"/>
        <rFont val="Calibri"/>
        <family val="2"/>
      </rPr>
      <t>P</t>
    </r>
    <r>
      <rPr>
        <sz val="12"/>
        <color theme="1"/>
        <rFont val="Calibri"/>
        <family val="2"/>
      </rPr>
      <t>OWER</t>
    </r>
  </si>
  <si>
    <t>VDD_IO0</t>
  </si>
  <si>
    <t>VDDE_33</t>
  </si>
  <si>
    <t>VSS_IO0</t>
  </si>
  <si>
    <t>VSSE_33</t>
  </si>
  <si>
    <t>VDD_IO1</t>
  </si>
  <si>
    <t>VSS_IO1</t>
  </si>
  <si>
    <t>VDD_2V8_0</t>
  </si>
  <si>
    <t>VDD_2V8_1</t>
  </si>
  <si>
    <t>VDD_2V8_2</t>
  </si>
  <si>
    <t>VREFP</t>
  </si>
  <si>
    <t>REF</t>
  </si>
  <si>
    <t>I</t>
  </si>
  <si>
    <r>
      <rPr>
        <sz val="12"/>
        <color theme="1"/>
        <rFont val="Calibri"/>
        <family val="2"/>
      </rPr>
      <t>A</t>
    </r>
    <r>
      <rPr>
        <sz val="12"/>
        <color theme="1"/>
        <rFont val="Calibri"/>
        <family val="2"/>
      </rPr>
      <t>IN_33</t>
    </r>
  </si>
  <si>
    <t>VREFN</t>
  </si>
  <si>
    <r>
      <rPr>
        <sz val="12"/>
        <color theme="1"/>
        <rFont val="Calibri"/>
        <family val="2"/>
      </rPr>
      <t>A</t>
    </r>
    <r>
      <rPr>
        <sz val="12"/>
        <color theme="1"/>
        <rFont val="Calibri"/>
        <family val="2"/>
      </rPr>
      <t>IN_33</t>
    </r>
  </si>
  <si>
    <t>VREF_1V4</t>
  </si>
  <si>
    <r>
      <rPr>
        <sz val="12"/>
        <color theme="1"/>
        <rFont val="Calibri"/>
        <family val="2"/>
      </rPr>
      <t>A</t>
    </r>
    <r>
      <rPr>
        <sz val="12"/>
        <color theme="1"/>
        <rFont val="Calibri"/>
        <family val="2"/>
      </rPr>
      <t>IN_33</t>
    </r>
  </si>
  <si>
    <r>
      <rPr>
        <sz val="12"/>
        <color theme="1"/>
        <rFont val="Calibri"/>
        <family val="2"/>
      </rPr>
      <t>A</t>
    </r>
    <r>
      <rPr>
        <sz val="12"/>
        <color theme="1"/>
        <rFont val="Calibri"/>
        <family val="2"/>
      </rPr>
      <t>IN_33</t>
    </r>
  </si>
  <si>
    <t>Clock</t>
  </si>
  <si>
    <t>CK_D</t>
  </si>
  <si>
    <t>D</t>
  </si>
  <si>
    <t>O</t>
  </si>
  <si>
    <t>2M</t>
  </si>
  <si>
    <r>
      <rPr>
        <sz val="12"/>
        <color theme="1"/>
        <rFont val="Calibri"/>
        <family val="2"/>
      </rPr>
      <t>O</t>
    </r>
    <r>
      <rPr>
        <sz val="12"/>
        <color theme="1"/>
        <rFont val="Calibri"/>
        <family val="2"/>
      </rPr>
      <t>U02_33</t>
    </r>
  </si>
  <si>
    <t>CK_P1</t>
  </si>
  <si>
    <t>1M</t>
  </si>
  <si>
    <r>
      <rPr>
        <sz val="12"/>
        <color theme="1"/>
        <rFont val="Calibri"/>
        <family val="2"/>
      </rPr>
      <t>O</t>
    </r>
    <r>
      <rPr>
        <sz val="12"/>
        <color theme="1"/>
        <rFont val="Calibri"/>
        <family val="2"/>
      </rPr>
      <t>U02_33</t>
    </r>
  </si>
  <si>
    <r>
      <rPr>
        <sz val="12"/>
        <color theme="1"/>
        <rFont val="Calibri"/>
        <family val="2"/>
      </rPr>
      <t>CK_P1_</t>
    </r>
    <r>
      <rPr>
        <sz val="12"/>
        <color theme="1"/>
        <rFont val="Calibri"/>
        <family val="2"/>
      </rPr>
      <t>PRE</t>
    </r>
  </si>
  <si>
    <r>
      <rPr>
        <sz val="12"/>
        <color theme="1"/>
        <rFont val="Calibri"/>
        <family val="2"/>
      </rPr>
      <t>O</t>
    </r>
    <r>
      <rPr>
        <sz val="12"/>
        <color theme="1"/>
        <rFont val="Calibri"/>
        <family val="2"/>
      </rPr>
      <t>U02_33</t>
    </r>
  </si>
  <si>
    <t>CK_P2</t>
  </si>
  <si>
    <r>
      <rPr>
        <sz val="12"/>
        <color theme="1"/>
        <rFont val="Calibri"/>
        <family val="2"/>
      </rPr>
      <t>O</t>
    </r>
    <r>
      <rPr>
        <sz val="12"/>
        <color theme="1"/>
        <rFont val="Calibri"/>
        <family val="2"/>
      </rPr>
      <t>U02_33</t>
    </r>
  </si>
  <si>
    <r>
      <rPr>
        <sz val="12"/>
        <color theme="1"/>
        <rFont val="Calibri"/>
        <family val="2"/>
      </rPr>
      <t>CK_</t>
    </r>
    <r>
      <rPr>
        <sz val="12"/>
        <color theme="1"/>
        <rFont val="Calibri"/>
        <family val="2"/>
      </rPr>
      <t>CHOPA</t>
    </r>
  </si>
  <si>
    <t>0.5M</t>
  </si>
  <si>
    <r>
      <rPr>
        <sz val="12"/>
        <color theme="1"/>
        <rFont val="Calibri"/>
        <family val="2"/>
      </rPr>
      <t>O</t>
    </r>
    <r>
      <rPr>
        <sz val="12"/>
        <color theme="1"/>
        <rFont val="Calibri"/>
        <family val="2"/>
      </rPr>
      <t>U02_33</t>
    </r>
  </si>
  <si>
    <r>
      <rPr>
        <sz val="12"/>
        <color theme="1"/>
        <rFont val="Calibri"/>
        <family val="2"/>
      </rPr>
      <t>CK_</t>
    </r>
    <r>
      <rPr>
        <sz val="12"/>
        <color theme="1"/>
        <rFont val="Calibri"/>
        <family val="2"/>
      </rPr>
      <t>CHOPB</t>
    </r>
  </si>
  <si>
    <r>
      <rPr>
        <sz val="12"/>
        <color theme="1"/>
        <rFont val="Calibri"/>
        <family val="2"/>
      </rPr>
      <t>O</t>
    </r>
    <r>
      <rPr>
        <sz val="12"/>
        <color theme="1"/>
        <rFont val="Calibri"/>
        <family val="2"/>
      </rPr>
      <t>U02_33</t>
    </r>
  </si>
  <si>
    <t>Control</t>
  </si>
  <si>
    <t>CK_RST</t>
  </si>
  <si>
    <t>1/32u
1/64u
1/128u
1/256u</t>
  </si>
  <si>
    <r>
      <rPr>
        <sz val="12"/>
        <color theme="1"/>
        <rFont val="Calibri"/>
        <family val="2"/>
      </rPr>
      <t>D</t>
    </r>
    <r>
      <rPr>
        <sz val="12"/>
        <color theme="1"/>
        <rFont val="Calibri"/>
        <family val="2"/>
      </rPr>
      <t>IN_33</t>
    </r>
  </si>
  <si>
    <t>Output</t>
  </si>
  <si>
    <t>VO</t>
  </si>
  <si>
    <t>OU02_33</t>
  </si>
  <si>
    <t>VO_INT1P</t>
  </si>
  <si>
    <t>A</t>
  </si>
  <si>
    <t>Y</t>
  </si>
  <si>
    <r>
      <rPr>
        <sz val="12"/>
        <color theme="1"/>
        <rFont val="Calibri"/>
        <family val="2"/>
      </rPr>
      <t>A</t>
    </r>
    <r>
      <rPr>
        <sz val="12"/>
        <color theme="1"/>
        <rFont val="Calibri"/>
        <family val="2"/>
      </rPr>
      <t>IN_33</t>
    </r>
  </si>
  <si>
    <t>VO_INT1N</t>
  </si>
  <si>
    <r>
      <rPr>
        <sz val="12"/>
        <color theme="1"/>
        <rFont val="Calibri"/>
        <family val="2"/>
      </rPr>
      <t>A</t>
    </r>
    <r>
      <rPr>
        <sz val="12"/>
        <color theme="1"/>
        <rFont val="Calibri"/>
        <family val="2"/>
      </rPr>
      <t>IN_33</t>
    </r>
  </si>
  <si>
    <t>VO_INT2P</t>
  </si>
  <si>
    <r>
      <rPr>
        <sz val="12"/>
        <color theme="1"/>
        <rFont val="Calibri"/>
        <family val="2"/>
      </rPr>
      <t>A</t>
    </r>
    <r>
      <rPr>
        <sz val="12"/>
        <color theme="1"/>
        <rFont val="Calibri"/>
        <family val="2"/>
      </rPr>
      <t>IN_33</t>
    </r>
  </si>
  <si>
    <t>VO_INT2N</t>
  </si>
  <si>
    <r>
      <rPr>
        <sz val="12"/>
        <color theme="1"/>
        <rFont val="Calibri"/>
        <family val="2"/>
      </rPr>
      <t>A</t>
    </r>
    <r>
      <rPr>
        <sz val="12"/>
        <color theme="1"/>
        <rFont val="Calibri"/>
        <family val="2"/>
      </rPr>
      <t>IN_33</t>
    </r>
  </si>
  <si>
    <t>VO_INT3P</t>
  </si>
  <si>
    <r>
      <rPr>
        <sz val="12"/>
        <color theme="1"/>
        <rFont val="Calibri"/>
        <family val="2"/>
      </rPr>
      <t>A</t>
    </r>
    <r>
      <rPr>
        <sz val="12"/>
        <color theme="1"/>
        <rFont val="Calibri"/>
        <family val="2"/>
      </rPr>
      <t>IN_33</t>
    </r>
  </si>
  <si>
    <t>VO_INT3N</t>
  </si>
  <si>
    <r>
      <rPr>
        <sz val="12"/>
        <color theme="1"/>
        <rFont val="Calibri"/>
        <family val="2"/>
      </rPr>
      <t>A</t>
    </r>
    <r>
      <rPr>
        <sz val="12"/>
        <color theme="1"/>
        <rFont val="Calibri"/>
        <family val="2"/>
      </rPr>
      <t>IN_33</t>
    </r>
  </si>
  <si>
    <r>
      <rPr>
        <sz val="12"/>
        <color theme="1"/>
        <rFont val="Calibri"/>
        <family val="2"/>
      </rPr>
      <t>I</t>
    </r>
    <r>
      <rPr>
        <sz val="12"/>
        <color theme="1"/>
        <rFont val="Calibri"/>
        <family val="2"/>
      </rPr>
      <t>nput</t>
    </r>
  </si>
  <si>
    <t>VIP</t>
  </si>
  <si>
    <r>
      <rPr>
        <sz val="12"/>
        <color theme="1"/>
        <rFont val="Calibri"/>
        <family val="2"/>
      </rPr>
      <t>A</t>
    </r>
    <r>
      <rPr>
        <sz val="12"/>
        <color theme="1"/>
        <rFont val="Calibri"/>
        <family val="2"/>
      </rPr>
      <t>IN_33</t>
    </r>
  </si>
  <si>
    <r>
      <rPr>
        <sz val="12"/>
        <color theme="1"/>
        <rFont val="Calibri"/>
        <family val="2"/>
      </rPr>
      <t>I</t>
    </r>
    <r>
      <rPr>
        <sz val="12"/>
        <color theme="1"/>
        <rFont val="Calibri"/>
        <family val="2"/>
      </rPr>
      <t>nput</t>
    </r>
  </si>
  <si>
    <r>
      <rPr>
        <sz val="12"/>
        <color theme="1"/>
        <rFont val="Calibri"/>
        <family val="2"/>
      </rPr>
      <t>V</t>
    </r>
    <r>
      <rPr>
        <sz val="12"/>
        <color theme="1"/>
        <rFont val="Calibri"/>
        <family val="2"/>
      </rPr>
      <t>IN</t>
    </r>
  </si>
  <si>
    <r>
      <rPr>
        <sz val="12"/>
        <color theme="1"/>
        <rFont val="Calibri"/>
        <family val="2"/>
      </rPr>
      <t>A</t>
    </r>
    <r>
      <rPr>
        <sz val="12"/>
        <color theme="1"/>
        <rFont val="Calibri"/>
        <family val="2"/>
      </rPr>
      <t>IN_33</t>
    </r>
  </si>
  <si>
    <t>control</t>
  </si>
  <si>
    <r>
      <rPr>
        <sz val="12"/>
        <color theme="1"/>
        <rFont val="Calibri"/>
        <family val="2"/>
      </rPr>
      <t>TRIM_</t>
    </r>
    <r>
      <rPr>
        <sz val="12"/>
        <color theme="1"/>
        <rFont val="Calibri"/>
        <family val="2"/>
      </rPr>
      <t>DE&lt;0&gt;</t>
    </r>
  </si>
  <si>
    <t>Dead Time Gen Trimming</t>
  </si>
  <si>
    <r>
      <rPr>
        <sz val="12"/>
        <color theme="1"/>
        <rFont val="Calibri"/>
        <family val="2"/>
      </rPr>
      <t>D</t>
    </r>
    <r>
      <rPr>
        <sz val="12"/>
        <color theme="1"/>
        <rFont val="Calibri"/>
        <family val="2"/>
      </rPr>
      <t>IN_33</t>
    </r>
  </si>
  <si>
    <r>
      <rPr>
        <sz val="11"/>
        <color rgb="FF1F1F1F"/>
        <rFont val="Arial"/>
        <family val="2"/>
      </rPr>
      <t>TRIM_</t>
    </r>
    <r>
      <rPr>
        <sz val="11"/>
        <color rgb="FF1F1F1F"/>
        <rFont val="Arial"/>
        <family val="2"/>
      </rPr>
      <t>DE&lt;1&gt;</t>
    </r>
  </si>
  <si>
    <r>
      <rPr>
        <sz val="12"/>
        <color theme="1"/>
        <rFont val="Calibri"/>
        <family val="2"/>
      </rPr>
      <t>D</t>
    </r>
    <r>
      <rPr>
        <sz val="12"/>
        <color theme="1"/>
        <rFont val="Calibri"/>
        <family val="2"/>
      </rPr>
      <t>IN_33</t>
    </r>
  </si>
  <si>
    <r>
      <rPr>
        <sz val="12"/>
        <color theme="1"/>
        <rFont val="Calibri"/>
        <family val="2"/>
      </rPr>
      <t>D</t>
    </r>
    <r>
      <rPr>
        <sz val="12"/>
        <color theme="1"/>
        <rFont val="Calibri"/>
        <family val="2"/>
      </rPr>
      <t>IN_33</t>
    </r>
  </si>
  <si>
    <r>
      <rPr>
        <sz val="12"/>
        <color theme="1"/>
        <rFont val="Calibri"/>
        <family val="2"/>
      </rPr>
      <t>D</t>
    </r>
    <r>
      <rPr>
        <sz val="12"/>
        <color theme="1"/>
        <rFont val="Calibri"/>
        <family val="2"/>
      </rPr>
      <t>IN_33</t>
    </r>
  </si>
  <si>
    <r>
      <rPr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>K_BUF&lt;0&gt;</t>
    </r>
  </si>
  <si>
    <r>
      <rPr>
        <sz val="12"/>
        <color theme="1"/>
        <rFont val="Calibri"/>
        <family val="2"/>
      </rPr>
      <t>B</t>
    </r>
    <r>
      <rPr>
        <sz val="12"/>
        <color theme="1"/>
        <rFont val="Calibri"/>
        <family val="2"/>
      </rPr>
      <t>UF ON Select</t>
    </r>
  </si>
  <si>
    <r>
      <rPr>
        <sz val="12"/>
        <color theme="1"/>
        <rFont val="Calibri"/>
        <family val="2"/>
      </rPr>
      <t>D</t>
    </r>
    <r>
      <rPr>
        <sz val="12"/>
        <color theme="1"/>
        <rFont val="Calibri"/>
        <family val="2"/>
      </rPr>
      <t>IN_33</t>
    </r>
  </si>
  <si>
    <r>
      <rPr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>K_BUF&lt;1&gt;</t>
    </r>
  </si>
  <si>
    <r>
      <rPr>
        <sz val="12"/>
        <color theme="1"/>
        <rFont val="Calibri"/>
        <family val="2"/>
      </rPr>
      <t>B</t>
    </r>
    <r>
      <rPr>
        <sz val="12"/>
        <color theme="1"/>
        <rFont val="Calibri"/>
        <family val="2"/>
      </rPr>
      <t>UF ON Select</t>
    </r>
  </si>
  <si>
    <r>
      <rPr>
        <sz val="12"/>
        <color theme="1"/>
        <rFont val="Calibri"/>
        <family val="2"/>
      </rPr>
      <t>D</t>
    </r>
    <r>
      <rPr>
        <sz val="12"/>
        <color theme="1"/>
        <rFont val="Calibri"/>
        <family val="2"/>
      </rPr>
      <t>IN_33</t>
    </r>
  </si>
  <si>
    <r>
      <rPr>
        <sz val="12"/>
        <color theme="1"/>
        <rFont val="Calibri"/>
        <family val="2"/>
      </rPr>
      <t>D</t>
    </r>
    <r>
      <rPr>
        <sz val="12"/>
        <color theme="1"/>
        <rFont val="Calibri"/>
        <family val="2"/>
      </rPr>
      <t>IN_33</t>
    </r>
  </si>
  <si>
    <r>
      <rPr>
        <sz val="12"/>
        <color theme="1"/>
        <rFont val="Calibri"/>
        <family val="2"/>
      </rPr>
      <t>E</t>
    </r>
    <r>
      <rPr>
        <sz val="12"/>
        <color theme="1"/>
        <rFont val="Calibri"/>
        <family val="2"/>
      </rPr>
      <t>xternal Clock</t>
    </r>
  </si>
  <si>
    <t>I3</t>
  </si>
  <si>
    <t>Decoder_2t4_for_DE</t>
  </si>
  <si>
    <t>IO_pads</t>
  </si>
  <si>
    <t>I10</t>
  </si>
  <si>
    <t>Dummy</t>
  </si>
  <si>
    <t>I8</t>
  </si>
  <si>
    <t>I25</t>
  </si>
  <si>
    <r>
      <rPr>
        <sz val="12"/>
        <color theme="1"/>
        <rFont val="Calibri"/>
        <family val="2"/>
      </rPr>
      <t>I26</t>
    </r>
  </si>
  <si>
    <t>I29</t>
  </si>
  <si>
    <r>
      <rPr>
        <sz val="12"/>
        <color theme="1"/>
        <rFont val="Calibri"/>
        <family val="2"/>
      </rPr>
      <t>I30</t>
    </r>
  </si>
  <si>
    <r>
      <rPr>
        <sz val="12"/>
        <color theme="1"/>
        <rFont val="Calibri"/>
        <family val="2"/>
      </rPr>
      <t>I31</t>
    </r>
  </si>
  <si>
    <r>
      <rPr>
        <sz val="12"/>
        <color theme="1"/>
        <rFont val="Calibri"/>
        <family val="2"/>
      </rPr>
      <t>I32</t>
    </r>
  </si>
  <si>
    <t>U0</t>
  </si>
  <si>
    <t>top_schematic_l1</t>
  </si>
  <si>
    <r>
      <rPr>
        <sz val="12"/>
        <color theme="1"/>
        <rFont val="Calibri"/>
        <family val="2"/>
      </rPr>
      <t>I</t>
    </r>
    <r>
      <rPr>
        <sz val="12"/>
        <color theme="1"/>
        <rFont val="Calibri"/>
        <family val="2"/>
      </rPr>
      <t>1</t>
    </r>
  </si>
  <si>
    <t>clk_gen(nonoverlap)</t>
  </si>
  <si>
    <r>
      <rPr>
        <sz val="12"/>
        <color theme="1"/>
        <rFont val="Calibri"/>
        <family val="2"/>
      </rPr>
      <t>I</t>
    </r>
    <r>
      <rPr>
        <sz val="12"/>
        <color theme="1"/>
        <rFont val="Calibri"/>
        <family val="2"/>
      </rPr>
      <t>0</t>
    </r>
  </si>
  <si>
    <r>
      <rPr>
        <sz val="12"/>
        <color theme="1"/>
        <rFont val="Calibri"/>
        <family val="2"/>
      </rPr>
      <t>I</t>
    </r>
    <r>
      <rPr>
        <sz val="12"/>
        <color theme="1"/>
        <rFont val="Calibri"/>
        <family val="2"/>
      </rPr>
      <t>687</t>
    </r>
  </si>
  <si>
    <t>CMP</t>
  </si>
  <si>
    <t>I1219</t>
  </si>
  <si>
    <t>and_for_ADC</t>
  </si>
  <si>
    <t>I1220</t>
  </si>
  <si>
    <t>not_for_ADC</t>
  </si>
  <si>
    <t>INT</t>
    <phoneticPr fontId="5" type="noConversion"/>
  </si>
  <si>
    <t>BG</t>
    <phoneticPr fontId="5" type="noConversion"/>
  </si>
  <si>
    <t>Deadtime gen</t>
    <phoneticPr fontId="5" type="noConversion"/>
  </si>
  <si>
    <t>Buffer</t>
    <phoneticPr fontId="5" type="noConversion"/>
  </si>
  <si>
    <t>VSSE</t>
    <phoneticPr fontId="5" type="noConversion"/>
  </si>
  <si>
    <t>color</t>
    <phoneticPr fontId="5" type="noConversion"/>
  </si>
  <si>
    <t>substrate
votagel</t>
    <phoneticPr fontId="5" type="noConversion"/>
  </si>
  <si>
    <t>AVSS</t>
    <phoneticPr fontId="5" type="noConversion"/>
  </si>
  <si>
    <t>DVSS</t>
    <phoneticPr fontId="5" type="noConversion"/>
  </si>
  <si>
    <t>VDD_2V8_BG</t>
    <phoneticPr fontId="5" type="noConversion"/>
  </si>
  <si>
    <t>BG_IBIAS</t>
    <phoneticPr fontId="5" type="noConversion"/>
  </si>
  <si>
    <t>CK_IN</t>
    <phoneticPr fontId="5" type="noConversion"/>
  </si>
  <si>
    <t>D</t>
    <phoneticPr fontId="5" type="noConversion"/>
  </si>
  <si>
    <t>I</t>
    <phoneticPr fontId="5" type="noConversion"/>
  </si>
  <si>
    <t>2M(?)</t>
    <phoneticPr fontId="5" type="noConversion"/>
  </si>
  <si>
    <t>00-&gt;X   10-&gt;int2
01-&gt;int1  11-&gt;int3</t>
    <phoneticPr fontId="5" type="noConversion"/>
  </si>
  <si>
    <t>TRIM_CAP&lt;0&gt;</t>
    <phoneticPr fontId="5" type="noConversion"/>
  </si>
  <si>
    <t>TRIM_CAP&lt;1&gt;</t>
    <phoneticPr fontId="5" type="noConversion"/>
  </si>
  <si>
    <t>first stage cap Trimming</t>
    <phoneticPr fontId="5" type="noConversion"/>
  </si>
  <si>
    <t>TRIM_BG&lt;0&gt;</t>
    <phoneticPr fontId="5" type="noConversion"/>
  </si>
  <si>
    <t>TRIM_BG&lt;1&gt;</t>
  </si>
  <si>
    <t>TRIM_BG&lt;2&gt;</t>
  </si>
  <si>
    <t>TRIM_BG&lt;3&gt;</t>
  </si>
  <si>
    <t>TRIM_BG&lt;4&gt;</t>
  </si>
  <si>
    <t>TRIM_BG&lt;5&gt;</t>
  </si>
  <si>
    <t>Bandgap Trimming</t>
    <phoneticPr fontId="5" type="noConversion"/>
  </si>
  <si>
    <t>CK_BG_S</t>
    <phoneticPr fontId="5" type="noConversion"/>
  </si>
  <si>
    <t>BG ON Select</t>
    <phoneticPr fontId="5" type="noConversion"/>
  </si>
  <si>
    <t>control</t>
    <phoneticPr fontId="5" type="noConversion"/>
  </si>
  <si>
    <t>A</t>
    <phoneticPr fontId="5" type="noConversion"/>
  </si>
  <si>
    <t>BG OFF source</t>
    <phoneticPr fontId="5" type="noConversion"/>
  </si>
  <si>
    <t>VDDE_33</t>
    <phoneticPr fontId="5" type="noConversion"/>
  </si>
  <si>
    <t>VSSE_33</t>
    <phoneticPr fontId="5" type="noConversion"/>
  </si>
  <si>
    <t>top_schematic_v1</t>
    <phoneticPr fontId="5" type="noConversion"/>
  </si>
  <si>
    <t>postsim_export_v1</t>
    <phoneticPr fontId="5" type="noConversion"/>
  </si>
  <si>
    <t>top_schematic_l2_v2</t>
    <phoneticPr fontId="5" type="noConversion"/>
  </si>
  <si>
    <t>postsim_export_v2</t>
    <phoneticPr fontId="5" type="noConversion"/>
  </si>
  <si>
    <t>Decoder_2t4_for_buffer</t>
    <phoneticPr fontId="5" type="noConversion"/>
  </si>
  <si>
    <t>Current drain</t>
    <phoneticPr fontId="5" type="noConversion"/>
  </si>
  <si>
    <t>Output_buffer_layout_v2</t>
  </si>
  <si>
    <t>Output_buffer_layout_v2</t>
    <phoneticPr fontId="5" type="noConversion"/>
  </si>
  <si>
    <t>ADC_integrated</t>
    <phoneticPr fontId="5" type="noConversion"/>
  </si>
  <si>
    <t>ADC_stage1</t>
    <phoneticPr fontId="5" type="noConversion"/>
  </si>
  <si>
    <t>ADC_stage2</t>
  </si>
  <si>
    <t>ADC_stage3</t>
  </si>
  <si>
    <t>I4</t>
    <phoneticPr fontId="5" type="noConversion"/>
  </si>
  <si>
    <t>I1</t>
    <phoneticPr fontId="5" type="noConversion"/>
  </si>
  <si>
    <t>I2</t>
    <phoneticPr fontId="5" type="noConversion"/>
  </si>
  <si>
    <t>ADC_adder</t>
    <phoneticPr fontId="5" type="noConversion"/>
  </si>
  <si>
    <t>I3</t>
    <phoneticPr fontId="5" type="noConversion"/>
  </si>
  <si>
    <t>VREFN</t>
    <phoneticPr fontId="5" type="noConversion"/>
  </si>
  <si>
    <t>VDD</t>
    <phoneticPr fontId="5" type="noConversion"/>
  </si>
  <si>
    <t>VREF</t>
    <phoneticPr fontId="5" type="noConversion"/>
  </si>
  <si>
    <t>VREFP</t>
    <phoneticPr fontId="5" type="noConversion"/>
  </si>
  <si>
    <t>Diode Vz</t>
    <phoneticPr fontId="5" type="noConversion"/>
  </si>
  <si>
    <t>Rdown</t>
    <phoneticPr fontId="5" type="noConversion"/>
  </si>
  <si>
    <t>Radj</t>
    <phoneticPr fontId="5" type="noConversion"/>
  </si>
  <si>
    <t>VREFP_PCB_min</t>
    <phoneticPr fontId="5" type="noConversion"/>
  </si>
  <si>
    <t>VREFN_PCB_min</t>
    <phoneticPr fontId="5" type="noConversion"/>
  </si>
  <si>
    <t>VREF_PCB_min</t>
    <phoneticPr fontId="5" type="noConversion"/>
  </si>
  <si>
    <t>2.15u</t>
    <phoneticPr fontId="5" type="noConversion"/>
  </si>
  <si>
    <t>VREFN_PCB_max</t>
    <phoneticPr fontId="5" type="noConversion"/>
  </si>
  <si>
    <t>VREFP_PCB_max</t>
    <phoneticPr fontId="5" type="noConversion"/>
  </si>
  <si>
    <t>VREF_PCB_max</t>
    <phoneticPr fontId="5" type="noConversion"/>
  </si>
  <si>
    <r>
      <t>15deg</t>
    </r>
    <r>
      <rPr>
        <sz val="12"/>
        <color theme="1"/>
        <rFont val="Microsoft JhengHei"/>
        <family val="2"/>
        <charset val="136"/>
      </rPr>
      <t>當作最小</t>
    </r>
    <r>
      <rPr>
        <sz val="12"/>
        <color theme="1"/>
        <rFont val="Calibri"/>
        <family val="2"/>
      </rPr>
      <t>resolution</t>
    </r>
    <phoneticPr fontId="5" type="noConversion"/>
  </si>
  <si>
    <t>Rup(VREFN/VREF)</t>
    <phoneticPr fontId="5" type="noConversion"/>
  </si>
  <si>
    <t>圈數</t>
    <phoneticPr fontId="5" type="noConversion"/>
  </si>
  <si>
    <t>deg</t>
    <phoneticPr fontId="5" type="noConversion"/>
  </si>
  <si>
    <t>要轉幾倍的最小精準度</t>
    <phoneticPr fontId="5" type="noConversion"/>
  </si>
  <si>
    <t>要轉幾度</t>
    <phoneticPr fontId="5" type="noConversion"/>
  </si>
  <si>
    <t>要轉幾圈</t>
    <phoneticPr fontId="5" type="noConversion"/>
  </si>
  <si>
    <t>精準度(V)</t>
    <phoneticPr fontId="5" type="noConversion"/>
  </si>
  <si>
    <t>for VREFN</t>
    <phoneticPr fontId="5" type="noConversion"/>
  </si>
  <si>
    <t>for VREF</t>
    <phoneticPr fontId="5" type="noConversion"/>
  </si>
  <si>
    <t>最接近數值</t>
    <phoneticPr fontId="5" type="noConversion"/>
  </si>
  <si>
    <t>與實際差距(e-5 V)</t>
    <phoneticPr fontId="5" type="noConversion"/>
  </si>
  <si>
    <t>VZ</t>
    <phoneticPr fontId="5" type="noConversion"/>
  </si>
  <si>
    <t>VZ(MIN)</t>
    <phoneticPr fontId="5" type="noConversion"/>
  </si>
  <si>
    <t>VZ err</t>
    <phoneticPr fontId="5" type="noConversion"/>
  </si>
  <si>
    <r>
      <rPr>
        <sz val="12"/>
        <color theme="1"/>
        <rFont val="Microsoft JhengHei"/>
        <family val="2"/>
        <charset val="136"/>
      </rPr>
      <t>補</t>
    </r>
    <r>
      <rPr>
        <sz val="12"/>
        <color theme="1"/>
        <rFont val="Calibri"/>
        <family val="2"/>
      </rPr>
      <t>vz error</t>
    </r>
    <phoneticPr fontId="5" type="noConversion"/>
  </si>
  <si>
    <t xml:space="preserve">VZ(MAX) </t>
    <phoneticPr fontId="5" type="noConversion"/>
  </si>
  <si>
    <t>Real R</t>
    <phoneticPr fontId="5" type="noConversion"/>
  </si>
  <si>
    <t>u</t>
    <phoneticPr fontId="5" type="noConversion"/>
  </si>
  <si>
    <t>M</t>
    <phoneticPr fontId="5" type="noConversion"/>
  </si>
  <si>
    <t>IBIAS current(ideal)</t>
    <phoneticPr fontId="5" type="noConversion"/>
  </si>
  <si>
    <t>IBIAS current(real)</t>
    <phoneticPr fontId="5" type="noConversion"/>
  </si>
  <si>
    <t>R needed(ideal)</t>
    <phoneticPr fontId="5" type="noConversion"/>
  </si>
  <si>
    <t>K</t>
    <phoneticPr fontId="5" type="noConversion"/>
  </si>
  <si>
    <t>IBIAS(real)max</t>
    <phoneticPr fontId="5" type="noConversion"/>
  </si>
  <si>
    <t>IBIAS(real)min</t>
    <phoneticPr fontId="5" type="noConversion"/>
  </si>
  <si>
    <t>IBIAS(current source)</t>
    <phoneticPr fontId="5" type="noConversion"/>
  </si>
  <si>
    <t>V(p16)</t>
    <phoneticPr fontId="5" type="noConversion"/>
  </si>
  <si>
    <t>cascode</t>
    <phoneticPr fontId="5" type="noConversion"/>
  </si>
  <si>
    <t>single diode connected</t>
    <phoneticPr fontId="5" type="noConversion"/>
  </si>
  <si>
    <t>V(RS+)</t>
    <phoneticPr fontId="5" type="noConversion"/>
  </si>
  <si>
    <t>Vth=0.5~0.7</t>
    <phoneticPr fontId="5" type="noConversion"/>
  </si>
  <si>
    <t>PCB_VDD</t>
    <phoneticPr fontId="5" type="noConversion"/>
  </si>
  <si>
    <t>R2</t>
    <phoneticPr fontId="5" type="noConversion"/>
  </si>
  <si>
    <t>diode work current</t>
    <phoneticPr fontId="5" type="noConversion"/>
  </si>
  <si>
    <t>min</t>
    <phoneticPr fontId="5" type="noConversion"/>
  </si>
  <si>
    <t>max</t>
    <phoneticPr fontId="5" type="noConversion"/>
  </si>
  <si>
    <t>note. read diode's data sheet first</t>
    <phoneticPr fontId="5" type="noConversion"/>
  </si>
  <si>
    <t>T18</t>
    <phoneticPr fontId="5" type="noConversion"/>
  </si>
  <si>
    <t>R10</t>
    <phoneticPr fontId="5" type="noConversion"/>
  </si>
  <si>
    <t>VDD_VREF</t>
    <phoneticPr fontId="5" type="noConversion"/>
  </si>
  <si>
    <t>V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</si>
</sst>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E+00"/>
  </numFmts>
  <fonts count="10">
    <font>
      <sz val="12"/>
      <color theme="1"/>
      <name val="Calibri"/>
      <scheme val="minor"/>
    </font>
    <font>
      <sz val="12"/>
      <color theme="1"/>
      <name val="PMingLiu"/>
      <family val="1"/>
      <charset val="136"/>
    </font>
    <font>
      <sz val="12"/>
      <color theme="1"/>
      <name val="Calibri"/>
      <family val="2"/>
    </font>
    <font>
      <sz val="11"/>
      <color rgb="FF1F1F1F"/>
      <name val="Arial"/>
      <family val="2"/>
    </font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0"/>
      <color theme="1"/>
      <name val="Microsoft JhengHei"/>
      <family val="2"/>
    </font>
    <font>
      <sz val="12"/>
      <color theme="1"/>
      <name val="Microsoft JhengHei"/>
      <family val="2"/>
      <charset val="136"/>
    </font>
    <font>
      <sz val="12"/>
      <color theme="1"/>
      <name val="Microsoft JhengHei"/>
      <charset val="136"/>
    </font>
    <font>
      <sz val="12"/>
      <color theme="1"/>
      <name val="Calibri"/>
      <family val="2"/>
      <charset val="136"/>
    </font>
  </fonts>
  <fills count="17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rgb="FFFFFF00"/>
      </patternFill>
    </fill>
    <fill>
      <patternFill patternType="solid">
        <fgColor rgb="FFC8C8C8"/>
        <bgColor rgb="FFC8C8C8"/>
      </patternFill>
    </fill>
    <fill>
      <patternFill patternType="solid">
        <fgColor rgb="FF92D050"/>
        <bgColor rgb="FF92D050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9" borderId="1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9" borderId="10" xfId="0" applyFont="1" applyFill="1" applyBorder="1" applyAlignment="1">
      <alignment vertical="center"/>
    </xf>
    <xf numFmtId="0" fontId="2" fillId="1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11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21" xfId="0" applyBorder="1" applyAlignment="1">
      <alignment vertical="center"/>
    </xf>
    <xf numFmtId="9" fontId="0" fillId="0" borderId="0" xfId="0" applyNumberFormat="1" applyAlignment="1">
      <alignment vertical="center"/>
    </xf>
    <xf numFmtId="0" fontId="9" fillId="0" borderId="0" xfId="0" applyFont="1" applyAlignment="1">
      <alignment vertical="center"/>
    </xf>
    <xf numFmtId="11" fontId="4" fillId="0" borderId="21" xfId="0" applyNumberFormat="1" applyFont="1" applyBorder="1" applyAlignment="1">
      <alignment vertical="center"/>
    </xf>
    <xf numFmtId="176" fontId="0" fillId="0" borderId="0" xfId="0" applyNumberFormat="1" applyAlignment="1">
      <alignment vertical="center"/>
    </xf>
    <xf numFmtId="0" fontId="4" fillId="0" borderId="21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1" borderId="20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 vertical="center"/>
    </xf>
    <xf numFmtId="0" fontId="2" fillId="12" borderId="15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2" fillId="12" borderId="17" xfId="0" applyFont="1" applyFill="1" applyBorder="1" applyAlignment="1">
      <alignment horizontal="center" vertical="center"/>
    </xf>
    <xf numFmtId="0" fontId="2" fillId="12" borderId="20" xfId="0" applyFont="1" applyFill="1" applyBorder="1" applyAlignment="1">
      <alignment horizontal="center" vertical="center"/>
    </xf>
    <xf numFmtId="0" fontId="2" fillId="12" borderId="18" xfId="0" applyFont="1" applyFill="1" applyBorder="1" applyAlignment="1">
      <alignment horizontal="center" vertical="center"/>
    </xf>
    <xf numFmtId="0" fontId="0" fillId="13" borderId="21" xfId="0" applyFill="1" applyBorder="1" applyAlignment="1">
      <alignment vertical="center"/>
    </xf>
    <xf numFmtId="0" fontId="4" fillId="13" borderId="21" xfId="0" applyFont="1" applyFill="1" applyBorder="1" applyAlignment="1">
      <alignment vertical="center"/>
    </xf>
    <xf numFmtId="0" fontId="0" fillId="14" borderId="21" xfId="0" applyFill="1" applyBorder="1" applyAlignment="1">
      <alignment vertical="center"/>
    </xf>
    <xf numFmtId="0" fontId="0" fillId="15" borderId="0" xfId="0" applyFill="1" applyAlignment="1">
      <alignment vertical="center"/>
    </xf>
    <xf numFmtId="0" fontId="4" fillId="16" borderId="0" xfId="0" applyFont="1" applyFill="1" applyAlignment="1">
      <alignment vertical="center"/>
    </xf>
    <xf numFmtId="0" fontId="0" fillId="16" borderId="21" xfId="0" applyFill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262304</xdr:colOff>
      <xdr:row>0</xdr:row>
      <xdr:rowOff>89389</xdr:rowOff>
    </xdr:from>
    <xdr:to>
      <xdr:col>11</xdr:col>
      <xdr:colOff>637388</xdr:colOff>
      <xdr:row>15</xdr:row>
      <xdr:rowOff>192405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1CFFE0F7-05D8-6AF3-69ED-27A3D21B0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1862" y="89389"/>
          <a:ext cx="3126833" cy="3114381"/>
        </a:xfrm>
        <a:prstGeom prst="rect">
          <a:avLst/>
        </a:prstGeom>
      </xdr:spPr>
    </xdr:pic>
    <xdr:clientData/>
  </xdr:twoCellAnchor>
  <xdr:twoCellAnchor editAs="oneCell">
    <xdr:from>
      <xdr:col>11</xdr:col>
      <xdr:colOff>153864</xdr:colOff>
      <xdr:row>36</xdr:row>
      <xdr:rowOff>99803</xdr:rowOff>
    </xdr:from>
    <xdr:to>
      <xdr:col>18</xdr:col>
      <xdr:colOff>429112</xdr:colOff>
      <xdr:row>54</xdr:row>
      <xdr:rowOff>65752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C0226F1-6923-2DAF-869B-4D699F441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46576" y="7265534"/>
          <a:ext cx="5106865" cy="3530008"/>
        </a:xfrm>
        <a:prstGeom prst="rect">
          <a:avLst/>
        </a:prstGeom>
      </xdr:spPr>
    </xdr:pic>
    <xdr:clientData/>
  </xdr:twoCellAnchor>
  <xdr:twoCellAnchor editAs="oneCell">
    <xdr:from>
      <xdr:col>8</xdr:col>
      <xdr:colOff>7328</xdr:colOff>
      <xdr:row>20</xdr:row>
      <xdr:rowOff>46207</xdr:rowOff>
    </xdr:from>
    <xdr:to>
      <xdr:col>11</xdr:col>
      <xdr:colOff>164367</xdr:colOff>
      <xdr:row>36</xdr:row>
      <xdr:rowOff>63845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B93F7DDF-89B6-1F75-7D12-1B6BCB0F6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33847" y="4046707"/>
          <a:ext cx="2220057" cy="31796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T12" sqref="T12"/>
    </sheetView>
  </sheetViews>
  <sheetFormatPr defaultColWidth="11.25" defaultRowHeight="15" customHeight="1"/>
  <cols>
    <col min="1" max="1" width="9.5" customWidth="1"/>
    <col min="2" max="2" width="7.83203125" customWidth="1"/>
    <col min="3" max="3" width="14.83203125" customWidth="1"/>
    <col min="4" max="4" width="14.33203125" customWidth="1"/>
    <col min="5" max="5" width="6.58203125" customWidth="1"/>
    <col min="6" max="6" width="4" customWidth="1"/>
    <col min="7" max="7" width="5.5" customWidth="1"/>
    <col min="8" max="8" width="7.83203125" customWidth="1"/>
    <col min="9" max="9" width="10" customWidth="1"/>
    <col min="10" max="10" width="17.5" customWidth="1"/>
    <col min="11" max="11" width="10.5" customWidth="1"/>
    <col min="12" max="12" width="4" customWidth="1"/>
    <col min="13" max="13" width="5.83203125" customWidth="1"/>
    <col min="14" max="14" width="4" customWidth="1"/>
    <col min="15" max="15" width="8.58203125" customWidth="1"/>
    <col min="16" max="18" width="4" customWidth="1"/>
    <col min="19" max="19" width="7.75" customWidth="1"/>
    <col min="20" max="21" width="4" customWidth="1"/>
    <col min="22" max="26" width="8.582031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3"/>
      <c r="P1" s="4"/>
      <c r="Q1" s="4"/>
      <c r="R1" s="4"/>
      <c r="S1" s="4"/>
      <c r="T1" s="4"/>
      <c r="U1" s="4"/>
      <c r="V1" s="3"/>
      <c r="W1" s="3"/>
      <c r="X1" s="3"/>
      <c r="Y1" s="3"/>
      <c r="Z1" s="3"/>
    </row>
    <row r="2" spans="1:26" ht="15.75" customHeight="1">
      <c r="A2" s="5">
        <v>1</v>
      </c>
      <c r="B2" s="5" t="s">
        <v>13</v>
      </c>
      <c r="C2" s="5"/>
      <c r="D2" s="5" t="s">
        <v>14</v>
      </c>
      <c r="E2" s="5" t="s">
        <v>15</v>
      </c>
      <c r="F2" s="5"/>
      <c r="G2" s="5"/>
      <c r="H2" s="5"/>
      <c r="I2" s="5"/>
      <c r="J2" s="5"/>
      <c r="K2" s="5" t="s">
        <v>16</v>
      </c>
      <c r="L2" s="5"/>
      <c r="M2" s="5"/>
      <c r="N2" s="5"/>
      <c r="O2" s="3"/>
      <c r="P2" s="4"/>
      <c r="Q2" s="4"/>
      <c r="R2" s="4"/>
      <c r="S2" s="4"/>
      <c r="T2" s="4"/>
      <c r="U2" s="4"/>
      <c r="V2" s="3"/>
      <c r="W2" s="3"/>
      <c r="X2" s="3"/>
      <c r="Y2" s="3"/>
      <c r="Z2" s="3"/>
    </row>
    <row r="3" spans="1:26" ht="15.75" customHeight="1">
      <c r="A3" s="5">
        <v>2</v>
      </c>
      <c r="B3" s="5" t="s">
        <v>13</v>
      </c>
      <c r="C3" s="5"/>
      <c r="D3" s="5" t="s">
        <v>17</v>
      </c>
      <c r="E3" s="5" t="s">
        <v>15</v>
      </c>
      <c r="F3" s="5"/>
      <c r="G3" s="5"/>
      <c r="H3" s="5"/>
      <c r="I3" s="5"/>
      <c r="J3" s="5"/>
      <c r="K3" s="5" t="s">
        <v>16</v>
      </c>
      <c r="L3" s="5"/>
      <c r="M3" s="5"/>
      <c r="N3" s="5"/>
      <c r="O3" s="3"/>
      <c r="P3" s="4"/>
      <c r="Q3" s="4"/>
      <c r="R3" s="4"/>
      <c r="S3" s="4"/>
      <c r="T3" s="4"/>
      <c r="U3" s="4"/>
      <c r="V3" s="3"/>
      <c r="W3" s="3"/>
      <c r="X3" s="3"/>
      <c r="Y3" s="3"/>
      <c r="Z3" s="3"/>
    </row>
    <row r="4" spans="1:26" ht="15.75" customHeight="1">
      <c r="A4" s="5">
        <v>3</v>
      </c>
      <c r="B4" s="5" t="s">
        <v>13</v>
      </c>
      <c r="C4" s="5"/>
      <c r="D4" s="5" t="s">
        <v>18</v>
      </c>
      <c r="E4" s="5" t="s">
        <v>15</v>
      </c>
      <c r="F4" s="5"/>
      <c r="G4" s="5"/>
      <c r="H4" s="5"/>
      <c r="I4" s="5"/>
      <c r="J4" s="5"/>
      <c r="K4" s="5" t="s">
        <v>16</v>
      </c>
      <c r="L4" s="5"/>
      <c r="M4" s="5"/>
      <c r="N4" s="5"/>
      <c r="O4" s="3"/>
      <c r="P4" s="4"/>
      <c r="Q4" s="4"/>
      <c r="R4" s="4"/>
      <c r="S4" s="4"/>
      <c r="T4" s="4"/>
      <c r="U4" s="4"/>
      <c r="V4" s="3"/>
      <c r="W4" s="3"/>
      <c r="X4" s="3"/>
      <c r="Y4" s="3"/>
      <c r="Z4" s="3"/>
    </row>
    <row r="5" spans="1:26" ht="15.75" customHeight="1">
      <c r="A5" s="5">
        <v>4</v>
      </c>
      <c r="B5" s="5" t="s">
        <v>13</v>
      </c>
      <c r="C5" s="5"/>
      <c r="D5" s="5" t="s">
        <v>140</v>
      </c>
      <c r="E5" s="5" t="s">
        <v>15</v>
      </c>
      <c r="F5" s="5"/>
      <c r="G5" s="5"/>
      <c r="H5" s="5"/>
      <c r="I5" s="5"/>
      <c r="J5" s="5"/>
      <c r="K5" s="5" t="s">
        <v>16</v>
      </c>
      <c r="L5" s="5"/>
      <c r="M5" s="5"/>
      <c r="N5" s="5"/>
      <c r="O5" s="3"/>
      <c r="P5" s="4"/>
      <c r="Q5" s="4"/>
      <c r="R5" s="4"/>
      <c r="S5" s="4"/>
      <c r="T5" s="4"/>
      <c r="U5" s="4"/>
      <c r="V5" s="3"/>
      <c r="W5" s="3"/>
      <c r="X5" s="3"/>
      <c r="Y5" s="3"/>
      <c r="Z5" s="3"/>
    </row>
    <row r="6" spans="1:26" ht="15.75" customHeight="1">
      <c r="A6" s="5">
        <v>5</v>
      </c>
      <c r="B6" s="5" t="s">
        <v>13</v>
      </c>
      <c r="C6" s="5"/>
      <c r="D6" s="5" t="s">
        <v>23</v>
      </c>
      <c r="E6" s="5" t="s">
        <v>15</v>
      </c>
      <c r="F6" s="5"/>
      <c r="G6" s="5"/>
      <c r="H6" s="5"/>
      <c r="I6" s="5"/>
      <c r="J6" s="5"/>
      <c r="K6" s="5" t="s">
        <v>24</v>
      </c>
      <c r="L6" s="5"/>
      <c r="M6" s="5"/>
      <c r="N6" s="5"/>
      <c r="O6" s="3"/>
      <c r="P6" s="4"/>
      <c r="Q6" s="4"/>
      <c r="R6" s="4"/>
      <c r="S6" s="4"/>
      <c r="T6" s="4"/>
      <c r="U6" s="4"/>
      <c r="V6" s="3"/>
      <c r="W6" s="3"/>
      <c r="X6" s="3"/>
      <c r="Y6" s="3"/>
      <c r="Z6" s="3"/>
    </row>
    <row r="7" spans="1:26" ht="15.75" customHeight="1">
      <c r="A7" s="5">
        <v>6</v>
      </c>
      <c r="B7" s="5" t="s">
        <v>19</v>
      </c>
      <c r="C7" s="5"/>
      <c r="D7" s="5" t="s">
        <v>25</v>
      </c>
      <c r="E7" s="5" t="s">
        <v>20</v>
      </c>
      <c r="F7" s="5"/>
      <c r="G7" s="5"/>
      <c r="H7" s="5"/>
      <c r="I7" s="5"/>
      <c r="J7" s="5"/>
      <c r="K7" s="5" t="s">
        <v>24</v>
      </c>
      <c r="L7" s="5"/>
      <c r="M7" s="5"/>
      <c r="N7" s="5"/>
      <c r="O7" s="3"/>
      <c r="P7" s="4"/>
      <c r="Q7" s="4"/>
      <c r="R7" s="4"/>
      <c r="S7" s="4"/>
      <c r="T7" s="4"/>
      <c r="U7" s="4"/>
      <c r="V7" s="3"/>
      <c r="W7" s="3"/>
      <c r="X7" s="3"/>
      <c r="Y7" s="3"/>
      <c r="Z7" s="3"/>
    </row>
    <row r="8" spans="1:26" ht="15.75" customHeight="1">
      <c r="A8" s="5">
        <v>7</v>
      </c>
      <c r="B8" s="5" t="s">
        <v>22</v>
      </c>
      <c r="C8" s="5"/>
      <c r="D8" s="5" t="s">
        <v>27</v>
      </c>
      <c r="E8" s="5" t="s">
        <v>15</v>
      </c>
      <c r="F8" s="5"/>
      <c r="G8" s="5"/>
      <c r="H8" s="5"/>
      <c r="I8" s="5"/>
      <c r="J8" s="5"/>
      <c r="K8" s="5" t="s">
        <v>24</v>
      </c>
      <c r="L8" s="5"/>
      <c r="M8" s="5"/>
      <c r="N8" s="5"/>
      <c r="O8" s="3"/>
      <c r="P8" s="4"/>
      <c r="Q8" s="4"/>
      <c r="R8" s="4"/>
      <c r="S8" s="4"/>
      <c r="T8" s="4"/>
      <c r="U8" s="4"/>
      <c r="V8" s="3"/>
      <c r="W8" s="3"/>
      <c r="X8" s="3"/>
      <c r="Y8" s="3"/>
      <c r="Z8" s="3"/>
    </row>
    <row r="9" spans="1:26" ht="15.75" customHeight="1">
      <c r="A9" s="5">
        <v>8</v>
      </c>
      <c r="B9" s="5" t="s">
        <v>13</v>
      </c>
      <c r="C9" s="5"/>
      <c r="D9" s="5" t="s">
        <v>29</v>
      </c>
      <c r="E9" s="5" t="s">
        <v>15</v>
      </c>
      <c r="F9" s="5"/>
      <c r="G9" s="5"/>
      <c r="H9" s="5"/>
      <c r="I9" s="5"/>
      <c r="J9" s="5"/>
      <c r="K9" s="5" t="s">
        <v>162</v>
      </c>
      <c r="L9" s="5"/>
      <c r="M9" s="5"/>
      <c r="N9" s="5"/>
      <c r="O9" s="3"/>
      <c r="P9" s="4"/>
      <c r="Q9" s="4"/>
      <c r="R9" s="4"/>
      <c r="S9" s="4"/>
      <c r="T9" s="4"/>
      <c r="U9" s="4"/>
      <c r="V9" s="3"/>
      <c r="W9" s="3"/>
      <c r="X9" s="3"/>
      <c r="Y9" s="3"/>
      <c r="Z9" s="3"/>
    </row>
    <row r="10" spans="1:26" ht="15.75" customHeight="1">
      <c r="A10" s="5">
        <v>9</v>
      </c>
      <c r="B10" s="5" t="s">
        <v>26</v>
      </c>
      <c r="C10" s="5"/>
      <c r="D10" s="5" t="s">
        <v>31</v>
      </c>
      <c r="E10" s="5" t="s">
        <v>28</v>
      </c>
      <c r="F10" s="5"/>
      <c r="G10" s="5"/>
      <c r="H10" s="5"/>
      <c r="I10" s="5"/>
      <c r="J10" s="5"/>
      <c r="K10" s="5" t="s">
        <v>163</v>
      </c>
      <c r="L10" s="5"/>
      <c r="M10" s="5"/>
      <c r="N10" s="5"/>
      <c r="O10" s="3"/>
      <c r="P10" s="4"/>
      <c r="Q10" s="4"/>
      <c r="R10" s="4"/>
      <c r="S10" s="4"/>
      <c r="T10" s="4"/>
      <c r="U10" s="4"/>
      <c r="V10" s="3"/>
      <c r="W10" s="3"/>
      <c r="X10" s="3"/>
      <c r="Y10" s="3"/>
      <c r="Z10" s="3"/>
    </row>
    <row r="11" spans="1:26" ht="15.75" customHeight="1">
      <c r="A11" s="5">
        <v>10</v>
      </c>
      <c r="B11" s="5" t="s">
        <v>13</v>
      </c>
      <c r="C11" s="5"/>
      <c r="D11" s="5" t="s">
        <v>33</v>
      </c>
      <c r="E11" s="5" t="s">
        <v>15</v>
      </c>
      <c r="F11" s="5"/>
      <c r="G11" s="5"/>
      <c r="H11" s="5"/>
      <c r="I11" s="5"/>
      <c r="J11" s="5"/>
      <c r="K11" s="5" t="s">
        <v>30</v>
      </c>
      <c r="L11" s="5"/>
      <c r="M11" s="5"/>
      <c r="N11" s="5"/>
      <c r="O11" s="3"/>
      <c r="P11" s="4"/>
      <c r="Q11" s="4"/>
      <c r="R11" s="4"/>
      <c r="S11" s="4"/>
      <c r="T11" s="4"/>
      <c r="U11" s="4"/>
      <c r="V11" s="3"/>
      <c r="W11" s="3"/>
      <c r="X11" s="3"/>
      <c r="Y11" s="3"/>
      <c r="Z11" s="3"/>
    </row>
    <row r="12" spans="1:26" ht="15.75" customHeight="1">
      <c r="A12" s="5">
        <v>11</v>
      </c>
      <c r="B12" s="5" t="s">
        <v>13</v>
      </c>
      <c r="C12" s="5"/>
      <c r="D12" s="5" t="s">
        <v>34</v>
      </c>
      <c r="E12" s="5" t="s">
        <v>15</v>
      </c>
      <c r="F12" s="5"/>
      <c r="G12" s="5"/>
      <c r="H12" s="5"/>
      <c r="I12" s="5"/>
      <c r="J12" s="5"/>
      <c r="K12" s="5" t="s">
        <v>32</v>
      </c>
      <c r="L12" s="5"/>
      <c r="M12" s="5"/>
      <c r="N12" s="5"/>
      <c r="O12" s="3"/>
      <c r="P12" s="4"/>
      <c r="Q12" s="4"/>
      <c r="R12" s="4"/>
      <c r="S12" s="4"/>
      <c r="T12" s="4"/>
      <c r="U12" s="4"/>
      <c r="V12" s="3"/>
      <c r="W12" s="3"/>
      <c r="X12" s="3"/>
      <c r="Y12" s="3"/>
      <c r="Z12" s="3"/>
    </row>
    <row r="13" spans="1:26" ht="15.75" customHeight="1">
      <c r="A13" s="5">
        <v>12</v>
      </c>
      <c r="B13" s="5" t="s">
        <v>13</v>
      </c>
      <c r="C13" s="5"/>
      <c r="D13" s="5" t="s">
        <v>35</v>
      </c>
      <c r="E13" s="5" t="s">
        <v>15</v>
      </c>
      <c r="F13" s="5"/>
      <c r="G13" s="5"/>
      <c r="H13" s="5"/>
      <c r="I13" s="5"/>
      <c r="J13" s="5"/>
      <c r="K13" s="5" t="s">
        <v>16</v>
      </c>
      <c r="L13" s="5"/>
      <c r="M13" s="5"/>
      <c r="N13" s="5"/>
      <c r="O13" s="3"/>
      <c r="P13" s="4"/>
      <c r="Q13" s="4"/>
      <c r="R13" s="4"/>
      <c r="S13" s="4"/>
      <c r="T13" s="4"/>
      <c r="U13" s="4"/>
      <c r="V13" s="3"/>
      <c r="W13" s="3"/>
      <c r="X13" s="3"/>
      <c r="Y13" s="3"/>
      <c r="Z13" s="3"/>
    </row>
    <row r="14" spans="1:26" ht="15.75" customHeight="1">
      <c r="A14" s="5">
        <v>13</v>
      </c>
      <c r="B14" s="5" t="s">
        <v>13</v>
      </c>
      <c r="C14" s="5"/>
      <c r="D14" s="5" t="s">
        <v>36</v>
      </c>
      <c r="E14" s="5" t="s">
        <v>15</v>
      </c>
      <c r="F14" s="5"/>
      <c r="G14" s="5"/>
      <c r="H14" s="5"/>
      <c r="I14" s="5"/>
      <c r="J14" s="5"/>
      <c r="K14" s="5" t="s">
        <v>16</v>
      </c>
      <c r="L14" s="5"/>
      <c r="M14" s="5"/>
      <c r="N14" s="5"/>
      <c r="O14" s="3"/>
      <c r="P14" s="4"/>
      <c r="Q14" s="4"/>
      <c r="R14" s="4"/>
      <c r="S14" s="4"/>
      <c r="T14" s="4"/>
      <c r="U14" s="4"/>
      <c r="V14" s="3"/>
      <c r="W14" s="3"/>
      <c r="X14" s="3"/>
      <c r="Y14" s="3"/>
      <c r="Z14" s="3"/>
    </row>
    <row r="15" spans="1:26" ht="15.75" customHeight="1">
      <c r="A15" s="5">
        <v>14</v>
      </c>
      <c r="B15" s="5" t="s">
        <v>13</v>
      </c>
      <c r="C15" s="5"/>
      <c r="D15" s="5" t="s">
        <v>37</v>
      </c>
      <c r="E15" s="5" t="s">
        <v>15</v>
      </c>
      <c r="F15" s="5"/>
      <c r="G15" s="5"/>
      <c r="H15" s="5"/>
      <c r="I15" s="5"/>
      <c r="J15" s="5"/>
      <c r="K15" s="5" t="s">
        <v>16</v>
      </c>
      <c r="L15" s="5"/>
      <c r="M15" s="5"/>
      <c r="N15" s="5"/>
      <c r="O15" s="3"/>
      <c r="P15" s="4"/>
      <c r="Q15" s="4"/>
      <c r="R15" s="4"/>
      <c r="S15" s="4"/>
      <c r="T15" s="4"/>
      <c r="U15" s="4"/>
      <c r="V15" s="3"/>
      <c r="W15" s="3"/>
      <c r="X15" s="3"/>
      <c r="Y15" s="3"/>
      <c r="Z15" s="3"/>
    </row>
    <row r="16" spans="1:26" ht="15.75" customHeight="1">
      <c r="A16" s="6">
        <v>15</v>
      </c>
      <c r="B16" s="6" t="s">
        <v>13</v>
      </c>
      <c r="C16" s="6"/>
      <c r="D16" s="6" t="s">
        <v>38</v>
      </c>
      <c r="E16" s="6" t="s">
        <v>39</v>
      </c>
      <c r="F16" s="6" t="s">
        <v>40</v>
      </c>
      <c r="G16" s="6"/>
      <c r="H16" s="6"/>
      <c r="I16" s="6"/>
      <c r="J16" s="6"/>
      <c r="K16" s="6" t="s">
        <v>41</v>
      </c>
      <c r="L16" s="6"/>
      <c r="M16" s="6"/>
      <c r="N16" s="6"/>
      <c r="O16" s="3"/>
      <c r="P16" s="4"/>
      <c r="Q16" s="4"/>
      <c r="R16" s="4"/>
      <c r="S16" s="4"/>
      <c r="T16" s="4"/>
      <c r="U16" s="4"/>
      <c r="V16" s="3"/>
      <c r="W16" s="3"/>
      <c r="X16" s="3"/>
      <c r="Y16" s="3"/>
      <c r="Z16" s="3"/>
    </row>
    <row r="17" spans="1:26" ht="15.75" customHeight="1">
      <c r="A17" s="6">
        <v>16</v>
      </c>
      <c r="B17" s="6" t="s">
        <v>13</v>
      </c>
      <c r="C17" s="6"/>
      <c r="D17" s="6" t="s">
        <v>42</v>
      </c>
      <c r="E17" s="6" t="s">
        <v>39</v>
      </c>
      <c r="F17" s="6" t="s">
        <v>40</v>
      </c>
      <c r="G17" s="6"/>
      <c r="H17" s="6"/>
      <c r="I17" s="6"/>
      <c r="J17" s="6" t="s">
        <v>21</v>
      </c>
      <c r="K17" s="6" t="s">
        <v>43</v>
      </c>
      <c r="L17" s="6"/>
      <c r="M17" s="6"/>
      <c r="N17" s="6"/>
      <c r="O17" s="3"/>
      <c r="P17" s="4"/>
      <c r="Q17" s="4"/>
      <c r="R17" s="4"/>
      <c r="S17" s="4"/>
      <c r="T17" s="4"/>
      <c r="U17" s="4"/>
      <c r="V17" s="3"/>
      <c r="W17" s="3"/>
      <c r="X17" s="3"/>
      <c r="Y17" s="3"/>
      <c r="Z17" s="3"/>
    </row>
    <row r="18" spans="1:26" ht="15.75" customHeight="1">
      <c r="A18" s="6">
        <v>17</v>
      </c>
      <c r="B18" s="6" t="s">
        <v>13</v>
      </c>
      <c r="C18" s="6"/>
      <c r="D18" s="6" t="s">
        <v>44</v>
      </c>
      <c r="E18" s="6" t="s">
        <v>39</v>
      </c>
      <c r="F18" s="6" t="s">
        <v>40</v>
      </c>
      <c r="G18" s="6"/>
      <c r="H18" s="6"/>
      <c r="I18" s="6"/>
      <c r="J18" s="6"/>
      <c r="K18" s="6" t="s">
        <v>45</v>
      </c>
      <c r="L18" s="6"/>
      <c r="M18" s="6"/>
      <c r="N18" s="6"/>
      <c r="O18" s="3"/>
      <c r="P18" s="4"/>
      <c r="Q18" s="4"/>
      <c r="R18" s="4"/>
      <c r="S18" s="4"/>
      <c r="T18" s="4"/>
      <c r="U18" s="4"/>
      <c r="V18" s="3"/>
      <c r="W18" s="3"/>
      <c r="X18" s="3"/>
      <c r="Y18" s="3"/>
      <c r="Z18" s="3"/>
    </row>
    <row r="19" spans="1:26" ht="15.75" customHeight="1">
      <c r="A19" s="7">
        <v>18</v>
      </c>
      <c r="B19" s="7" t="s">
        <v>47</v>
      </c>
      <c r="C19" s="7"/>
      <c r="D19" s="7" t="s">
        <v>48</v>
      </c>
      <c r="E19" s="7" t="s">
        <v>49</v>
      </c>
      <c r="F19" s="7" t="s">
        <v>50</v>
      </c>
      <c r="G19" s="7"/>
      <c r="H19" s="7" t="s">
        <v>51</v>
      </c>
      <c r="I19" s="7"/>
      <c r="J19" s="7"/>
      <c r="K19" s="7" t="s">
        <v>52</v>
      </c>
      <c r="L19" s="7"/>
      <c r="M19" s="7"/>
      <c r="N19" s="7"/>
      <c r="O19" s="3"/>
      <c r="P19" s="4"/>
      <c r="Q19" s="4"/>
      <c r="R19" s="4"/>
      <c r="S19" s="4"/>
      <c r="T19" s="4"/>
      <c r="U19" s="4"/>
      <c r="V19" s="3"/>
      <c r="W19" s="3"/>
      <c r="X19" s="3"/>
      <c r="Y19" s="3"/>
      <c r="Z19" s="3"/>
    </row>
    <row r="20" spans="1:26" ht="15.75" customHeight="1">
      <c r="A20" s="7">
        <v>19</v>
      </c>
      <c r="B20" s="7" t="s">
        <v>47</v>
      </c>
      <c r="C20" s="7"/>
      <c r="D20" s="7" t="s">
        <v>53</v>
      </c>
      <c r="E20" s="7" t="s">
        <v>49</v>
      </c>
      <c r="F20" s="7" t="s">
        <v>50</v>
      </c>
      <c r="G20" s="7"/>
      <c r="H20" s="7" t="s">
        <v>54</v>
      </c>
      <c r="I20" s="7"/>
      <c r="J20" s="7"/>
      <c r="K20" s="7" t="s">
        <v>55</v>
      </c>
      <c r="L20" s="7"/>
      <c r="M20" s="7"/>
      <c r="N20" s="7"/>
      <c r="O20" s="3"/>
      <c r="P20" s="4"/>
      <c r="Q20" s="4"/>
      <c r="R20" s="4"/>
      <c r="S20" s="4"/>
      <c r="T20" s="4"/>
      <c r="U20" s="4"/>
      <c r="V20" s="3"/>
      <c r="W20" s="3"/>
      <c r="X20" s="3"/>
      <c r="Y20" s="3"/>
      <c r="Z20" s="3"/>
    </row>
    <row r="21" spans="1:26" ht="15.75" customHeight="1">
      <c r="A21" s="7">
        <v>20</v>
      </c>
      <c r="B21" s="7" t="s">
        <v>47</v>
      </c>
      <c r="C21" s="7"/>
      <c r="D21" s="7" t="s">
        <v>56</v>
      </c>
      <c r="E21" s="7" t="s">
        <v>49</v>
      </c>
      <c r="F21" s="7" t="s">
        <v>50</v>
      </c>
      <c r="G21" s="7"/>
      <c r="H21" s="7" t="s">
        <v>54</v>
      </c>
      <c r="I21" s="7"/>
      <c r="J21" s="7"/>
      <c r="K21" s="7" t="s">
        <v>57</v>
      </c>
      <c r="L21" s="7"/>
      <c r="M21" s="7"/>
      <c r="N21" s="7"/>
      <c r="O21" s="3"/>
      <c r="P21" s="4"/>
      <c r="Q21" s="4"/>
      <c r="R21" s="4"/>
      <c r="S21" s="4"/>
      <c r="T21" s="4"/>
      <c r="U21" s="4"/>
      <c r="V21" s="3"/>
      <c r="W21" s="3"/>
      <c r="X21" s="3"/>
      <c r="Y21" s="3"/>
      <c r="Z21" s="3"/>
    </row>
    <row r="22" spans="1:26" ht="15.75" customHeight="1">
      <c r="A22" s="7">
        <v>21</v>
      </c>
      <c r="B22" s="7" t="s">
        <v>47</v>
      </c>
      <c r="C22" s="7"/>
      <c r="D22" s="7" t="s">
        <v>58</v>
      </c>
      <c r="E22" s="7" t="s">
        <v>49</v>
      </c>
      <c r="F22" s="7" t="s">
        <v>50</v>
      </c>
      <c r="G22" s="7"/>
      <c r="H22" s="7" t="s">
        <v>54</v>
      </c>
      <c r="I22" s="7"/>
      <c r="J22" s="7"/>
      <c r="K22" s="7" t="s">
        <v>59</v>
      </c>
      <c r="L22" s="7"/>
      <c r="M22" s="7"/>
      <c r="N22" s="7"/>
      <c r="O22" s="3"/>
      <c r="P22" s="4"/>
      <c r="Q22" s="4"/>
      <c r="R22" s="4"/>
      <c r="S22" s="4"/>
      <c r="T22" s="4"/>
      <c r="U22" s="4"/>
      <c r="V22" s="3"/>
      <c r="W22" s="3"/>
      <c r="X22" s="3"/>
      <c r="Y22" s="3"/>
      <c r="Z22" s="3"/>
    </row>
    <row r="23" spans="1:26" ht="15.75" customHeight="1">
      <c r="A23" s="7">
        <v>22</v>
      </c>
      <c r="B23" s="7" t="s">
        <v>47</v>
      </c>
      <c r="C23" s="7"/>
      <c r="D23" s="7" t="s">
        <v>60</v>
      </c>
      <c r="E23" s="7" t="s">
        <v>49</v>
      </c>
      <c r="F23" s="7" t="s">
        <v>50</v>
      </c>
      <c r="G23" s="7"/>
      <c r="H23" s="7" t="s">
        <v>61</v>
      </c>
      <c r="I23" s="7"/>
      <c r="J23" s="7"/>
      <c r="K23" s="7" t="s">
        <v>62</v>
      </c>
      <c r="L23" s="7"/>
      <c r="M23" s="7"/>
      <c r="N23" s="7"/>
      <c r="O23" s="3"/>
      <c r="P23" s="4"/>
      <c r="Q23" s="4"/>
      <c r="R23" s="4"/>
      <c r="S23" s="4"/>
      <c r="T23" s="4"/>
      <c r="U23" s="4"/>
      <c r="V23" s="3"/>
      <c r="W23" s="3"/>
      <c r="X23" s="3"/>
      <c r="Y23" s="3"/>
      <c r="Z23" s="3"/>
    </row>
    <row r="24" spans="1:26" ht="15.75" customHeight="1">
      <c r="A24" s="7">
        <v>23</v>
      </c>
      <c r="B24" s="7" t="s">
        <v>47</v>
      </c>
      <c r="C24" s="7"/>
      <c r="D24" s="7" t="s">
        <v>63</v>
      </c>
      <c r="E24" s="7" t="s">
        <v>49</v>
      </c>
      <c r="F24" s="7" t="s">
        <v>50</v>
      </c>
      <c r="G24" s="7"/>
      <c r="H24" s="7" t="s">
        <v>61</v>
      </c>
      <c r="I24" s="7"/>
      <c r="J24" s="7"/>
      <c r="K24" s="7" t="s">
        <v>64</v>
      </c>
      <c r="L24" s="7"/>
      <c r="M24" s="7"/>
      <c r="N24" s="7"/>
      <c r="O24" s="3"/>
      <c r="P24" s="4"/>
      <c r="Q24" s="4"/>
      <c r="R24" s="4"/>
      <c r="S24" s="4"/>
      <c r="T24" s="4"/>
      <c r="U24" s="4"/>
      <c r="V24" s="3"/>
      <c r="W24" s="3"/>
      <c r="X24" s="3"/>
      <c r="Y24" s="3"/>
      <c r="Z24" s="3"/>
    </row>
    <row r="25" spans="1:26" ht="15.75" customHeight="1">
      <c r="A25" s="8">
        <v>24</v>
      </c>
      <c r="B25" s="8" t="s">
        <v>65</v>
      </c>
      <c r="C25" s="8"/>
      <c r="D25" s="8" t="s">
        <v>142</v>
      </c>
      <c r="E25" s="8" t="s">
        <v>143</v>
      </c>
      <c r="F25" s="8" t="s">
        <v>144</v>
      </c>
      <c r="G25" s="8"/>
      <c r="H25" s="9" t="s">
        <v>145</v>
      </c>
      <c r="I25" s="8"/>
      <c r="J25" s="8" t="s">
        <v>107</v>
      </c>
      <c r="K25" s="8" t="s">
        <v>68</v>
      </c>
      <c r="L25" s="8"/>
      <c r="M25" s="8"/>
      <c r="N25" s="8"/>
      <c r="O25" s="3"/>
      <c r="P25" s="4"/>
      <c r="Q25" s="4"/>
      <c r="R25" s="4"/>
      <c r="S25" s="4"/>
      <c r="T25" s="4"/>
      <c r="U25" s="4"/>
      <c r="V25" s="3"/>
      <c r="W25" s="3"/>
      <c r="X25" s="3"/>
      <c r="Y25" s="3"/>
      <c r="Z25" s="3"/>
    </row>
    <row r="26" spans="1:26" ht="15.75" customHeight="1">
      <c r="A26" s="8">
        <v>25</v>
      </c>
      <c r="B26" s="8" t="s">
        <v>65</v>
      </c>
      <c r="C26" s="8"/>
      <c r="D26" s="8" t="s">
        <v>66</v>
      </c>
      <c r="E26" s="8" t="s">
        <v>49</v>
      </c>
      <c r="F26" s="8" t="s">
        <v>40</v>
      </c>
      <c r="G26" s="8"/>
      <c r="H26" s="9" t="s">
        <v>67</v>
      </c>
      <c r="I26" s="8"/>
      <c r="J26" s="8"/>
      <c r="K26" s="8" t="s">
        <v>68</v>
      </c>
      <c r="L26" s="8"/>
      <c r="M26" s="8"/>
      <c r="N26" s="8"/>
      <c r="O26" s="3"/>
      <c r="P26" s="4"/>
      <c r="Q26" s="4"/>
      <c r="R26" s="4"/>
      <c r="S26" s="4"/>
      <c r="T26" s="4"/>
      <c r="U26" s="4"/>
      <c r="V26" s="3"/>
      <c r="W26" s="3"/>
      <c r="X26" s="3"/>
      <c r="Y26" s="3"/>
      <c r="Z26" s="3"/>
    </row>
    <row r="27" spans="1:26" ht="15.75" customHeight="1">
      <c r="A27" s="10">
        <v>26</v>
      </c>
      <c r="B27" s="10" t="s">
        <v>69</v>
      </c>
      <c r="C27" s="10"/>
      <c r="D27" s="10" t="s">
        <v>70</v>
      </c>
      <c r="E27" s="10" t="s">
        <v>49</v>
      </c>
      <c r="F27" s="10" t="s">
        <v>50</v>
      </c>
      <c r="G27" s="10"/>
      <c r="H27" s="10"/>
      <c r="I27" s="10"/>
      <c r="J27" s="10"/>
      <c r="K27" s="10" t="s">
        <v>71</v>
      </c>
      <c r="L27" s="10"/>
      <c r="M27" s="10"/>
      <c r="N27" s="10"/>
      <c r="O27" s="3"/>
      <c r="P27" s="4"/>
      <c r="Q27" s="4"/>
      <c r="R27" s="4"/>
      <c r="S27" s="4"/>
      <c r="T27" s="4"/>
      <c r="U27" s="4"/>
      <c r="V27" s="3"/>
      <c r="W27" s="3"/>
      <c r="X27" s="3"/>
      <c r="Y27" s="3"/>
      <c r="Z27" s="3"/>
    </row>
    <row r="28" spans="1:26" ht="15.75" customHeight="1">
      <c r="A28" s="11">
        <v>27</v>
      </c>
      <c r="B28" s="11" t="s">
        <v>69</v>
      </c>
      <c r="C28" s="11"/>
      <c r="D28" s="11" t="s">
        <v>72</v>
      </c>
      <c r="E28" s="11" t="s">
        <v>73</v>
      </c>
      <c r="F28" s="11" t="s">
        <v>50</v>
      </c>
      <c r="G28" s="11"/>
      <c r="H28" s="11"/>
      <c r="I28" s="11" t="s">
        <v>74</v>
      </c>
      <c r="J28" s="11"/>
      <c r="K28" s="11" t="s">
        <v>75</v>
      </c>
      <c r="L28" s="11"/>
      <c r="M28" s="11"/>
      <c r="N28" s="11"/>
      <c r="O28" s="3"/>
      <c r="P28" s="4"/>
      <c r="Q28" s="4"/>
      <c r="R28" s="4"/>
      <c r="S28" s="4"/>
      <c r="T28" s="4"/>
      <c r="U28" s="4"/>
      <c r="V28" s="3"/>
      <c r="W28" s="3"/>
      <c r="X28" s="3"/>
      <c r="Y28" s="3"/>
      <c r="Z28" s="3"/>
    </row>
    <row r="29" spans="1:26" ht="15.75" customHeight="1">
      <c r="A29" s="11">
        <v>28</v>
      </c>
      <c r="B29" s="11" t="s">
        <v>69</v>
      </c>
      <c r="C29" s="11"/>
      <c r="D29" s="11" t="s">
        <v>76</v>
      </c>
      <c r="E29" s="11" t="s">
        <v>73</v>
      </c>
      <c r="F29" s="11" t="s">
        <v>50</v>
      </c>
      <c r="G29" s="11"/>
      <c r="H29" s="11"/>
      <c r="I29" s="11" t="s">
        <v>74</v>
      </c>
      <c r="J29" s="11"/>
      <c r="K29" s="11" t="s">
        <v>77</v>
      </c>
      <c r="L29" s="11"/>
      <c r="M29" s="11"/>
      <c r="N29" s="11"/>
      <c r="O29" s="3"/>
      <c r="P29" s="4"/>
      <c r="Q29" s="4"/>
      <c r="R29" s="4"/>
      <c r="S29" s="4"/>
      <c r="T29" s="4"/>
      <c r="U29" s="4"/>
      <c r="V29" s="3"/>
      <c r="W29" s="3"/>
      <c r="X29" s="3"/>
      <c r="Y29" s="3"/>
      <c r="Z29" s="3"/>
    </row>
    <row r="30" spans="1:26" ht="15.75" customHeight="1">
      <c r="A30" s="11">
        <v>29</v>
      </c>
      <c r="B30" s="11" t="s">
        <v>69</v>
      </c>
      <c r="C30" s="11"/>
      <c r="D30" s="11" t="s">
        <v>78</v>
      </c>
      <c r="E30" s="11" t="s">
        <v>73</v>
      </c>
      <c r="F30" s="11" t="s">
        <v>50</v>
      </c>
      <c r="G30" s="11"/>
      <c r="H30" s="11"/>
      <c r="I30" s="11" t="s">
        <v>74</v>
      </c>
      <c r="J30" s="11"/>
      <c r="K30" s="11" t="s">
        <v>79</v>
      </c>
      <c r="L30" s="11"/>
      <c r="M30" s="11"/>
      <c r="N30" s="11"/>
      <c r="O30" s="3"/>
      <c r="P30" s="4"/>
      <c r="Q30" s="4"/>
      <c r="R30" s="4"/>
      <c r="S30" s="4"/>
      <c r="T30" s="4"/>
      <c r="U30" s="4"/>
      <c r="V30" s="3"/>
      <c r="W30" s="3"/>
      <c r="X30" s="3"/>
      <c r="Y30" s="3"/>
      <c r="Z30" s="3"/>
    </row>
    <row r="31" spans="1:26" ht="15.75" customHeight="1">
      <c r="A31" s="11">
        <v>30</v>
      </c>
      <c r="B31" s="11" t="s">
        <v>69</v>
      </c>
      <c r="C31" s="11"/>
      <c r="D31" s="11" t="s">
        <v>80</v>
      </c>
      <c r="E31" s="11" t="s">
        <v>73</v>
      </c>
      <c r="F31" s="11" t="s">
        <v>50</v>
      </c>
      <c r="G31" s="11"/>
      <c r="H31" s="11"/>
      <c r="I31" s="11" t="s">
        <v>74</v>
      </c>
      <c r="J31" s="11"/>
      <c r="K31" s="11" t="s">
        <v>81</v>
      </c>
      <c r="L31" s="11"/>
      <c r="M31" s="11"/>
      <c r="N31" s="11"/>
      <c r="O31" s="3"/>
      <c r="P31" s="4"/>
      <c r="Q31" s="4"/>
      <c r="R31" s="4"/>
      <c r="S31" s="4"/>
      <c r="T31" s="4"/>
      <c r="U31" s="4"/>
      <c r="V31" s="3"/>
      <c r="W31" s="3"/>
      <c r="X31" s="3"/>
      <c r="Y31" s="3"/>
      <c r="Z31" s="3"/>
    </row>
    <row r="32" spans="1:26" ht="15.75" customHeight="1">
      <c r="A32" s="11">
        <v>31</v>
      </c>
      <c r="B32" s="11" t="s">
        <v>69</v>
      </c>
      <c r="C32" s="11"/>
      <c r="D32" s="11" t="s">
        <v>82</v>
      </c>
      <c r="E32" s="11" t="s">
        <v>73</v>
      </c>
      <c r="F32" s="11" t="s">
        <v>50</v>
      </c>
      <c r="G32" s="11"/>
      <c r="H32" s="11"/>
      <c r="I32" s="11" t="s">
        <v>74</v>
      </c>
      <c r="J32" s="11"/>
      <c r="K32" s="11" t="s">
        <v>83</v>
      </c>
      <c r="L32" s="11"/>
      <c r="M32" s="11"/>
      <c r="N32" s="11"/>
      <c r="O32" s="3"/>
      <c r="P32" s="4"/>
      <c r="Q32" s="4"/>
      <c r="R32" s="4"/>
      <c r="S32" s="4"/>
      <c r="T32" s="4"/>
      <c r="U32" s="4"/>
      <c r="V32" s="3"/>
      <c r="W32" s="3"/>
      <c r="X32" s="3"/>
      <c r="Y32" s="3"/>
      <c r="Z32" s="3"/>
    </row>
    <row r="33" spans="1:26" ht="15.75" customHeight="1">
      <c r="A33" s="11">
        <v>32</v>
      </c>
      <c r="B33" s="11" t="s">
        <v>69</v>
      </c>
      <c r="C33" s="11"/>
      <c r="D33" s="11" t="s">
        <v>84</v>
      </c>
      <c r="E33" s="11" t="s">
        <v>73</v>
      </c>
      <c r="F33" s="11" t="s">
        <v>50</v>
      </c>
      <c r="G33" s="11"/>
      <c r="H33" s="11"/>
      <c r="I33" s="11" t="s">
        <v>74</v>
      </c>
      <c r="J33" s="11"/>
      <c r="K33" s="11" t="s">
        <v>85</v>
      </c>
      <c r="L33" s="11"/>
      <c r="M33" s="11"/>
      <c r="N33" s="11"/>
      <c r="O33" s="3"/>
      <c r="P33" s="4"/>
      <c r="Q33" s="4"/>
      <c r="R33" s="4"/>
      <c r="S33" s="4"/>
      <c r="T33" s="4"/>
      <c r="U33" s="4"/>
      <c r="V33" s="3"/>
      <c r="W33" s="3"/>
      <c r="X33" s="3"/>
      <c r="Y33" s="3"/>
      <c r="Z33" s="3"/>
    </row>
    <row r="34" spans="1:26" ht="15.75" customHeight="1">
      <c r="A34" s="12">
        <v>33</v>
      </c>
      <c r="B34" s="12" t="s">
        <v>86</v>
      </c>
      <c r="C34" s="12"/>
      <c r="D34" s="12" t="s">
        <v>87</v>
      </c>
      <c r="E34" s="12" t="s">
        <v>73</v>
      </c>
      <c r="F34" s="12" t="s">
        <v>40</v>
      </c>
      <c r="G34" s="12"/>
      <c r="H34" s="12"/>
      <c r="I34" s="12"/>
      <c r="J34" s="12"/>
      <c r="K34" s="12" t="s">
        <v>88</v>
      </c>
      <c r="L34" s="12"/>
      <c r="M34" s="12"/>
      <c r="N34" s="12"/>
      <c r="O34" s="3"/>
      <c r="P34" s="4"/>
      <c r="Q34" s="4"/>
      <c r="R34" s="4"/>
      <c r="S34" s="4"/>
      <c r="T34" s="4"/>
      <c r="U34" s="4"/>
      <c r="V34" s="3"/>
      <c r="W34" s="3"/>
      <c r="X34" s="3"/>
      <c r="Y34" s="3"/>
      <c r="Z34" s="3"/>
    </row>
    <row r="35" spans="1:26" ht="15.75" customHeight="1">
      <c r="A35" s="12">
        <v>34</v>
      </c>
      <c r="B35" s="12" t="s">
        <v>89</v>
      </c>
      <c r="C35" s="12"/>
      <c r="D35" s="12" t="s">
        <v>90</v>
      </c>
      <c r="E35" s="12" t="s">
        <v>73</v>
      </c>
      <c r="F35" s="12" t="s">
        <v>40</v>
      </c>
      <c r="G35" s="12"/>
      <c r="H35" s="12"/>
      <c r="I35" s="12"/>
      <c r="J35" s="12"/>
      <c r="K35" s="12" t="s">
        <v>91</v>
      </c>
      <c r="L35" s="12"/>
      <c r="M35" s="12"/>
      <c r="N35" s="12"/>
      <c r="O35" s="3"/>
      <c r="P35" s="4"/>
      <c r="Q35" s="4"/>
      <c r="R35" s="4"/>
      <c r="S35" s="4"/>
      <c r="T35" s="4"/>
      <c r="U35" s="4"/>
      <c r="V35" s="3"/>
      <c r="W35" s="3"/>
      <c r="X35" s="3"/>
      <c r="Y35" s="3"/>
      <c r="Z35" s="3"/>
    </row>
    <row r="36" spans="1:26" ht="15.75" customHeight="1">
      <c r="A36" s="8">
        <v>35</v>
      </c>
      <c r="B36" s="8" t="s">
        <v>92</v>
      </c>
      <c r="C36" s="8"/>
      <c r="D36" s="8" t="s">
        <v>100</v>
      </c>
      <c r="E36" s="8" t="s">
        <v>49</v>
      </c>
      <c r="F36" s="8" t="s">
        <v>40</v>
      </c>
      <c r="G36" s="8"/>
      <c r="H36" s="8"/>
      <c r="I36" s="8"/>
      <c r="J36" s="8" t="s">
        <v>101</v>
      </c>
      <c r="K36" s="8" t="s">
        <v>102</v>
      </c>
      <c r="L36" s="8"/>
      <c r="M36" s="8"/>
      <c r="N36" s="8"/>
      <c r="O36" s="44" t="s">
        <v>146</v>
      </c>
      <c r="P36" s="45"/>
      <c r="Q36" s="45"/>
      <c r="R36" s="45"/>
      <c r="S36" s="45"/>
      <c r="T36" s="45"/>
      <c r="U36" s="45"/>
      <c r="V36" s="46"/>
      <c r="W36" s="3"/>
      <c r="X36" s="3"/>
      <c r="Y36" s="3"/>
      <c r="Z36" s="3"/>
    </row>
    <row r="37" spans="1:26" ht="15.75" customHeight="1">
      <c r="A37" s="8">
        <v>36</v>
      </c>
      <c r="B37" s="8" t="s">
        <v>92</v>
      </c>
      <c r="C37" s="8"/>
      <c r="D37" s="8" t="s">
        <v>103</v>
      </c>
      <c r="E37" s="8" t="s">
        <v>49</v>
      </c>
      <c r="F37" s="8" t="s">
        <v>40</v>
      </c>
      <c r="G37" s="8"/>
      <c r="H37" s="8"/>
      <c r="I37" s="8"/>
      <c r="J37" s="8" t="s">
        <v>104</v>
      </c>
      <c r="K37" s="8" t="s">
        <v>105</v>
      </c>
      <c r="L37" s="8"/>
      <c r="M37" s="8"/>
      <c r="N37" s="8"/>
      <c r="O37" s="47"/>
      <c r="P37" s="48"/>
      <c r="Q37" s="48"/>
      <c r="R37" s="48"/>
      <c r="S37" s="48"/>
      <c r="T37" s="48"/>
      <c r="U37" s="48"/>
      <c r="V37" s="49"/>
      <c r="W37" s="3"/>
      <c r="X37" s="3"/>
      <c r="Y37" s="3"/>
      <c r="Z37" s="3"/>
    </row>
    <row r="38" spans="1:26" ht="15.75" customHeight="1">
      <c r="A38" s="8">
        <v>37</v>
      </c>
      <c r="B38" s="8" t="s">
        <v>92</v>
      </c>
      <c r="C38" s="8"/>
      <c r="D38" s="8" t="s">
        <v>93</v>
      </c>
      <c r="E38" s="8" t="s">
        <v>49</v>
      </c>
      <c r="F38" s="8" t="s">
        <v>40</v>
      </c>
      <c r="G38" s="8"/>
      <c r="H38" s="8"/>
      <c r="I38" s="8"/>
      <c r="J38" s="8" t="s">
        <v>94</v>
      </c>
      <c r="K38" s="8" t="s">
        <v>95</v>
      </c>
      <c r="L38" s="8"/>
      <c r="M38" s="8"/>
      <c r="N38" s="8"/>
      <c r="O38" s="3"/>
      <c r="P38" s="4"/>
      <c r="Q38" s="4"/>
      <c r="R38" s="4"/>
      <c r="S38" s="4"/>
      <c r="T38" s="4"/>
      <c r="U38" s="4"/>
      <c r="V38" s="3"/>
      <c r="W38" s="3"/>
      <c r="X38" s="3"/>
      <c r="Y38" s="3"/>
      <c r="Z38" s="3"/>
    </row>
    <row r="39" spans="1:26" ht="15.75" customHeight="1">
      <c r="A39" s="8">
        <v>38</v>
      </c>
      <c r="B39" s="8" t="s">
        <v>92</v>
      </c>
      <c r="C39" s="8"/>
      <c r="D39" s="8" t="s">
        <v>96</v>
      </c>
      <c r="E39" s="8" t="s">
        <v>49</v>
      </c>
      <c r="F39" s="8" t="s">
        <v>40</v>
      </c>
      <c r="G39" s="8"/>
      <c r="H39" s="8"/>
      <c r="I39" s="8"/>
      <c r="J39" s="8" t="s">
        <v>94</v>
      </c>
      <c r="K39" s="8" t="s">
        <v>97</v>
      </c>
      <c r="L39" s="8"/>
      <c r="M39" s="8"/>
      <c r="N39" s="8"/>
      <c r="O39" s="3"/>
      <c r="P39" s="4"/>
      <c r="Q39" s="4"/>
      <c r="R39" s="4"/>
      <c r="S39" s="4"/>
      <c r="T39" s="4"/>
      <c r="U39" s="4"/>
      <c r="V39" s="3"/>
      <c r="W39" s="3"/>
      <c r="X39" s="3"/>
      <c r="Y39" s="3"/>
      <c r="Z39" s="3"/>
    </row>
    <row r="40" spans="1:26" ht="15.75" customHeight="1">
      <c r="A40" s="8">
        <v>39</v>
      </c>
      <c r="B40" s="8" t="s">
        <v>92</v>
      </c>
      <c r="C40" s="8"/>
      <c r="D40" s="8" t="s">
        <v>147</v>
      </c>
      <c r="E40" s="8" t="s">
        <v>49</v>
      </c>
      <c r="F40" s="8" t="s">
        <v>40</v>
      </c>
      <c r="G40" s="8"/>
      <c r="H40" s="8"/>
      <c r="I40" s="8"/>
      <c r="J40" s="8" t="s">
        <v>149</v>
      </c>
      <c r="K40" s="8" t="s">
        <v>98</v>
      </c>
      <c r="L40" s="8"/>
      <c r="M40" s="8"/>
      <c r="N40" s="8"/>
      <c r="O40" s="3"/>
      <c r="P40" s="4"/>
      <c r="Q40" s="4"/>
      <c r="R40" s="4"/>
      <c r="S40" s="4"/>
      <c r="T40" s="4"/>
      <c r="U40" s="4"/>
      <c r="V40" s="3"/>
      <c r="W40" s="3"/>
      <c r="X40" s="3"/>
      <c r="Y40" s="3"/>
      <c r="Z40" s="3"/>
    </row>
    <row r="41" spans="1:26" ht="15.75" customHeight="1">
      <c r="A41" s="8">
        <v>40</v>
      </c>
      <c r="B41" s="8" t="s">
        <v>92</v>
      </c>
      <c r="C41" s="8"/>
      <c r="D41" s="8" t="s">
        <v>148</v>
      </c>
      <c r="E41" s="8" t="s">
        <v>49</v>
      </c>
      <c r="F41" s="8" t="s">
        <v>40</v>
      </c>
      <c r="G41" s="8"/>
      <c r="H41" s="8"/>
      <c r="I41" s="8"/>
      <c r="J41" s="8" t="s">
        <v>149</v>
      </c>
      <c r="K41" s="8" t="s">
        <v>99</v>
      </c>
      <c r="L41" s="8"/>
      <c r="M41" s="8"/>
      <c r="N41" s="8"/>
      <c r="O41" s="3"/>
      <c r="P41" s="4"/>
      <c r="Q41" s="4"/>
      <c r="R41" s="4"/>
      <c r="S41" s="4"/>
      <c r="T41" s="4"/>
      <c r="U41" s="4"/>
      <c r="V41" s="3"/>
      <c r="W41" s="3"/>
      <c r="X41" s="3"/>
      <c r="Y41" s="3"/>
      <c r="Z41" s="3"/>
    </row>
    <row r="42" spans="1:26" ht="15.75" customHeight="1">
      <c r="A42" s="8">
        <v>41</v>
      </c>
      <c r="B42" s="8" t="s">
        <v>92</v>
      </c>
      <c r="C42" s="8"/>
      <c r="D42" s="8" t="s">
        <v>150</v>
      </c>
      <c r="E42" s="8" t="s">
        <v>143</v>
      </c>
      <c r="F42" s="8" t="s">
        <v>144</v>
      </c>
      <c r="G42" s="8"/>
      <c r="H42" s="8"/>
      <c r="I42" s="8"/>
      <c r="J42" s="8" t="s">
        <v>156</v>
      </c>
      <c r="K42" s="8" t="s">
        <v>68</v>
      </c>
      <c r="L42" s="8"/>
      <c r="M42" s="8"/>
      <c r="N42" s="8"/>
      <c r="O42" s="3"/>
      <c r="P42" s="4"/>
      <c r="Q42" s="4"/>
      <c r="R42" s="4"/>
      <c r="S42" s="4"/>
      <c r="T42" s="4"/>
      <c r="U42" s="4"/>
      <c r="V42" s="3"/>
      <c r="W42" s="3"/>
      <c r="X42" s="3"/>
      <c r="Y42" s="3"/>
      <c r="Z42" s="3"/>
    </row>
    <row r="43" spans="1:26" ht="15.75" customHeight="1">
      <c r="A43" s="8">
        <v>42</v>
      </c>
      <c r="B43" s="8" t="s">
        <v>92</v>
      </c>
      <c r="C43" s="8"/>
      <c r="D43" s="8" t="s">
        <v>151</v>
      </c>
      <c r="E43" s="8" t="s">
        <v>143</v>
      </c>
      <c r="F43" s="8" t="s">
        <v>144</v>
      </c>
      <c r="G43" s="8"/>
      <c r="H43" s="8"/>
      <c r="I43" s="8"/>
      <c r="J43" s="8" t="s">
        <v>156</v>
      </c>
      <c r="K43" s="8" t="s">
        <v>68</v>
      </c>
      <c r="L43" s="8"/>
      <c r="M43" s="8"/>
      <c r="N43" s="8"/>
      <c r="O43" s="3"/>
      <c r="P43" s="4"/>
      <c r="Q43" s="4"/>
      <c r="R43" s="4"/>
      <c r="S43" s="4"/>
      <c r="T43" s="4"/>
      <c r="U43" s="4"/>
      <c r="V43" s="3"/>
      <c r="W43" s="3"/>
      <c r="X43" s="3"/>
      <c r="Y43" s="3"/>
      <c r="Z43" s="3"/>
    </row>
    <row r="44" spans="1:26" ht="15.75" customHeight="1">
      <c r="A44" s="8">
        <v>43</v>
      </c>
      <c r="B44" s="8" t="s">
        <v>92</v>
      </c>
      <c r="C44" s="8"/>
      <c r="D44" s="8" t="s">
        <v>152</v>
      </c>
      <c r="E44" s="8" t="s">
        <v>143</v>
      </c>
      <c r="F44" s="8" t="s">
        <v>144</v>
      </c>
      <c r="G44" s="8"/>
      <c r="H44" s="8"/>
      <c r="I44" s="8"/>
      <c r="J44" s="8" t="s">
        <v>156</v>
      </c>
      <c r="K44" s="8" t="s">
        <v>68</v>
      </c>
      <c r="L44" s="8"/>
      <c r="M44" s="8"/>
      <c r="N44" s="8"/>
      <c r="O44" s="3"/>
      <c r="P44" s="4"/>
      <c r="Q44" s="4"/>
      <c r="R44" s="4"/>
      <c r="S44" s="4"/>
      <c r="T44" s="4"/>
      <c r="U44" s="4"/>
      <c r="V44" s="3"/>
      <c r="W44" s="3"/>
      <c r="X44" s="3"/>
      <c r="Y44" s="3"/>
      <c r="Z44" s="3"/>
    </row>
    <row r="45" spans="1:26" ht="15.75" customHeight="1">
      <c r="A45" s="8">
        <v>44</v>
      </c>
      <c r="B45" s="8" t="s">
        <v>92</v>
      </c>
      <c r="C45" s="8"/>
      <c r="D45" s="8" t="s">
        <v>153</v>
      </c>
      <c r="E45" s="8" t="s">
        <v>143</v>
      </c>
      <c r="F45" s="8" t="s">
        <v>144</v>
      </c>
      <c r="G45" s="8"/>
      <c r="H45" s="8"/>
      <c r="I45" s="8"/>
      <c r="J45" s="8" t="s">
        <v>156</v>
      </c>
      <c r="K45" s="8" t="s">
        <v>68</v>
      </c>
      <c r="L45" s="8"/>
      <c r="M45" s="8"/>
      <c r="N45" s="8"/>
      <c r="O45" s="3"/>
      <c r="P45" s="4"/>
      <c r="Q45" s="4"/>
      <c r="R45" s="4"/>
      <c r="S45" s="4"/>
      <c r="T45" s="4"/>
      <c r="U45" s="4"/>
      <c r="V45" s="3"/>
      <c r="W45" s="3"/>
      <c r="X45" s="3"/>
      <c r="Y45" s="3"/>
      <c r="Z45" s="3"/>
    </row>
    <row r="46" spans="1:26" ht="15.75" customHeight="1">
      <c r="A46" s="8">
        <v>45</v>
      </c>
      <c r="B46" s="8" t="s">
        <v>92</v>
      </c>
      <c r="C46" s="8"/>
      <c r="D46" s="8" t="s">
        <v>154</v>
      </c>
      <c r="E46" s="8" t="s">
        <v>143</v>
      </c>
      <c r="F46" s="8" t="s">
        <v>144</v>
      </c>
      <c r="G46" s="8"/>
      <c r="H46" s="8"/>
      <c r="I46" s="8"/>
      <c r="J46" s="8" t="s">
        <v>156</v>
      </c>
      <c r="K46" s="8" t="s">
        <v>68</v>
      </c>
      <c r="L46" s="8"/>
      <c r="M46" s="8"/>
      <c r="N46" s="8"/>
      <c r="O46" s="3"/>
      <c r="P46" s="4"/>
      <c r="Q46" s="4"/>
      <c r="R46" s="4"/>
      <c r="S46" s="4"/>
      <c r="T46" s="4"/>
      <c r="U46" s="4"/>
      <c r="V46" s="3"/>
      <c r="W46" s="3"/>
      <c r="X46" s="3"/>
      <c r="Y46" s="3"/>
      <c r="Z46" s="3"/>
    </row>
    <row r="47" spans="1:26" ht="15.75" customHeight="1">
      <c r="A47" s="8">
        <v>46</v>
      </c>
      <c r="B47" s="8" t="s">
        <v>92</v>
      </c>
      <c r="C47" s="8"/>
      <c r="D47" s="8" t="s">
        <v>155</v>
      </c>
      <c r="E47" s="8" t="s">
        <v>143</v>
      </c>
      <c r="F47" s="8" t="s">
        <v>144</v>
      </c>
      <c r="G47" s="8"/>
      <c r="H47" s="8"/>
      <c r="I47" s="8"/>
      <c r="J47" s="8" t="s">
        <v>156</v>
      </c>
      <c r="K47" s="8" t="s">
        <v>68</v>
      </c>
      <c r="L47" s="8"/>
      <c r="M47" s="8"/>
      <c r="N47" s="8"/>
      <c r="O47" s="3"/>
      <c r="P47" s="4"/>
      <c r="Q47" s="4"/>
      <c r="R47" s="4"/>
      <c r="S47" s="4"/>
      <c r="T47" s="4"/>
      <c r="U47" s="4"/>
      <c r="V47" s="3"/>
      <c r="W47" s="3"/>
      <c r="X47" s="3"/>
      <c r="Y47" s="3"/>
      <c r="Z47" s="3"/>
    </row>
    <row r="48" spans="1:26" ht="15.75" customHeight="1">
      <c r="A48" s="8">
        <v>47</v>
      </c>
      <c r="B48" s="8" t="s">
        <v>92</v>
      </c>
      <c r="C48" s="8"/>
      <c r="D48" s="8" t="s">
        <v>157</v>
      </c>
      <c r="E48" s="8" t="s">
        <v>49</v>
      </c>
      <c r="F48" s="8" t="s">
        <v>40</v>
      </c>
      <c r="G48" s="8"/>
      <c r="H48" s="8"/>
      <c r="I48" s="8"/>
      <c r="J48" s="8" t="s">
        <v>158</v>
      </c>
      <c r="K48" s="8" t="s">
        <v>106</v>
      </c>
      <c r="L48" s="8"/>
      <c r="M48" s="8"/>
      <c r="N48" s="8"/>
      <c r="O48" s="3"/>
      <c r="P48" s="4"/>
      <c r="Q48" s="4"/>
      <c r="R48" s="4"/>
      <c r="S48" s="4"/>
      <c r="T48" s="4"/>
      <c r="U48" s="4"/>
      <c r="V48" s="3"/>
      <c r="W48" s="3"/>
      <c r="X48" s="3"/>
      <c r="Y48" s="3"/>
      <c r="Z48" s="3"/>
    </row>
    <row r="49" spans="1:26" ht="15.75" customHeight="1">
      <c r="A49" s="6">
        <v>48</v>
      </c>
      <c r="B49" s="6" t="s">
        <v>159</v>
      </c>
      <c r="C49" s="6"/>
      <c r="D49" s="6" t="s">
        <v>141</v>
      </c>
      <c r="E49" s="6" t="s">
        <v>160</v>
      </c>
      <c r="F49" s="6" t="s">
        <v>40</v>
      </c>
      <c r="G49" s="6"/>
      <c r="H49" s="6" t="s">
        <v>191</v>
      </c>
      <c r="I49" s="6"/>
      <c r="J49" s="6" t="s">
        <v>161</v>
      </c>
      <c r="K49" s="6" t="s">
        <v>46</v>
      </c>
      <c r="L49" s="6"/>
      <c r="M49" s="6"/>
      <c r="N49" s="6"/>
      <c r="O49" s="3"/>
      <c r="P49" s="4"/>
      <c r="Q49" s="4"/>
      <c r="R49" s="4"/>
      <c r="S49" s="4"/>
      <c r="T49" s="4"/>
      <c r="U49" s="4"/>
      <c r="V49" s="3"/>
      <c r="W49" s="3"/>
      <c r="X49" s="3"/>
      <c r="Y49" s="3"/>
      <c r="Z49" s="3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3"/>
      <c r="P50" s="4"/>
      <c r="Q50" s="4"/>
      <c r="R50" s="4"/>
      <c r="S50" s="4"/>
      <c r="T50" s="4"/>
      <c r="U50" s="4"/>
      <c r="V50" s="3"/>
      <c r="W50" s="3"/>
      <c r="X50" s="3"/>
      <c r="Y50" s="3"/>
      <c r="Z50" s="3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3"/>
      <c r="P51" s="4"/>
      <c r="Q51" s="4"/>
      <c r="R51" s="4"/>
      <c r="S51" s="4"/>
      <c r="T51" s="4"/>
      <c r="U51" s="4"/>
      <c r="V51" s="3"/>
      <c r="W51" s="3"/>
      <c r="X51" s="3"/>
      <c r="Y51" s="3"/>
      <c r="Z51" s="3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3"/>
      <c r="P52" s="4"/>
      <c r="Q52" s="4"/>
      <c r="R52" s="4"/>
      <c r="S52" s="4"/>
      <c r="T52" s="4"/>
      <c r="U52" s="4"/>
      <c r="V52" s="3"/>
      <c r="W52" s="3"/>
      <c r="X52" s="3"/>
      <c r="Y52" s="3"/>
      <c r="Z52" s="3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3"/>
      <c r="P53" s="4"/>
      <c r="Q53" s="4"/>
      <c r="R53" s="4"/>
      <c r="S53" s="4"/>
      <c r="T53" s="4"/>
      <c r="U53" s="4"/>
      <c r="V53" s="3"/>
      <c r="W53" s="3"/>
      <c r="X53" s="3"/>
      <c r="Y53" s="3"/>
      <c r="Z53" s="3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3"/>
      <c r="P54" s="4"/>
      <c r="Q54" s="4"/>
      <c r="R54" s="4"/>
      <c r="S54" s="4"/>
      <c r="T54" s="4"/>
      <c r="U54" s="4"/>
      <c r="V54" s="3"/>
      <c r="W54" s="3"/>
      <c r="X54" s="3"/>
      <c r="Y54" s="3"/>
      <c r="Z54" s="3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3"/>
      <c r="P55" s="4"/>
      <c r="Q55" s="4"/>
      <c r="R55" s="4"/>
      <c r="S55" s="4"/>
      <c r="T55" s="4"/>
      <c r="U55" s="4"/>
      <c r="V55" s="3"/>
      <c r="W55" s="3"/>
      <c r="X55" s="3"/>
      <c r="Y55" s="3"/>
      <c r="Z55" s="3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3"/>
      <c r="P56" s="4"/>
      <c r="Q56" s="4"/>
      <c r="R56" s="4"/>
      <c r="S56" s="4"/>
      <c r="T56" s="4"/>
      <c r="U56" s="4"/>
      <c r="V56" s="3"/>
      <c r="W56" s="3"/>
      <c r="X56" s="3"/>
      <c r="Y56" s="3"/>
      <c r="Z56" s="3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3"/>
      <c r="P57" s="4"/>
      <c r="Q57" s="4"/>
      <c r="R57" s="4"/>
      <c r="S57" s="4"/>
      <c r="T57" s="4"/>
      <c r="U57" s="4"/>
      <c r="V57" s="3"/>
      <c r="W57" s="3"/>
      <c r="X57" s="3"/>
      <c r="Y57" s="3"/>
      <c r="Z57" s="3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3"/>
      <c r="P58" s="4"/>
      <c r="Q58" s="4"/>
      <c r="R58" s="4"/>
      <c r="S58" s="4"/>
      <c r="T58" s="4"/>
      <c r="U58" s="4"/>
      <c r="V58" s="3"/>
      <c r="W58" s="3"/>
      <c r="X58" s="3"/>
      <c r="Y58" s="3"/>
      <c r="Z58" s="3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3"/>
      <c r="P59" s="4"/>
      <c r="Q59" s="4"/>
      <c r="R59" s="4"/>
      <c r="S59" s="4"/>
      <c r="T59" s="4"/>
      <c r="U59" s="4"/>
      <c r="V59" s="3"/>
      <c r="W59" s="3"/>
      <c r="X59" s="3"/>
      <c r="Y59" s="3"/>
      <c r="Z59" s="3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3"/>
      <c r="P60" s="4"/>
      <c r="Q60" s="4"/>
      <c r="R60" s="4"/>
      <c r="S60" s="4"/>
      <c r="T60" s="4"/>
      <c r="U60" s="4"/>
      <c r="V60" s="3"/>
      <c r="W60" s="3"/>
      <c r="X60" s="3"/>
      <c r="Y60" s="3"/>
      <c r="Z60" s="3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3"/>
      <c r="P61" s="4"/>
      <c r="Q61" s="4"/>
      <c r="R61" s="4"/>
      <c r="S61" s="4"/>
      <c r="T61" s="4"/>
      <c r="U61" s="4"/>
      <c r="V61" s="3"/>
      <c r="W61" s="3"/>
      <c r="X61" s="3"/>
      <c r="Y61" s="3"/>
      <c r="Z61" s="3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3"/>
      <c r="P62" s="4"/>
      <c r="Q62" s="4"/>
      <c r="R62" s="4"/>
      <c r="S62" s="4"/>
      <c r="T62" s="4"/>
      <c r="U62" s="4"/>
      <c r="V62" s="3"/>
      <c r="W62" s="3"/>
      <c r="X62" s="3"/>
      <c r="Y62" s="3"/>
      <c r="Z62" s="3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3"/>
      <c r="P63" s="4"/>
      <c r="Q63" s="4"/>
      <c r="R63" s="4"/>
      <c r="S63" s="4"/>
      <c r="T63" s="4"/>
      <c r="U63" s="4"/>
      <c r="V63" s="3"/>
      <c r="W63" s="3"/>
      <c r="X63" s="3"/>
      <c r="Y63" s="3"/>
      <c r="Z63" s="3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3"/>
      <c r="P64" s="4"/>
      <c r="Q64" s="4"/>
      <c r="R64" s="4"/>
      <c r="S64" s="4"/>
      <c r="T64" s="4"/>
      <c r="U64" s="4"/>
      <c r="V64" s="3"/>
      <c r="W64" s="3"/>
      <c r="X64" s="3"/>
      <c r="Y64" s="3"/>
      <c r="Z64" s="3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3"/>
      <c r="P65" s="4"/>
      <c r="Q65" s="4"/>
      <c r="R65" s="4"/>
      <c r="S65" s="4"/>
      <c r="T65" s="4"/>
      <c r="U65" s="4"/>
      <c r="V65" s="3"/>
      <c r="W65" s="3"/>
      <c r="X65" s="3"/>
      <c r="Y65" s="3"/>
      <c r="Z65" s="3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3"/>
      <c r="P66" s="4"/>
      <c r="Q66" s="4"/>
      <c r="R66" s="4"/>
      <c r="S66" s="4"/>
      <c r="T66" s="4"/>
      <c r="U66" s="4"/>
      <c r="V66" s="3"/>
      <c r="W66" s="3"/>
      <c r="X66" s="3"/>
      <c r="Y66" s="3"/>
      <c r="Z66" s="3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3"/>
      <c r="P67" s="4"/>
      <c r="Q67" s="4"/>
      <c r="R67" s="4"/>
      <c r="S67" s="4"/>
      <c r="T67" s="4"/>
      <c r="U67" s="4"/>
      <c r="V67" s="3"/>
      <c r="W67" s="3"/>
      <c r="X67" s="3"/>
      <c r="Y67" s="3"/>
      <c r="Z67" s="3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3"/>
      <c r="P68" s="4"/>
      <c r="Q68" s="4"/>
      <c r="R68" s="4"/>
      <c r="S68" s="4"/>
      <c r="T68" s="4"/>
      <c r="U68" s="4"/>
      <c r="V68" s="3"/>
      <c r="W68" s="3"/>
      <c r="X68" s="3"/>
      <c r="Y68" s="3"/>
      <c r="Z68" s="3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3"/>
      <c r="P69" s="4"/>
      <c r="Q69" s="4"/>
      <c r="R69" s="4"/>
      <c r="S69" s="4"/>
      <c r="T69" s="4"/>
      <c r="U69" s="4"/>
      <c r="V69" s="3"/>
      <c r="W69" s="3"/>
      <c r="X69" s="3"/>
      <c r="Y69" s="3"/>
      <c r="Z69" s="3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3"/>
      <c r="P70" s="4"/>
      <c r="Q70" s="4"/>
      <c r="R70" s="4"/>
      <c r="S70" s="4"/>
      <c r="T70" s="4"/>
      <c r="U70" s="4"/>
      <c r="V70" s="3"/>
      <c r="W70" s="3"/>
      <c r="X70" s="3"/>
      <c r="Y70" s="3"/>
      <c r="Z70" s="3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3"/>
      <c r="P71" s="4"/>
      <c r="Q71" s="4"/>
      <c r="R71" s="4"/>
      <c r="S71" s="4"/>
      <c r="T71" s="4"/>
      <c r="U71" s="4"/>
      <c r="V71" s="3"/>
      <c r="W71" s="3"/>
      <c r="X71" s="3"/>
      <c r="Y71" s="3"/>
      <c r="Z71" s="3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3"/>
      <c r="P72" s="4"/>
      <c r="Q72" s="4"/>
      <c r="R72" s="4"/>
      <c r="S72" s="4"/>
      <c r="T72" s="4"/>
      <c r="U72" s="4"/>
      <c r="V72" s="3"/>
      <c r="W72" s="3"/>
      <c r="X72" s="3"/>
      <c r="Y72" s="3"/>
      <c r="Z72" s="3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3"/>
      <c r="P73" s="4"/>
      <c r="Q73" s="4"/>
      <c r="R73" s="4"/>
      <c r="S73" s="4"/>
      <c r="T73" s="4"/>
      <c r="U73" s="4"/>
      <c r="V73" s="3"/>
      <c r="W73" s="3"/>
      <c r="X73" s="3"/>
      <c r="Y73" s="3"/>
      <c r="Z73" s="3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3"/>
      <c r="P74" s="4"/>
      <c r="Q74" s="4"/>
      <c r="R74" s="4"/>
      <c r="S74" s="4"/>
      <c r="T74" s="4"/>
      <c r="U74" s="4"/>
      <c r="V74" s="3"/>
      <c r="W74" s="3"/>
      <c r="X74" s="3"/>
      <c r="Y74" s="3"/>
      <c r="Z74" s="3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3"/>
      <c r="P75" s="4"/>
      <c r="Q75" s="4"/>
      <c r="R75" s="4"/>
      <c r="S75" s="4"/>
      <c r="T75" s="4"/>
      <c r="U75" s="4"/>
      <c r="V75" s="3"/>
      <c r="W75" s="3"/>
      <c r="X75" s="3"/>
      <c r="Y75" s="3"/>
      <c r="Z75" s="3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3"/>
      <c r="P76" s="4"/>
      <c r="Q76" s="4"/>
      <c r="R76" s="4"/>
      <c r="S76" s="4"/>
      <c r="T76" s="4"/>
      <c r="U76" s="4"/>
      <c r="V76" s="3"/>
      <c r="W76" s="3"/>
      <c r="X76" s="3"/>
      <c r="Y76" s="3"/>
      <c r="Z76" s="3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3"/>
      <c r="P77" s="4"/>
      <c r="Q77" s="4"/>
      <c r="R77" s="4"/>
      <c r="S77" s="4"/>
      <c r="T77" s="4"/>
      <c r="U77" s="4"/>
      <c r="V77" s="3"/>
      <c r="W77" s="3"/>
      <c r="X77" s="3"/>
      <c r="Y77" s="3"/>
      <c r="Z77" s="3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3"/>
      <c r="P78" s="4"/>
      <c r="Q78" s="4"/>
      <c r="R78" s="4"/>
      <c r="S78" s="4"/>
      <c r="T78" s="4"/>
      <c r="U78" s="4"/>
      <c r="V78" s="3"/>
      <c r="W78" s="3"/>
      <c r="X78" s="3"/>
      <c r="Y78" s="3"/>
      <c r="Z78" s="3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3"/>
      <c r="P79" s="4"/>
      <c r="Q79" s="4"/>
      <c r="R79" s="4"/>
      <c r="S79" s="4"/>
      <c r="T79" s="4"/>
      <c r="U79" s="4"/>
      <c r="V79" s="3"/>
      <c r="W79" s="3"/>
      <c r="X79" s="3"/>
      <c r="Y79" s="3"/>
      <c r="Z79" s="3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3"/>
      <c r="P80" s="4"/>
      <c r="Q80" s="4"/>
      <c r="R80" s="4"/>
      <c r="S80" s="4"/>
      <c r="T80" s="4"/>
      <c r="U80" s="4"/>
      <c r="V80" s="3"/>
      <c r="W80" s="3"/>
      <c r="X80" s="3"/>
      <c r="Y80" s="3"/>
      <c r="Z80" s="3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3"/>
      <c r="P81" s="4"/>
      <c r="Q81" s="4"/>
      <c r="R81" s="4"/>
      <c r="S81" s="4"/>
      <c r="T81" s="4"/>
      <c r="U81" s="4"/>
      <c r="V81" s="3"/>
      <c r="W81" s="3"/>
      <c r="X81" s="3"/>
      <c r="Y81" s="3"/>
      <c r="Z81" s="3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3"/>
      <c r="P82" s="4"/>
      <c r="Q82" s="4"/>
      <c r="R82" s="4"/>
      <c r="S82" s="4"/>
      <c r="T82" s="4"/>
      <c r="U82" s="4"/>
      <c r="V82" s="3"/>
      <c r="W82" s="3"/>
      <c r="X82" s="3"/>
      <c r="Y82" s="3"/>
      <c r="Z82" s="3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3"/>
      <c r="P83" s="4"/>
      <c r="Q83" s="4"/>
      <c r="R83" s="4"/>
      <c r="S83" s="4"/>
      <c r="T83" s="4"/>
      <c r="U83" s="4"/>
      <c r="V83" s="3"/>
      <c r="W83" s="3"/>
      <c r="X83" s="3"/>
      <c r="Y83" s="3"/>
      <c r="Z83" s="3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3"/>
      <c r="P84" s="4"/>
      <c r="Q84" s="4"/>
      <c r="R84" s="4"/>
      <c r="S84" s="4"/>
      <c r="T84" s="4"/>
      <c r="U84" s="4"/>
      <c r="V84" s="3"/>
      <c r="W84" s="3"/>
      <c r="X84" s="3"/>
      <c r="Y84" s="3"/>
      <c r="Z84" s="3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3"/>
      <c r="P85" s="4"/>
      <c r="Q85" s="4"/>
      <c r="R85" s="4"/>
      <c r="S85" s="4"/>
      <c r="T85" s="4"/>
      <c r="U85" s="4"/>
      <c r="V85" s="3"/>
      <c r="W85" s="3"/>
      <c r="X85" s="3"/>
      <c r="Y85" s="3"/>
      <c r="Z85" s="3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3"/>
      <c r="P86" s="4"/>
      <c r="Q86" s="4"/>
      <c r="R86" s="4"/>
      <c r="S86" s="4"/>
      <c r="T86" s="4"/>
      <c r="U86" s="4"/>
      <c r="V86" s="3"/>
      <c r="W86" s="3"/>
      <c r="X86" s="3"/>
      <c r="Y86" s="3"/>
      <c r="Z86" s="3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3"/>
      <c r="P87" s="4"/>
      <c r="Q87" s="4"/>
      <c r="R87" s="4"/>
      <c r="S87" s="4"/>
      <c r="T87" s="4"/>
      <c r="U87" s="4"/>
      <c r="V87" s="3"/>
      <c r="W87" s="3"/>
      <c r="X87" s="3"/>
      <c r="Y87" s="3"/>
      <c r="Z87" s="3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3"/>
      <c r="P88" s="4"/>
      <c r="Q88" s="4"/>
      <c r="R88" s="4"/>
      <c r="S88" s="4"/>
      <c r="T88" s="4"/>
      <c r="U88" s="4"/>
      <c r="V88" s="3"/>
      <c r="W88" s="3"/>
      <c r="X88" s="3"/>
      <c r="Y88" s="3"/>
      <c r="Z88" s="3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4"/>
      <c r="Q89" s="4"/>
      <c r="R89" s="4"/>
      <c r="S89" s="4"/>
      <c r="T89" s="4"/>
      <c r="U89" s="4"/>
      <c r="V89" s="3"/>
      <c r="W89" s="3"/>
      <c r="X89" s="3"/>
      <c r="Y89" s="3"/>
      <c r="Z89" s="3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3"/>
      <c r="P90" s="4"/>
      <c r="Q90" s="4"/>
      <c r="R90" s="4"/>
      <c r="S90" s="4"/>
      <c r="T90" s="4"/>
      <c r="U90" s="4"/>
      <c r="V90" s="3"/>
      <c r="W90" s="3"/>
      <c r="X90" s="3"/>
      <c r="Y90" s="3"/>
      <c r="Z90" s="3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3"/>
      <c r="P91" s="4"/>
      <c r="Q91" s="4"/>
      <c r="R91" s="4"/>
      <c r="S91" s="4"/>
      <c r="T91" s="4"/>
      <c r="U91" s="4"/>
      <c r="V91" s="3"/>
      <c r="W91" s="3"/>
      <c r="X91" s="3"/>
      <c r="Y91" s="3"/>
      <c r="Z91" s="3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3"/>
      <c r="P92" s="4"/>
      <c r="Q92" s="4"/>
      <c r="R92" s="4"/>
      <c r="S92" s="4"/>
      <c r="T92" s="4"/>
      <c r="U92" s="4"/>
      <c r="V92" s="3"/>
      <c r="W92" s="3"/>
      <c r="X92" s="3"/>
      <c r="Y92" s="3"/>
      <c r="Z92" s="3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3"/>
      <c r="P93" s="4"/>
      <c r="Q93" s="4"/>
      <c r="R93" s="4"/>
      <c r="S93" s="4"/>
      <c r="T93" s="4"/>
      <c r="U93" s="4"/>
      <c r="V93" s="3"/>
      <c r="W93" s="3"/>
      <c r="X93" s="3"/>
      <c r="Y93" s="3"/>
      <c r="Z93" s="3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3"/>
      <c r="P94" s="4"/>
      <c r="Q94" s="4"/>
      <c r="R94" s="4"/>
      <c r="S94" s="4"/>
      <c r="T94" s="4"/>
      <c r="U94" s="4"/>
      <c r="V94" s="3"/>
      <c r="W94" s="3"/>
      <c r="X94" s="3"/>
      <c r="Y94" s="3"/>
      <c r="Z94" s="3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3"/>
      <c r="P95" s="4"/>
      <c r="Q95" s="4"/>
      <c r="R95" s="4"/>
      <c r="S95" s="4"/>
      <c r="T95" s="4"/>
      <c r="U95" s="4"/>
      <c r="V95" s="3"/>
      <c r="W95" s="3"/>
      <c r="X95" s="3"/>
      <c r="Y95" s="3"/>
      <c r="Z95" s="3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3"/>
      <c r="P96" s="4"/>
      <c r="Q96" s="4"/>
      <c r="R96" s="4"/>
      <c r="S96" s="4"/>
      <c r="T96" s="4"/>
      <c r="U96" s="4"/>
      <c r="V96" s="3"/>
      <c r="W96" s="3"/>
      <c r="X96" s="3"/>
      <c r="Y96" s="3"/>
      <c r="Z96" s="3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3"/>
      <c r="P97" s="4"/>
      <c r="Q97" s="4"/>
      <c r="R97" s="4"/>
      <c r="S97" s="4"/>
      <c r="T97" s="4"/>
      <c r="U97" s="4"/>
      <c r="V97" s="3"/>
      <c r="W97" s="3"/>
      <c r="X97" s="3"/>
      <c r="Y97" s="3"/>
      <c r="Z97" s="3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3"/>
      <c r="P98" s="4"/>
      <c r="Q98" s="4"/>
      <c r="R98" s="4"/>
      <c r="S98" s="4"/>
      <c r="T98" s="4"/>
      <c r="U98" s="4"/>
      <c r="V98" s="3"/>
      <c r="W98" s="3"/>
      <c r="X98" s="3"/>
      <c r="Y98" s="3"/>
      <c r="Z98" s="3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3"/>
      <c r="P99" s="4"/>
      <c r="Q99" s="4"/>
      <c r="R99" s="4"/>
      <c r="S99" s="4"/>
      <c r="T99" s="4"/>
      <c r="U99" s="4"/>
      <c r="V99" s="3"/>
      <c r="W99" s="3"/>
      <c r="X99" s="3"/>
      <c r="Y99" s="3"/>
      <c r="Z99" s="3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3"/>
      <c r="P100" s="4"/>
      <c r="Q100" s="4"/>
      <c r="R100" s="4"/>
      <c r="S100" s="4"/>
      <c r="T100" s="4"/>
      <c r="U100" s="4"/>
      <c r="V100" s="3"/>
      <c r="W100" s="3"/>
      <c r="X100" s="3"/>
      <c r="Y100" s="3"/>
      <c r="Z100" s="3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3"/>
      <c r="P101" s="4"/>
      <c r="Q101" s="4"/>
      <c r="R101" s="4"/>
      <c r="S101" s="4"/>
      <c r="T101" s="4"/>
      <c r="U101" s="4"/>
      <c r="V101" s="3"/>
      <c r="W101" s="3"/>
      <c r="X101" s="3"/>
      <c r="Y101" s="3"/>
      <c r="Z101" s="3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3"/>
      <c r="P102" s="4"/>
      <c r="Q102" s="4"/>
      <c r="R102" s="4"/>
      <c r="S102" s="4"/>
      <c r="T102" s="4"/>
      <c r="U102" s="4"/>
      <c r="V102" s="3"/>
      <c r="W102" s="3"/>
      <c r="X102" s="3"/>
      <c r="Y102" s="3"/>
      <c r="Z102" s="3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3"/>
      <c r="P103" s="4"/>
      <c r="Q103" s="4"/>
      <c r="R103" s="4"/>
      <c r="S103" s="4"/>
      <c r="T103" s="4"/>
      <c r="U103" s="4"/>
      <c r="V103" s="3"/>
      <c r="W103" s="3"/>
      <c r="X103" s="3"/>
      <c r="Y103" s="3"/>
      <c r="Z103" s="3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3"/>
      <c r="P104" s="4"/>
      <c r="Q104" s="4"/>
      <c r="R104" s="4"/>
      <c r="S104" s="4"/>
      <c r="T104" s="4"/>
      <c r="U104" s="4"/>
      <c r="V104" s="3"/>
      <c r="W104" s="3"/>
      <c r="X104" s="3"/>
      <c r="Y104" s="3"/>
      <c r="Z104" s="3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3"/>
      <c r="P105" s="4"/>
      <c r="Q105" s="4"/>
      <c r="R105" s="4"/>
      <c r="S105" s="4"/>
      <c r="T105" s="4"/>
      <c r="U105" s="4"/>
      <c r="V105" s="3"/>
      <c r="W105" s="3"/>
      <c r="X105" s="3"/>
      <c r="Y105" s="3"/>
      <c r="Z105" s="3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3"/>
      <c r="P106" s="4"/>
      <c r="Q106" s="4"/>
      <c r="R106" s="4"/>
      <c r="S106" s="4"/>
      <c r="T106" s="4"/>
      <c r="U106" s="4"/>
      <c r="V106" s="3"/>
      <c r="W106" s="3"/>
      <c r="X106" s="3"/>
      <c r="Y106" s="3"/>
      <c r="Z106" s="3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3"/>
      <c r="P107" s="4"/>
      <c r="Q107" s="4"/>
      <c r="R107" s="4"/>
      <c r="S107" s="4"/>
      <c r="T107" s="4"/>
      <c r="U107" s="4"/>
      <c r="V107" s="3"/>
      <c r="W107" s="3"/>
      <c r="X107" s="3"/>
      <c r="Y107" s="3"/>
      <c r="Z107" s="3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3"/>
      <c r="P108" s="4"/>
      <c r="Q108" s="4"/>
      <c r="R108" s="4"/>
      <c r="S108" s="4"/>
      <c r="T108" s="4"/>
      <c r="U108" s="4"/>
      <c r="V108" s="3"/>
      <c r="W108" s="3"/>
      <c r="X108" s="3"/>
      <c r="Y108" s="3"/>
      <c r="Z108" s="3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3"/>
      <c r="P109" s="4"/>
      <c r="Q109" s="4"/>
      <c r="R109" s="4"/>
      <c r="S109" s="4"/>
      <c r="T109" s="4"/>
      <c r="U109" s="4"/>
      <c r="V109" s="3"/>
      <c r="W109" s="3"/>
      <c r="X109" s="3"/>
      <c r="Y109" s="3"/>
      <c r="Z109" s="3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3"/>
      <c r="P110" s="4"/>
      <c r="Q110" s="4"/>
      <c r="R110" s="4"/>
      <c r="S110" s="4"/>
      <c r="T110" s="4"/>
      <c r="U110" s="4"/>
      <c r="V110" s="3"/>
      <c r="W110" s="3"/>
      <c r="X110" s="3"/>
      <c r="Y110" s="3"/>
      <c r="Z110" s="3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3"/>
      <c r="P111" s="4"/>
      <c r="Q111" s="4"/>
      <c r="R111" s="4"/>
      <c r="S111" s="4"/>
      <c r="T111" s="4"/>
      <c r="U111" s="4"/>
      <c r="V111" s="3"/>
      <c r="W111" s="3"/>
      <c r="X111" s="3"/>
      <c r="Y111" s="3"/>
      <c r="Z111" s="3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3"/>
      <c r="P112" s="4"/>
      <c r="Q112" s="4"/>
      <c r="R112" s="4"/>
      <c r="S112" s="4"/>
      <c r="T112" s="4"/>
      <c r="U112" s="4"/>
      <c r="V112" s="3"/>
      <c r="W112" s="3"/>
      <c r="X112" s="3"/>
      <c r="Y112" s="3"/>
      <c r="Z112" s="3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3"/>
      <c r="P113" s="4"/>
      <c r="Q113" s="4"/>
      <c r="R113" s="4"/>
      <c r="S113" s="4"/>
      <c r="T113" s="4"/>
      <c r="U113" s="4"/>
      <c r="V113" s="3"/>
      <c r="W113" s="3"/>
      <c r="X113" s="3"/>
      <c r="Y113" s="3"/>
      <c r="Z113" s="3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3"/>
      <c r="P114" s="4"/>
      <c r="Q114" s="4"/>
      <c r="R114" s="4"/>
      <c r="S114" s="4"/>
      <c r="T114" s="4"/>
      <c r="U114" s="4"/>
      <c r="V114" s="3"/>
      <c r="W114" s="3"/>
      <c r="X114" s="3"/>
      <c r="Y114" s="3"/>
      <c r="Z114" s="3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3"/>
      <c r="P115" s="4"/>
      <c r="Q115" s="4"/>
      <c r="R115" s="4"/>
      <c r="S115" s="4"/>
      <c r="T115" s="4"/>
      <c r="U115" s="4"/>
      <c r="V115" s="3"/>
      <c r="W115" s="3"/>
      <c r="X115" s="3"/>
      <c r="Y115" s="3"/>
      <c r="Z115" s="3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3"/>
      <c r="P116" s="4"/>
      <c r="Q116" s="4"/>
      <c r="R116" s="4"/>
      <c r="S116" s="4"/>
      <c r="T116" s="4"/>
      <c r="U116" s="4"/>
      <c r="V116" s="3"/>
      <c r="W116" s="3"/>
      <c r="X116" s="3"/>
      <c r="Y116" s="3"/>
      <c r="Z116" s="3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3"/>
      <c r="P117" s="4"/>
      <c r="Q117" s="4"/>
      <c r="R117" s="4"/>
      <c r="S117" s="4"/>
      <c r="T117" s="4"/>
      <c r="U117" s="4"/>
      <c r="V117" s="3"/>
      <c r="W117" s="3"/>
      <c r="X117" s="3"/>
      <c r="Y117" s="3"/>
      <c r="Z117" s="3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3"/>
      <c r="P118" s="4"/>
      <c r="Q118" s="4"/>
      <c r="R118" s="4"/>
      <c r="S118" s="4"/>
      <c r="T118" s="4"/>
      <c r="U118" s="4"/>
      <c r="V118" s="3"/>
      <c r="W118" s="3"/>
      <c r="X118" s="3"/>
      <c r="Y118" s="3"/>
      <c r="Z118" s="3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3"/>
      <c r="P119" s="4"/>
      <c r="Q119" s="4"/>
      <c r="R119" s="4"/>
      <c r="S119" s="4"/>
      <c r="T119" s="4"/>
      <c r="U119" s="4"/>
      <c r="V119" s="3"/>
      <c r="W119" s="3"/>
      <c r="X119" s="3"/>
      <c r="Y119" s="3"/>
      <c r="Z119" s="3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3"/>
      <c r="P120" s="4"/>
      <c r="Q120" s="4"/>
      <c r="R120" s="4"/>
      <c r="S120" s="4"/>
      <c r="T120" s="4"/>
      <c r="U120" s="4"/>
      <c r="V120" s="3"/>
      <c r="W120" s="3"/>
      <c r="X120" s="3"/>
      <c r="Y120" s="3"/>
      <c r="Z120" s="3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3"/>
      <c r="P121" s="4"/>
      <c r="Q121" s="4"/>
      <c r="R121" s="4"/>
      <c r="S121" s="4"/>
      <c r="T121" s="4"/>
      <c r="U121" s="4"/>
      <c r="V121" s="3"/>
      <c r="W121" s="3"/>
      <c r="X121" s="3"/>
      <c r="Y121" s="3"/>
      <c r="Z121" s="3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3"/>
      <c r="P122" s="4"/>
      <c r="Q122" s="4"/>
      <c r="R122" s="4"/>
      <c r="S122" s="4"/>
      <c r="T122" s="4"/>
      <c r="U122" s="4"/>
      <c r="V122" s="3"/>
      <c r="W122" s="3"/>
      <c r="X122" s="3"/>
      <c r="Y122" s="3"/>
      <c r="Z122" s="3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3"/>
      <c r="P123" s="4"/>
      <c r="Q123" s="4"/>
      <c r="R123" s="4"/>
      <c r="S123" s="4"/>
      <c r="T123" s="4"/>
      <c r="U123" s="4"/>
      <c r="V123" s="3"/>
      <c r="W123" s="3"/>
      <c r="X123" s="3"/>
      <c r="Y123" s="3"/>
      <c r="Z123" s="3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3"/>
      <c r="P124" s="4"/>
      <c r="Q124" s="4"/>
      <c r="R124" s="4"/>
      <c r="S124" s="4"/>
      <c r="T124" s="4"/>
      <c r="U124" s="4"/>
      <c r="V124" s="3"/>
      <c r="W124" s="3"/>
      <c r="X124" s="3"/>
      <c r="Y124" s="3"/>
      <c r="Z124" s="3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3"/>
      <c r="P125" s="4"/>
      <c r="Q125" s="4"/>
      <c r="R125" s="4"/>
      <c r="S125" s="4"/>
      <c r="T125" s="4"/>
      <c r="U125" s="4"/>
      <c r="V125" s="3"/>
      <c r="W125" s="3"/>
      <c r="X125" s="3"/>
      <c r="Y125" s="3"/>
      <c r="Z125" s="3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3"/>
      <c r="P126" s="4"/>
      <c r="Q126" s="4"/>
      <c r="R126" s="4"/>
      <c r="S126" s="4"/>
      <c r="T126" s="4"/>
      <c r="U126" s="4"/>
      <c r="V126" s="3"/>
      <c r="W126" s="3"/>
      <c r="X126" s="3"/>
      <c r="Y126" s="3"/>
      <c r="Z126" s="3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3"/>
      <c r="P127" s="4"/>
      <c r="Q127" s="4"/>
      <c r="R127" s="4"/>
      <c r="S127" s="4"/>
      <c r="T127" s="4"/>
      <c r="U127" s="4"/>
      <c r="V127" s="3"/>
      <c r="W127" s="3"/>
      <c r="X127" s="3"/>
      <c r="Y127" s="3"/>
      <c r="Z127" s="3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3"/>
      <c r="P128" s="4"/>
      <c r="Q128" s="4"/>
      <c r="R128" s="4"/>
      <c r="S128" s="4"/>
      <c r="T128" s="4"/>
      <c r="U128" s="4"/>
      <c r="V128" s="3"/>
      <c r="W128" s="3"/>
      <c r="X128" s="3"/>
      <c r="Y128" s="3"/>
      <c r="Z128" s="3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3"/>
      <c r="P129" s="4"/>
      <c r="Q129" s="4"/>
      <c r="R129" s="4"/>
      <c r="S129" s="4"/>
      <c r="T129" s="4"/>
      <c r="U129" s="4"/>
      <c r="V129" s="3"/>
      <c r="W129" s="3"/>
      <c r="X129" s="3"/>
      <c r="Y129" s="3"/>
      <c r="Z129" s="3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3"/>
      <c r="P130" s="4"/>
      <c r="Q130" s="4"/>
      <c r="R130" s="4"/>
      <c r="S130" s="4"/>
      <c r="T130" s="4"/>
      <c r="U130" s="4"/>
      <c r="V130" s="3"/>
      <c r="W130" s="3"/>
      <c r="X130" s="3"/>
      <c r="Y130" s="3"/>
      <c r="Z130" s="3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3"/>
      <c r="P131" s="4"/>
      <c r="Q131" s="4"/>
      <c r="R131" s="4"/>
      <c r="S131" s="4"/>
      <c r="T131" s="4"/>
      <c r="U131" s="4"/>
      <c r="V131" s="3"/>
      <c r="W131" s="3"/>
      <c r="X131" s="3"/>
      <c r="Y131" s="3"/>
      <c r="Z131" s="3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3"/>
      <c r="P132" s="4"/>
      <c r="Q132" s="4"/>
      <c r="R132" s="4"/>
      <c r="S132" s="4"/>
      <c r="T132" s="4"/>
      <c r="U132" s="4"/>
      <c r="V132" s="3"/>
      <c r="W132" s="3"/>
      <c r="X132" s="3"/>
      <c r="Y132" s="3"/>
      <c r="Z132" s="3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3"/>
      <c r="P133" s="4"/>
      <c r="Q133" s="4"/>
      <c r="R133" s="4"/>
      <c r="S133" s="4"/>
      <c r="T133" s="4"/>
      <c r="U133" s="4"/>
      <c r="V133" s="3"/>
      <c r="W133" s="3"/>
      <c r="X133" s="3"/>
      <c r="Y133" s="3"/>
      <c r="Z133" s="3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3"/>
      <c r="P134" s="4"/>
      <c r="Q134" s="4"/>
      <c r="R134" s="4"/>
      <c r="S134" s="4"/>
      <c r="T134" s="4"/>
      <c r="U134" s="4"/>
      <c r="V134" s="3"/>
      <c r="W134" s="3"/>
      <c r="X134" s="3"/>
      <c r="Y134" s="3"/>
      <c r="Z134" s="3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3"/>
      <c r="P135" s="4"/>
      <c r="Q135" s="4"/>
      <c r="R135" s="4"/>
      <c r="S135" s="4"/>
      <c r="T135" s="4"/>
      <c r="U135" s="4"/>
      <c r="V135" s="3"/>
      <c r="W135" s="3"/>
      <c r="X135" s="3"/>
      <c r="Y135" s="3"/>
      <c r="Z135" s="3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3"/>
      <c r="P136" s="4"/>
      <c r="Q136" s="4"/>
      <c r="R136" s="4"/>
      <c r="S136" s="4"/>
      <c r="T136" s="4"/>
      <c r="U136" s="4"/>
      <c r="V136" s="3"/>
      <c r="W136" s="3"/>
      <c r="X136" s="3"/>
      <c r="Y136" s="3"/>
      <c r="Z136" s="3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3"/>
      <c r="P137" s="4"/>
      <c r="Q137" s="4"/>
      <c r="R137" s="4"/>
      <c r="S137" s="4"/>
      <c r="T137" s="4"/>
      <c r="U137" s="4"/>
      <c r="V137" s="3"/>
      <c r="W137" s="3"/>
      <c r="X137" s="3"/>
      <c r="Y137" s="3"/>
      <c r="Z137" s="3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3"/>
      <c r="P138" s="4"/>
      <c r="Q138" s="4"/>
      <c r="R138" s="4"/>
      <c r="S138" s="4"/>
      <c r="T138" s="4"/>
      <c r="U138" s="4"/>
      <c r="V138" s="3"/>
      <c r="W138" s="3"/>
      <c r="X138" s="3"/>
      <c r="Y138" s="3"/>
      <c r="Z138" s="3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3"/>
      <c r="P139" s="4"/>
      <c r="Q139" s="4"/>
      <c r="R139" s="4"/>
      <c r="S139" s="4"/>
      <c r="T139" s="4"/>
      <c r="U139" s="4"/>
      <c r="V139" s="3"/>
      <c r="W139" s="3"/>
      <c r="X139" s="3"/>
      <c r="Y139" s="3"/>
      <c r="Z139" s="3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3"/>
      <c r="P140" s="4"/>
      <c r="Q140" s="4"/>
      <c r="R140" s="4"/>
      <c r="S140" s="4"/>
      <c r="T140" s="4"/>
      <c r="U140" s="4"/>
      <c r="V140" s="3"/>
      <c r="W140" s="3"/>
      <c r="X140" s="3"/>
      <c r="Y140" s="3"/>
      <c r="Z140" s="3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3"/>
      <c r="P141" s="4"/>
      <c r="Q141" s="4"/>
      <c r="R141" s="4"/>
      <c r="S141" s="4"/>
      <c r="T141" s="4"/>
      <c r="U141" s="4"/>
      <c r="V141" s="3"/>
      <c r="W141" s="3"/>
      <c r="X141" s="3"/>
      <c r="Y141" s="3"/>
      <c r="Z141" s="3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3"/>
      <c r="P142" s="4"/>
      <c r="Q142" s="4"/>
      <c r="R142" s="4"/>
      <c r="S142" s="4"/>
      <c r="T142" s="4"/>
      <c r="U142" s="4"/>
      <c r="V142" s="3"/>
      <c r="W142" s="3"/>
      <c r="X142" s="3"/>
      <c r="Y142" s="3"/>
      <c r="Z142" s="3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3"/>
      <c r="P143" s="4"/>
      <c r="Q143" s="4"/>
      <c r="R143" s="4"/>
      <c r="S143" s="4"/>
      <c r="T143" s="4"/>
      <c r="U143" s="4"/>
      <c r="V143" s="3"/>
      <c r="W143" s="3"/>
      <c r="X143" s="3"/>
      <c r="Y143" s="3"/>
      <c r="Z143" s="3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3"/>
      <c r="P144" s="4"/>
      <c r="Q144" s="4"/>
      <c r="R144" s="4"/>
      <c r="S144" s="4"/>
      <c r="T144" s="4"/>
      <c r="U144" s="4"/>
      <c r="V144" s="3"/>
      <c r="W144" s="3"/>
      <c r="X144" s="3"/>
      <c r="Y144" s="3"/>
      <c r="Z144" s="3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3"/>
      <c r="P145" s="4"/>
      <c r="Q145" s="4"/>
      <c r="R145" s="4"/>
      <c r="S145" s="4"/>
      <c r="T145" s="4"/>
      <c r="U145" s="4"/>
      <c r="V145" s="3"/>
      <c r="W145" s="3"/>
      <c r="X145" s="3"/>
      <c r="Y145" s="3"/>
      <c r="Z145" s="3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3"/>
      <c r="P146" s="4"/>
      <c r="Q146" s="4"/>
      <c r="R146" s="4"/>
      <c r="S146" s="4"/>
      <c r="T146" s="4"/>
      <c r="U146" s="4"/>
      <c r="V146" s="3"/>
      <c r="W146" s="3"/>
      <c r="X146" s="3"/>
      <c r="Y146" s="3"/>
      <c r="Z146" s="3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3"/>
      <c r="P147" s="4"/>
      <c r="Q147" s="4"/>
      <c r="R147" s="4"/>
      <c r="S147" s="4"/>
      <c r="T147" s="4"/>
      <c r="U147" s="4"/>
      <c r="V147" s="3"/>
      <c r="W147" s="3"/>
      <c r="X147" s="3"/>
      <c r="Y147" s="3"/>
      <c r="Z147" s="3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3"/>
      <c r="P148" s="4"/>
      <c r="Q148" s="4"/>
      <c r="R148" s="4"/>
      <c r="S148" s="4"/>
      <c r="T148" s="4"/>
      <c r="U148" s="4"/>
      <c r="V148" s="3"/>
      <c r="W148" s="3"/>
      <c r="X148" s="3"/>
      <c r="Y148" s="3"/>
      <c r="Z148" s="3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3"/>
      <c r="P149" s="4"/>
      <c r="Q149" s="4"/>
      <c r="R149" s="4"/>
      <c r="S149" s="4"/>
      <c r="T149" s="4"/>
      <c r="U149" s="4"/>
      <c r="V149" s="3"/>
      <c r="W149" s="3"/>
      <c r="X149" s="3"/>
      <c r="Y149" s="3"/>
      <c r="Z149" s="3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3"/>
      <c r="P150" s="4"/>
      <c r="Q150" s="4"/>
      <c r="R150" s="4"/>
      <c r="S150" s="4"/>
      <c r="T150" s="4"/>
      <c r="U150" s="4"/>
      <c r="V150" s="3"/>
      <c r="W150" s="3"/>
      <c r="X150" s="3"/>
      <c r="Y150" s="3"/>
      <c r="Z150" s="3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3"/>
      <c r="P151" s="4"/>
      <c r="Q151" s="4"/>
      <c r="R151" s="4"/>
      <c r="S151" s="4"/>
      <c r="T151" s="4"/>
      <c r="U151" s="4"/>
      <c r="V151" s="3"/>
      <c r="W151" s="3"/>
      <c r="X151" s="3"/>
      <c r="Y151" s="3"/>
      <c r="Z151" s="3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3"/>
      <c r="P152" s="4"/>
      <c r="Q152" s="4"/>
      <c r="R152" s="4"/>
      <c r="S152" s="4"/>
      <c r="T152" s="4"/>
      <c r="U152" s="4"/>
      <c r="V152" s="3"/>
      <c r="W152" s="3"/>
      <c r="X152" s="3"/>
      <c r="Y152" s="3"/>
      <c r="Z152" s="3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3"/>
      <c r="P153" s="4"/>
      <c r="Q153" s="4"/>
      <c r="R153" s="4"/>
      <c r="S153" s="4"/>
      <c r="T153" s="4"/>
      <c r="U153" s="4"/>
      <c r="V153" s="3"/>
      <c r="W153" s="3"/>
      <c r="X153" s="3"/>
      <c r="Y153" s="3"/>
      <c r="Z153" s="3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3"/>
      <c r="P154" s="4"/>
      <c r="Q154" s="4"/>
      <c r="R154" s="4"/>
      <c r="S154" s="4"/>
      <c r="T154" s="4"/>
      <c r="U154" s="4"/>
      <c r="V154" s="3"/>
      <c r="W154" s="3"/>
      <c r="X154" s="3"/>
      <c r="Y154" s="3"/>
      <c r="Z154" s="3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3"/>
      <c r="P155" s="4"/>
      <c r="Q155" s="4"/>
      <c r="R155" s="4"/>
      <c r="S155" s="4"/>
      <c r="T155" s="4"/>
      <c r="U155" s="4"/>
      <c r="V155" s="3"/>
      <c r="W155" s="3"/>
      <c r="X155" s="3"/>
      <c r="Y155" s="3"/>
      <c r="Z155" s="3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3"/>
      <c r="P156" s="4"/>
      <c r="Q156" s="4"/>
      <c r="R156" s="4"/>
      <c r="S156" s="4"/>
      <c r="T156" s="4"/>
      <c r="U156" s="4"/>
      <c r="V156" s="3"/>
      <c r="W156" s="3"/>
      <c r="X156" s="3"/>
      <c r="Y156" s="3"/>
      <c r="Z156" s="3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3"/>
      <c r="P157" s="4"/>
      <c r="Q157" s="4"/>
      <c r="R157" s="4"/>
      <c r="S157" s="4"/>
      <c r="T157" s="4"/>
      <c r="U157" s="4"/>
      <c r="V157" s="3"/>
      <c r="W157" s="3"/>
      <c r="X157" s="3"/>
      <c r="Y157" s="3"/>
      <c r="Z157" s="3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3"/>
      <c r="P158" s="4"/>
      <c r="Q158" s="4"/>
      <c r="R158" s="4"/>
      <c r="S158" s="4"/>
      <c r="T158" s="4"/>
      <c r="U158" s="4"/>
      <c r="V158" s="3"/>
      <c r="W158" s="3"/>
      <c r="X158" s="3"/>
      <c r="Y158" s="3"/>
      <c r="Z158" s="3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3"/>
      <c r="P159" s="4"/>
      <c r="Q159" s="4"/>
      <c r="R159" s="4"/>
      <c r="S159" s="4"/>
      <c r="T159" s="4"/>
      <c r="U159" s="4"/>
      <c r="V159" s="3"/>
      <c r="W159" s="3"/>
      <c r="X159" s="3"/>
      <c r="Y159" s="3"/>
      <c r="Z159" s="3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3"/>
      <c r="P160" s="4"/>
      <c r="Q160" s="4"/>
      <c r="R160" s="4"/>
      <c r="S160" s="4"/>
      <c r="T160" s="4"/>
      <c r="U160" s="4"/>
      <c r="V160" s="3"/>
      <c r="W160" s="3"/>
      <c r="X160" s="3"/>
      <c r="Y160" s="3"/>
      <c r="Z160" s="3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3"/>
      <c r="P161" s="4"/>
      <c r="Q161" s="4"/>
      <c r="R161" s="4"/>
      <c r="S161" s="4"/>
      <c r="T161" s="4"/>
      <c r="U161" s="4"/>
      <c r="V161" s="3"/>
      <c r="W161" s="3"/>
      <c r="X161" s="3"/>
      <c r="Y161" s="3"/>
      <c r="Z161" s="3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3"/>
      <c r="P162" s="4"/>
      <c r="Q162" s="4"/>
      <c r="R162" s="4"/>
      <c r="S162" s="4"/>
      <c r="T162" s="4"/>
      <c r="U162" s="4"/>
      <c r="V162" s="3"/>
      <c r="W162" s="3"/>
      <c r="X162" s="3"/>
      <c r="Y162" s="3"/>
      <c r="Z162" s="3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3"/>
      <c r="P163" s="4"/>
      <c r="Q163" s="4"/>
      <c r="R163" s="4"/>
      <c r="S163" s="4"/>
      <c r="T163" s="4"/>
      <c r="U163" s="4"/>
      <c r="V163" s="3"/>
      <c r="W163" s="3"/>
      <c r="X163" s="3"/>
      <c r="Y163" s="3"/>
      <c r="Z163" s="3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3"/>
      <c r="P164" s="4"/>
      <c r="Q164" s="4"/>
      <c r="R164" s="4"/>
      <c r="S164" s="4"/>
      <c r="T164" s="4"/>
      <c r="U164" s="4"/>
      <c r="V164" s="3"/>
      <c r="W164" s="3"/>
      <c r="X164" s="3"/>
      <c r="Y164" s="3"/>
      <c r="Z164" s="3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3"/>
      <c r="P165" s="4"/>
      <c r="Q165" s="4"/>
      <c r="R165" s="4"/>
      <c r="S165" s="4"/>
      <c r="T165" s="4"/>
      <c r="U165" s="4"/>
      <c r="V165" s="3"/>
      <c r="W165" s="3"/>
      <c r="X165" s="3"/>
      <c r="Y165" s="3"/>
      <c r="Z165" s="3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3"/>
      <c r="P166" s="4"/>
      <c r="Q166" s="4"/>
      <c r="R166" s="4"/>
      <c r="S166" s="4"/>
      <c r="T166" s="4"/>
      <c r="U166" s="4"/>
      <c r="V166" s="3"/>
      <c r="W166" s="3"/>
      <c r="X166" s="3"/>
      <c r="Y166" s="3"/>
      <c r="Z166" s="3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3"/>
      <c r="P167" s="4"/>
      <c r="Q167" s="4"/>
      <c r="R167" s="4"/>
      <c r="S167" s="4"/>
      <c r="T167" s="4"/>
      <c r="U167" s="4"/>
      <c r="V167" s="3"/>
      <c r="W167" s="3"/>
      <c r="X167" s="3"/>
      <c r="Y167" s="3"/>
      <c r="Z167" s="3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3"/>
      <c r="P168" s="4"/>
      <c r="Q168" s="4"/>
      <c r="R168" s="4"/>
      <c r="S168" s="4"/>
      <c r="T168" s="4"/>
      <c r="U168" s="4"/>
      <c r="V168" s="3"/>
      <c r="W168" s="3"/>
      <c r="X168" s="3"/>
      <c r="Y168" s="3"/>
      <c r="Z168" s="3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3"/>
      <c r="P169" s="4"/>
      <c r="Q169" s="4"/>
      <c r="R169" s="4"/>
      <c r="S169" s="4"/>
      <c r="T169" s="4"/>
      <c r="U169" s="4"/>
      <c r="V169" s="3"/>
      <c r="W169" s="3"/>
      <c r="X169" s="3"/>
      <c r="Y169" s="3"/>
      <c r="Z169" s="3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3"/>
      <c r="P170" s="4"/>
      <c r="Q170" s="4"/>
      <c r="R170" s="4"/>
      <c r="S170" s="4"/>
      <c r="T170" s="4"/>
      <c r="U170" s="4"/>
      <c r="V170" s="3"/>
      <c r="W170" s="3"/>
      <c r="X170" s="3"/>
      <c r="Y170" s="3"/>
      <c r="Z170" s="3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3"/>
      <c r="P171" s="4"/>
      <c r="Q171" s="4"/>
      <c r="R171" s="4"/>
      <c r="S171" s="4"/>
      <c r="T171" s="4"/>
      <c r="U171" s="4"/>
      <c r="V171" s="3"/>
      <c r="W171" s="3"/>
      <c r="X171" s="3"/>
      <c r="Y171" s="3"/>
      <c r="Z171" s="3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3"/>
      <c r="P172" s="4"/>
      <c r="Q172" s="4"/>
      <c r="R172" s="4"/>
      <c r="S172" s="4"/>
      <c r="T172" s="4"/>
      <c r="U172" s="4"/>
      <c r="V172" s="3"/>
      <c r="W172" s="3"/>
      <c r="X172" s="3"/>
      <c r="Y172" s="3"/>
      <c r="Z172" s="3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3"/>
      <c r="P173" s="4"/>
      <c r="Q173" s="4"/>
      <c r="R173" s="4"/>
      <c r="S173" s="4"/>
      <c r="T173" s="4"/>
      <c r="U173" s="4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O36:V37"/>
  </mergeCells>
  <phoneticPr fontId="5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42"/>
  <sheetViews>
    <sheetView zoomScale="85" zoomScaleNormal="85" workbookViewId="0">
      <selection activeCell="B13" sqref="B13"/>
    </sheetView>
  </sheetViews>
  <sheetFormatPr defaultColWidth="11.25" defaultRowHeight="15" customHeight="1"/>
  <cols>
    <col min="1" max="1" width="6.75" customWidth="1"/>
    <col min="2" max="2" width="8.25" customWidth="1"/>
    <col min="3" max="4" width="6.75" customWidth="1"/>
    <col min="5" max="5" width="14" customWidth="1"/>
    <col min="6" max="17" width="11.83203125" customWidth="1"/>
    <col min="18" max="18" width="14" customWidth="1"/>
    <col min="19" max="26" width="6.75" customWidth="1"/>
  </cols>
  <sheetData>
    <row r="1" spans="2:20" ht="15.5"/>
    <row r="2" spans="2:20" ht="15.5"/>
    <row r="3" spans="2:20" ht="15.5">
      <c r="B3" s="18" t="s">
        <v>136</v>
      </c>
      <c r="D3" s="26"/>
      <c r="E3" s="27"/>
    </row>
    <row r="4" spans="2:20" ht="31.5" customHeight="1">
      <c r="B4" s="25" t="s">
        <v>137</v>
      </c>
      <c r="C4" s="18" t="s">
        <v>135</v>
      </c>
      <c r="D4" s="18" t="s">
        <v>138</v>
      </c>
      <c r="E4" s="18" t="s">
        <v>139</v>
      </c>
    </row>
    <row r="5" spans="2:20" ht="15.5">
      <c r="E5" s="18"/>
    </row>
    <row r="6" spans="2:20" ht="15.5">
      <c r="F6">
        <v>42</v>
      </c>
      <c r="G6">
        <v>41</v>
      </c>
      <c r="H6">
        <v>40</v>
      </c>
      <c r="I6">
        <v>39</v>
      </c>
      <c r="J6">
        <v>38</v>
      </c>
      <c r="K6">
        <v>37</v>
      </c>
      <c r="L6">
        <v>36</v>
      </c>
      <c r="M6">
        <v>35</v>
      </c>
      <c r="N6">
        <v>34</v>
      </c>
      <c r="O6">
        <v>33</v>
      </c>
      <c r="P6">
        <v>32</v>
      </c>
      <c r="Q6">
        <v>31</v>
      </c>
    </row>
    <row r="7" spans="2:20" ht="15.5">
      <c r="D7" s="4"/>
      <c r="E7" s="4"/>
      <c r="F7" s="4">
        <v>46</v>
      </c>
      <c r="G7" s="4">
        <v>41</v>
      </c>
      <c r="H7" s="4">
        <v>44</v>
      </c>
      <c r="I7" s="4">
        <v>42</v>
      </c>
      <c r="J7" s="4">
        <v>45</v>
      </c>
      <c r="K7" s="4">
        <v>43</v>
      </c>
      <c r="L7" s="4">
        <v>24</v>
      </c>
      <c r="M7" s="4">
        <v>18</v>
      </c>
      <c r="N7" s="4">
        <v>7</v>
      </c>
      <c r="O7" s="4">
        <v>13</v>
      </c>
      <c r="P7" s="4">
        <v>38</v>
      </c>
      <c r="Q7" s="4">
        <v>37</v>
      </c>
      <c r="R7" s="4"/>
      <c r="S7" s="4"/>
    </row>
    <row r="8" spans="2:20" ht="15.5">
      <c r="D8" s="4"/>
      <c r="E8" s="4"/>
      <c r="F8" s="21" t="str">
        <f>VLOOKUP(F7,pin_def!$A$2:$K$49,4)</f>
        <v>TRIM_BG&lt;5&gt;</v>
      </c>
      <c r="G8" s="21" t="str">
        <f>VLOOKUP(G7,pin_def!$A$2:$K$49,4)</f>
        <v>TRIM_BG&lt;0&gt;</v>
      </c>
      <c r="H8" s="21" t="str">
        <f>VLOOKUP(H7,pin_def!$A$2:$K$49,4)</f>
        <v>TRIM_BG&lt;3&gt;</v>
      </c>
      <c r="I8" s="21" t="str">
        <f>VLOOKUP(I7,pin_def!$A$2:$K$49,4)</f>
        <v>TRIM_BG&lt;1&gt;</v>
      </c>
      <c r="J8" s="21" t="str">
        <f>VLOOKUP(J7,pin_def!$A$2:$K$49,4)</f>
        <v>TRIM_BG&lt;4&gt;</v>
      </c>
      <c r="K8" s="21" t="str">
        <f>VLOOKUP(K7,pin_def!$A$2:$K$49,4)</f>
        <v>TRIM_BG&lt;2&gt;</v>
      </c>
      <c r="L8" s="21" t="str">
        <f>VLOOKUP(L7,pin_def!$A$2:$K$49,4)</f>
        <v>CK_IN</v>
      </c>
      <c r="M8" s="21" t="str">
        <f>VLOOKUP(M7,pin_def!$A$2:$K$49,4)</f>
        <v>CK_D</v>
      </c>
      <c r="N8" s="21" t="str">
        <f>VLOOKUP(N7,pin_def!$A$2:$K$49,4)</f>
        <v>DVSS</v>
      </c>
      <c r="O8" s="21" t="str">
        <f>VLOOKUP(O7,pin_def!$A$2:$K$49,4)</f>
        <v>VDD_2V8_1</v>
      </c>
      <c r="P8" s="21" t="str">
        <f>VLOOKUP(P7,pin_def!$A$2:$K$49,4)</f>
        <v>TRIM_DE&lt;1&gt;</v>
      </c>
      <c r="Q8" s="21" t="str">
        <f>VLOOKUP(Q7,pin_def!$A$2:$K$49,4)</f>
        <v>TRIM_DE&lt;0&gt;</v>
      </c>
      <c r="R8" s="4"/>
      <c r="S8" s="4"/>
    </row>
    <row r="9" spans="2:20" ht="15.5">
      <c r="C9">
        <v>43</v>
      </c>
      <c r="D9" s="4">
        <v>4</v>
      </c>
      <c r="E9" s="19" t="str">
        <f>VLOOKUP(D9,pin_def!$A$2:$K$49,4)</f>
        <v>VDD_2V8_BG</v>
      </c>
      <c r="F9" s="28"/>
      <c r="G9" s="29"/>
      <c r="H9" s="29"/>
      <c r="I9" s="29"/>
      <c r="J9" s="29"/>
      <c r="K9" s="29"/>
      <c r="L9" s="29"/>
      <c r="M9" s="29"/>
      <c r="N9" s="29"/>
      <c r="O9" s="29"/>
      <c r="P9" s="29"/>
      <c r="Q9" s="30"/>
      <c r="R9" s="20" t="str">
        <f>VLOOKUP(S9,pin_def!$A$2:$K$49,4)</f>
        <v>CK_CHOPA</v>
      </c>
      <c r="S9" s="4">
        <v>22</v>
      </c>
      <c r="T9">
        <v>30</v>
      </c>
    </row>
    <row r="10" spans="2:20" ht="15.5">
      <c r="C10">
        <v>44</v>
      </c>
      <c r="D10" s="4">
        <v>47</v>
      </c>
      <c r="E10" s="19" t="str">
        <f>VLOOKUP(D10,pin_def!$A$2:$K$49,4)</f>
        <v>CK_BG_S</v>
      </c>
      <c r="F10" s="31"/>
      <c r="G10" s="23"/>
      <c r="H10" s="50" t="s">
        <v>132</v>
      </c>
      <c r="I10" s="52"/>
      <c r="J10" s="24"/>
      <c r="K10" s="59" t="s">
        <v>133</v>
      </c>
      <c r="L10" s="60"/>
      <c r="M10" s="61"/>
      <c r="N10" s="50" t="s">
        <v>134</v>
      </c>
      <c r="O10" s="52"/>
      <c r="P10" s="23"/>
      <c r="Q10" s="32"/>
      <c r="R10" s="20" t="str">
        <f>VLOOKUP(S10,pin_def!$A$2:$K$49,4)</f>
        <v>CK_CHOPB</v>
      </c>
      <c r="S10" s="4">
        <v>23</v>
      </c>
      <c r="T10">
        <v>29</v>
      </c>
    </row>
    <row r="11" spans="2:20" ht="15.5">
      <c r="C11">
        <v>45</v>
      </c>
      <c r="D11" s="4">
        <v>48</v>
      </c>
      <c r="E11" s="19" t="str">
        <f>VLOOKUP(D11,pin_def!$A$2:$K$49,4)</f>
        <v>BG_IBIAS</v>
      </c>
      <c r="F11" s="31"/>
      <c r="G11" s="23"/>
      <c r="H11" s="53"/>
      <c r="I11" s="55"/>
      <c r="J11" s="24"/>
      <c r="K11" s="62"/>
      <c r="L11" s="63"/>
      <c r="M11" s="64"/>
      <c r="N11" s="53"/>
      <c r="O11" s="55"/>
      <c r="P11" s="23"/>
      <c r="Q11" s="32"/>
      <c r="R11" s="20" t="str">
        <f>VLOOKUP(S11,pin_def!$A$2:$K$49,4)</f>
        <v>CK_P1</v>
      </c>
      <c r="S11" s="4">
        <v>19</v>
      </c>
      <c r="T11">
        <v>28</v>
      </c>
    </row>
    <row r="12" spans="2:20" ht="15.5">
      <c r="C12">
        <v>46</v>
      </c>
      <c r="D12" s="4">
        <v>3</v>
      </c>
      <c r="E12" s="19" t="str">
        <f>VLOOKUP(D12,pin_def!$A$2:$K$49,4)</f>
        <v>VDD_2V8_OP3</v>
      </c>
      <c r="F12" s="31"/>
      <c r="G12" s="23"/>
      <c r="H12" s="53"/>
      <c r="I12" s="55"/>
      <c r="J12" s="24"/>
      <c r="K12" s="62"/>
      <c r="L12" s="63"/>
      <c r="M12" s="64"/>
      <c r="N12" s="53"/>
      <c r="O12" s="55"/>
      <c r="P12" s="23"/>
      <c r="Q12" s="32"/>
      <c r="R12" s="20" t="str">
        <f>VLOOKUP(S12,pin_def!$A$2:$K$49,4)</f>
        <v>CK_P1_PRE</v>
      </c>
      <c r="S12" s="4">
        <v>20</v>
      </c>
      <c r="T12">
        <v>27</v>
      </c>
    </row>
    <row r="13" spans="2:20" ht="15.5">
      <c r="C13">
        <v>47</v>
      </c>
      <c r="D13" s="4">
        <v>2</v>
      </c>
      <c r="E13" s="19" t="str">
        <f>VLOOKUP(D13,pin_def!$A$2:$K$49,4)</f>
        <v>VDD_2V8_OP2</v>
      </c>
      <c r="F13" s="31"/>
      <c r="G13" s="23"/>
      <c r="H13" s="53"/>
      <c r="I13" s="55"/>
      <c r="J13" s="24"/>
      <c r="K13" s="62"/>
      <c r="L13" s="63"/>
      <c r="M13" s="64"/>
      <c r="N13" s="53"/>
      <c r="O13" s="55"/>
      <c r="P13" s="23"/>
      <c r="Q13" s="32"/>
      <c r="R13" s="20" t="str">
        <f>VLOOKUP(S13,pin_def!$A$2:$K$49,4)</f>
        <v>CK_P2</v>
      </c>
      <c r="S13" s="4">
        <v>21</v>
      </c>
      <c r="T13">
        <v>26</v>
      </c>
    </row>
    <row r="14" spans="2:20" ht="15.5">
      <c r="C14">
        <v>48</v>
      </c>
      <c r="D14" s="4">
        <v>1</v>
      </c>
      <c r="E14" s="19" t="str">
        <f>VLOOKUP(D14,pin_def!$A$2:$K$49,4)</f>
        <v>VDD_2V8_OP1</v>
      </c>
      <c r="F14" s="31"/>
      <c r="G14" s="23"/>
      <c r="H14" s="53"/>
      <c r="I14" s="55"/>
      <c r="J14" s="24"/>
      <c r="K14" s="62"/>
      <c r="L14" s="63"/>
      <c r="M14" s="64"/>
      <c r="N14" s="53"/>
      <c r="O14" s="55"/>
      <c r="P14" s="23"/>
      <c r="Q14" s="32"/>
      <c r="R14" s="20" t="str">
        <f>VLOOKUP(S14,pin_def!$A$2:$K$49,4)</f>
        <v>VO</v>
      </c>
      <c r="S14" s="4">
        <v>26</v>
      </c>
      <c r="T14">
        <v>25</v>
      </c>
    </row>
    <row r="15" spans="2:20" ht="15.5">
      <c r="C15">
        <v>1</v>
      </c>
      <c r="D15" s="4">
        <v>15</v>
      </c>
      <c r="E15" s="19" t="str">
        <f>VLOOKUP(D15,pin_def!$A$2:$K$49,4)</f>
        <v>VREFP</v>
      </c>
      <c r="F15" s="31"/>
      <c r="G15" s="23"/>
      <c r="H15" s="50" t="s">
        <v>131</v>
      </c>
      <c r="I15" s="51"/>
      <c r="J15" s="51"/>
      <c r="K15" s="51"/>
      <c r="L15" s="51"/>
      <c r="M15" s="52"/>
      <c r="N15" s="53"/>
      <c r="O15" s="55"/>
      <c r="P15" s="23"/>
      <c r="Q15" s="32"/>
      <c r="R15" s="20" t="str">
        <f>VLOOKUP(S15,pin_def!$A$2:$K$49,4)</f>
        <v>CK_RST</v>
      </c>
      <c r="S15" s="4">
        <v>25</v>
      </c>
      <c r="T15">
        <v>24</v>
      </c>
    </row>
    <row r="16" spans="2:20" ht="15.5">
      <c r="C16">
        <v>2</v>
      </c>
      <c r="D16" s="4">
        <v>16</v>
      </c>
      <c r="E16" s="19" t="str">
        <f>VLOOKUP(D16,pin_def!$A$2:$K$49,4)</f>
        <v>VREFN</v>
      </c>
      <c r="F16" s="31"/>
      <c r="G16" s="23"/>
      <c r="H16" s="53"/>
      <c r="I16" s="54"/>
      <c r="J16" s="54"/>
      <c r="K16" s="54"/>
      <c r="L16" s="54"/>
      <c r="M16" s="55"/>
      <c r="N16" s="53"/>
      <c r="O16" s="55"/>
      <c r="P16" s="23"/>
      <c r="Q16" s="32"/>
      <c r="R16" s="20" t="str">
        <f>VLOOKUP(S16,pin_def!$A$2:$K$49,4)</f>
        <v>CK_BUF&lt;1&gt;</v>
      </c>
      <c r="S16" s="4">
        <v>36</v>
      </c>
      <c r="T16">
        <v>23</v>
      </c>
    </row>
    <row r="17" spans="3:20" ht="15.5">
      <c r="C17">
        <v>3</v>
      </c>
      <c r="D17" s="4">
        <v>33</v>
      </c>
      <c r="E17" s="19" t="str">
        <f>VLOOKUP(D17,pin_def!$A$2:$K$49,4)</f>
        <v>VIP</v>
      </c>
      <c r="F17" s="31"/>
      <c r="G17" s="23"/>
      <c r="H17" s="53"/>
      <c r="I17" s="54"/>
      <c r="J17" s="54"/>
      <c r="K17" s="54"/>
      <c r="L17" s="54"/>
      <c r="M17" s="55"/>
      <c r="N17" s="53"/>
      <c r="O17" s="55"/>
      <c r="P17" s="23"/>
      <c r="Q17" s="32"/>
      <c r="R17" s="20" t="str">
        <f>VLOOKUP(S17,pin_def!$A$2:$K$49,4)</f>
        <v>CK_BUF&lt;0&gt;</v>
      </c>
      <c r="S17" s="4">
        <v>35</v>
      </c>
      <c r="T17">
        <v>22</v>
      </c>
    </row>
    <row r="18" spans="3:20" ht="15.5">
      <c r="C18">
        <v>4</v>
      </c>
      <c r="D18" s="4">
        <v>34</v>
      </c>
      <c r="E18" s="19" t="str">
        <f>VLOOKUP(D18,pin_def!$A$2:$K$49,4)</f>
        <v>VIN</v>
      </c>
      <c r="F18" s="31"/>
      <c r="G18" s="23"/>
      <c r="H18" s="53"/>
      <c r="I18" s="54"/>
      <c r="J18" s="54"/>
      <c r="K18" s="54"/>
      <c r="L18" s="54"/>
      <c r="M18" s="55"/>
      <c r="N18" s="53"/>
      <c r="O18" s="55"/>
      <c r="P18" s="23"/>
      <c r="Q18" s="32"/>
      <c r="R18" s="20" t="str">
        <f>VLOOKUP(S18,pin_def!$A$2:$K$49,4)</f>
        <v>VO_INT1P</v>
      </c>
      <c r="S18" s="4">
        <v>27</v>
      </c>
      <c r="T18">
        <v>21</v>
      </c>
    </row>
    <row r="19" spans="3:20" ht="15.5">
      <c r="C19">
        <v>5</v>
      </c>
      <c r="D19" s="4">
        <v>5</v>
      </c>
      <c r="E19" s="19" t="str">
        <f>VLOOKUP(D19,pin_def!$A$2:$K$49,4)</f>
        <v>AVSS0</v>
      </c>
      <c r="F19" s="31"/>
      <c r="G19" s="23"/>
      <c r="H19" s="56"/>
      <c r="I19" s="57"/>
      <c r="J19" s="57"/>
      <c r="K19" s="57"/>
      <c r="L19" s="57"/>
      <c r="M19" s="58"/>
      <c r="N19" s="56"/>
      <c r="O19" s="58"/>
      <c r="P19" s="23"/>
      <c r="Q19" s="32"/>
      <c r="R19" s="20" t="str">
        <f>VLOOKUP(S19,pin_def!$A$2:$K$49,4)</f>
        <v>VO_INT2P</v>
      </c>
      <c r="S19" s="4">
        <v>29</v>
      </c>
      <c r="T19">
        <v>20</v>
      </c>
    </row>
    <row r="20" spans="3:20" ht="15.5">
      <c r="C20">
        <v>6</v>
      </c>
      <c r="D20" s="4">
        <v>12</v>
      </c>
      <c r="E20" s="19" t="str">
        <f>VLOOKUP(D20,pin_def!$A$2:$K$49,4)</f>
        <v>VDD_2V8_0</v>
      </c>
      <c r="F20" s="33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5"/>
      <c r="R20" s="20" t="str">
        <f>VLOOKUP(S20,pin_def!$A$2:$K$49,4)</f>
        <v>VO_INT3P</v>
      </c>
      <c r="S20" s="4">
        <v>31</v>
      </c>
      <c r="T20">
        <v>19</v>
      </c>
    </row>
    <row r="21" spans="3:20" ht="15.5">
      <c r="D21" s="4"/>
      <c r="E21" s="4"/>
      <c r="F21" s="22" t="str">
        <f>VLOOKUP(F22,pin_def!$A$2:$K$49,4)</f>
        <v>TRIM_CAP&lt;1&gt;</v>
      </c>
      <c r="G21" s="22" t="str">
        <f>VLOOKUP(G22,pin_def!$A$2:$K$49,4)</f>
        <v>TRIM_CAP&lt;0&gt;</v>
      </c>
      <c r="H21" s="22" t="str">
        <f>VLOOKUP(H22,pin_def!$A$2:$K$49,4)</f>
        <v>VREF_1V4</v>
      </c>
      <c r="I21" s="22" t="str">
        <f>VLOOKUP(I22,pin_def!$A$2:$K$49,4)</f>
        <v>VDD_IO1</v>
      </c>
      <c r="J21" s="22" t="str">
        <f>VLOOKUP(J22,pin_def!$A$2:$K$49,4)</f>
        <v>VSS_IO1</v>
      </c>
      <c r="K21" s="22" t="str">
        <f>VLOOKUP(K22,pin_def!$A$2:$K$49,4)</f>
        <v>VDD_2V8_2</v>
      </c>
      <c r="L21" s="22" t="str">
        <f>VLOOKUP(L22,pin_def!$A$2:$K$49,4)</f>
        <v>AVSS1</v>
      </c>
      <c r="M21" s="22" t="str">
        <f>VLOOKUP(M22,pin_def!$A$2:$K$49,4)</f>
        <v>VSS_IO0</v>
      </c>
      <c r="N21" s="22" t="str">
        <f>VLOOKUP(N22,pin_def!$A$2:$K$49,4)</f>
        <v>VDD_IO0</v>
      </c>
      <c r="O21" s="22" t="str">
        <f>VLOOKUP(O22,pin_def!$A$2:$K$49,4)</f>
        <v>VO_INT1N</v>
      </c>
      <c r="P21" s="22" t="str">
        <f>VLOOKUP(P22,pin_def!$A$2:$K$49,4)</f>
        <v>VO_INT2N</v>
      </c>
      <c r="Q21" s="22" t="str">
        <f>VLOOKUP(Q22,pin_def!$A$2:$K$49,4)</f>
        <v>VO_INT3N</v>
      </c>
      <c r="R21" s="4"/>
      <c r="S21" s="4"/>
    </row>
    <row r="22" spans="3:20" ht="15.5">
      <c r="D22" s="4"/>
      <c r="E22" s="4"/>
      <c r="F22" s="4">
        <v>40</v>
      </c>
      <c r="G22" s="4">
        <v>39</v>
      </c>
      <c r="H22" s="4">
        <v>17</v>
      </c>
      <c r="I22" s="4">
        <v>10</v>
      </c>
      <c r="J22" s="4">
        <v>11</v>
      </c>
      <c r="K22" s="4">
        <v>14</v>
      </c>
      <c r="L22" s="4">
        <v>6</v>
      </c>
      <c r="M22" s="4">
        <v>9</v>
      </c>
      <c r="N22" s="4">
        <v>8</v>
      </c>
      <c r="O22" s="4">
        <v>28</v>
      </c>
      <c r="P22" s="4">
        <v>30</v>
      </c>
      <c r="Q22" s="4">
        <v>32</v>
      </c>
      <c r="R22" s="4"/>
      <c r="S22" s="4"/>
    </row>
    <row r="23" spans="3:20" ht="15.5">
      <c r="D23" s="23"/>
      <c r="E23" s="23"/>
      <c r="F23" s="23">
        <v>7</v>
      </c>
      <c r="G23" s="23">
        <v>8</v>
      </c>
      <c r="H23" s="23">
        <v>9</v>
      </c>
      <c r="I23" s="23">
        <v>10</v>
      </c>
      <c r="J23" s="23">
        <v>11</v>
      </c>
      <c r="K23" s="23">
        <v>12</v>
      </c>
      <c r="L23" s="23">
        <v>13</v>
      </c>
      <c r="M23" s="23">
        <v>14</v>
      </c>
      <c r="N23" s="23">
        <v>15</v>
      </c>
      <c r="O23" s="23">
        <v>16</v>
      </c>
      <c r="P23" s="23">
        <v>17</v>
      </c>
      <c r="Q23" s="23">
        <v>18</v>
      </c>
      <c r="R23" s="23"/>
      <c r="S23" s="23"/>
    </row>
    <row r="24" spans="3:20" ht="15.5"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</row>
    <row r="25" spans="3:20" ht="15" customHeight="1">
      <c r="F25">
        <v>42</v>
      </c>
      <c r="G25">
        <v>41</v>
      </c>
      <c r="H25">
        <v>40</v>
      </c>
      <c r="I25">
        <v>39</v>
      </c>
      <c r="J25">
        <v>38</v>
      </c>
      <c r="K25">
        <v>37</v>
      </c>
      <c r="L25">
        <v>36</v>
      </c>
      <c r="M25">
        <v>35</v>
      </c>
      <c r="N25">
        <v>34</v>
      </c>
      <c r="O25">
        <v>33</v>
      </c>
      <c r="P25">
        <v>32</v>
      </c>
      <c r="Q25">
        <v>31</v>
      </c>
    </row>
    <row r="26" spans="3:20" ht="15" customHeight="1">
      <c r="D26" s="4"/>
      <c r="E26" s="4"/>
      <c r="F26" s="4">
        <v>46</v>
      </c>
      <c r="G26" s="4">
        <v>41</v>
      </c>
      <c r="H26" s="4">
        <v>44</v>
      </c>
      <c r="I26" s="4">
        <v>42</v>
      </c>
      <c r="J26" s="4">
        <v>45</v>
      </c>
      <c r="K26" s="4">
        <v>43</v>
      </c>
      <c r="L26" s="4">
        <v>24</v>
      </c>
      <c r="M26" s="4">
        <v>18</v>
      </c>
      <c r="N26" s="4">
        <v>7</v>
      </c>
      <c r="O26" s="4">
        <v>13</v>
      </c>
      <c r="P26" s="4">
        <v>38</v>
      </c>
      <c r="Q26" s="4">
        <v>37</v>
      </c>
      <c r="R26" s="4"/>
      <c r="S26" s="4"/>
    </row>
    <row r="27" spans="3:20" ht="15" customHeight="1">
      <c r="D27" s="4"/>
      <c r="E27" s="4"/>
      <c r="F27" s="21" t="str">
        <f>VLOOKUP(F26,pin_def!$A$2:$K$49,11)</f>
        <v>DIN_33</v>
      </c>
      <c r="G27" s="21" t="str">
        <f>VLOOKUP(G26,pin_def!$A$2:$K$49,11)</f>
        <v>DIN_33</v>
      </c>
      <c r="H27" s="21" t="str">
        <f>VLOOKUP(H26,pin_def!$A$2:$K$49,11)</f>
        <v>DIN_33</v>
      </c>
      <c r="I27" s="21" t="str">
        <f>VLOOKUP(I26,pin_def!$A$2:$K$49,11)</f>
        <v>DIN_33</v>
      </c>
      <c r="J27" s="21" t="str">
        <f>VLOOKUP(J26,pin_def!$A$2:$K$49,11)</f>
        <v>DIN_33</v>
      </c>
      <c r="K27" s="21" t="str">
        <f>VLOOKUP(K26,pin_def!$A$2:$K$49,11)</f>
        <v>DIN_33</v>
      </c>
      <c r="L27" s="21" t="str">
        <f>VLOOKUP(L26,pin_def!$A$2:$K$49,11)</f>
        <v>DIN_33</v>
      </c>
      <c r="M27" s="21" t="str">
        <f>VLOOKUP(M26,pin_def!$A$2:$K$49,11)</f>
        <v>OU02_33</v>
      </c>
      <c r="N27" s="21" t="str">
        <f>VLOOKUP(N26,pin_def!$A$2:$K$49,11)</f>
        <v>VSSI_33</v>
      </c>
      <c r="O27" s="21" t="str">
        <f>VLOOKUP(O26,pin_def!$A$2:$K$49,11)</f>
        <v>VDDI_33</v>
      </c>
      <c r="P27" s="21" t="str">
        <f>VLOOKUP(P26,pin_def!$A$2:$K$49,11)</f>
        <v>DIN_33</v>
      </c>
      <c r="Q27" s="21" t="str">
        <f>VLOOKUP(Q26,pin_def!$A$2:$K$49,11)</f>
        <v>DIN_33</v>
      </c>
      <c r="R27" s="4"/>
      <c r="S27" s="4"/>
    </row>
    <row r="28" spans="3:20" ht="15" customHeight="1">
      <c r="C28">
        <v>43</v>
      </c>
      <c r="D28" s="4">
        <v>4</v>
      </c>
      <c r="E28" s="19" t="str">
        <f>VLOOKUP(D28,pin_def!$A$2:$K$49,11)</f>
        <v>VDDI_33</v>
      </c>
      <c r="F28" s="28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30"/>
      <c r="R28" s="20" t="str">
        <f>VLOOKUP(S28,pin_def!$A$2:$K$49,11)</f>
        <v>OU02_33</v>
      </c>
      <c r="S28" s="4">
        <v>22</v>
      </c>
      <c r="T28">
        <v>30</v>
      </c>
    </row>
    <row r="29" spans="3:20" ht="15" customHeight="1">
      <c r="C29">
        <v>44</v>
      </c>
      <c r="D29" s="4">
        <v>47</v>
      </c>
      <c r="E29" s="19" t="str">
        <f>VLOOKUP(D29,pin_def!$A$2:$K$49,11)</f>
        <v>DIN_33</v>
      </c>
      <c r="F29" s="31"/>
      <c r="G29" s="23"/>
      <c r="H29" s="50" t="s">
        <v>132</v>
      </c>
      <c r="I29" s="52"/>
      <c r="J29" s="24"/>
      <c r="K29" s="59" t="s">
        <v>133</v>
      </c>
      <c r="L29" s="60"/>
      <c r="M29" s="61"/>
      <c r="N29" s="50" t="s">
        <v>134</v>
      </c>
      <c r="O29" s="52"/>
      <c r="P29" s="23"/>
      <c r="Q29" s="32"/>
      <c r="R29" s="20" t="str">
        <f>VLOOKUP(S29,pin_def!$A$2:$K$49,11)</f>
        <v>OU02_33</v>
      </c>
      <c r="S29" s="4">
        <v>23</v>
      </c>
      <c r="T29">
        <v>29</v>
      </c>
    </row>
    <row r="30" spans="3:20" ht="15" customHeight="1">
      <c r="C30">
        <v>45</v>
      </c>
      <c r="D30" s="4">
        <v>48</v>
      </c>
      <c r="E30" s="19" t="str">
        <f>VLOOKUP(D30,pin_def!$A$2:$K$49,11)</f>
        <v>AIN_33</v>
      </c>
      <c r="F30" s="31"/>
      <c r="G30" s="23"/>
      <c r="H30" s="53"/>
      <c r="I30" s="55"/>
      <c r="J30" s="24"/>
      <c r="K30" s="62"/>
      <c r="L30" s="63"/>
      <c r="M30" s="64"/>
      <c r="N30" s="53"/>
      <c r="O30" s="55"/>
      <c r="P30" s="23"/>
      <c r="Q30" s="32"/>
      <c r="R30" s="20" t="str">
        <f>VLOOKUP(S30,pin_def!$A$2:$K$49,11)</f>
        <v>OU02_33</v>
      </c>
      <c r="S30" s="4">
        <v>19</v>
      </c>
      <c r="T30">
        <v>28</v>
      </c>
    </row>
    <row r="31" spans="3:20" ht="15" customHeight="1">
      <c r="C31">
        <v>46</v>
      </c>
      <c r="D31" s="4">
        <v>3</v>
      </c>
      <c r="E31" s="19" t="str">
        <f>VLOOKUP(D31,pin_def!$A$2:$K$49,11)</f>
        <v>VDDI_33</v>
      </c>
      <c r="F31" s="31"/>
      <c r="G31" s="23"/>
      <c r="H31" s="53"/>
      <c r="I31" s="55"/>
      <c r="J31" s="24"/>
      <c r="K31" s="62"/>
      <c r="L31" s="63"/>
      <c r="M31" s="64"/>
      <c r="N31" s="53"/>
      <c r="O31" s="55"/>
      <c r="P31" s="23"/>
      <c r="Q31" s="32"/>
      <c r="R31" s="20" t="str">
        <f>VLOOKUP(S31,pin_def!$A$2:$K$49,11)</f>
        <v>OU02_33</v>
      </c>
      <c r="S31" s="4">
        <v>20</v>
      </c>
      <c r="T31">
        <v>27</v>
      </c>
    </row>
    <row r="32" spans="3:20" ht="15" customHeight="1">
      <c r="C32">
        <v>47</v>
      </c>
      <c r="D32" s="4">
        <v>2</v>
      </c>
      <c r="E32" s="19" t="str">
        <f>VLOOKUP(D32,pin_def!$A$2:$K$49,11)</f>
        <v>VDDI_33</v>
      </c>
      <c r="F32" s="31"/>
      <c r="G32" s="23"/>
      <c r="H32" s="53"/>
      <c r="I32" s="55"/>
      <c r="J32" s="24"/>
      <c r="K32" s="62"/>
      <c r="L32" s="63"/>
      <c r="M32" s="64"/>
      <c r="N32" s="53"/>
      <c r="O32" s="55"/>
      <c r="P32" s="23"/>
      <c r="Q32" s="32"/>
      <c r="R32" s="20" t="str">
        <f>VLOOKUP(S32,pin_def!$A$2:$K$49,11)</f>
        <v>OU02_33</v>
      </c>
      <c r="S32" s="4">
        <v>21</v>
      </c>
      <c r="T32">
        <v>26</v>
      </c>
    </row>
    <row r="33" spans="3:20" ht="15" customHeight="1">
      <c r="C33">
        <v>48</v>
      </c>
      <c r="D33" s="4">
        <v>1</v>
      </c>
      <c r="E33" s="19" t="str">
        <f>VLOOKUP(D33,pin_def!$A$2:$K$49,11)</f>
        <v>VDDI_33</v>
      </c>
      <c r="F33" s="31"/>
      <c r="G33" s="23"/>
      <c r="H33" s="56"/>
      <c r="I33" s="58"/>
      <c r="J33" s="24"/>
      <c r="K33" s="65"/>
      <c r="L33" s="66"/>
      <c r="M33" s="67"/>
      <c r="N33" s="53"/>
      <c r="O33" s="55"/>
      <c r="P33" s="23"/>
      <c r="Q33" s="32"/>
      <c r="R33" s="20" t="str">
        <f>VLOOKUP(S33,pin_def!$A$2:$K$49,11)</f>
        <v>OU02_33</v>
      </c>
      <c r="S33" s="4">
        <v>26</v>
      </c>
      <c r="T33">
        <v>25</v>
      </c>
    </row>
    <row r="34" spans="3:20" ht="15" customHeight="1">
      <c r="C34">
        <v>1</v>
      </c>
      <c r="D34" s="4">
        <v>15</v>
      </c>
      <c r="E34" s="19" t="str">
        <f>VLOOKUP(D34,pin_def!$A$2:$K$49,11)</f>
        <v>AIN_33</v>
      </c>
      <c r="F34" s="31"/>
      <c r="G34" s="23"/>
      <c r="H34" s="50" t="s">
        <v>131</v>
      </c>
      <c r="I34" s="51"/>
      <c r="J34" s="51"/>
      <c r="K34" s="51"/>
      <c r="L34" s="51"/>
      <c r="M34" s="52"/>
      <c r="N34" s="53"/>
      <c r="O34" s="55"/>
      <c r="P34" s="23"/>
      <c r="Q34" s="32"/>
      <c r="R34" s="20" t="str">
        <f>VLOOKUP(S34,pin_def!$A$2:$K$49,11)</f>
        <v>DIN_33</v>
      </c>
      <c r="S34" s="4">
        <v>25</v>
      </c>
      <c r="T34">
        <v>24</v>
      </c>
    </row>
    <row r="35" spans="3:20" ht="15" customHeight="1">
      <c r="C35">
        <v>2</v>
      </c>
      <c r="D35" s="4">
        <v>16</v>
      </c>
      <c r="E35" s="19" t="str">
        <f>VLOOKUP(D35,pin_def!$A$2:$K$49,11)</f>
        <v>AIN_33</v>
      </c>
      <c r="F35" s="31"/>
      <c r="G35" s="23"/>
      <c r="H35" s="53"/>
      <c r="I35" s="54"/>
      <c r="J35" s="54"/>
      <c r="K35" s="54"/>
      <c r="L35" s="54"/>
      <c r="M35" s="55"/>
      <c r="N35" s="53"/>
      <c r="O35" s="55"/>
      <c r="P35" s="23"/>
      <c r="Q35" s="32"/>
      <c r="R35" s="20" t="str">
        <f>VLOOKUP(S35,pin_def!$A$2:$K$49,11)</f>
        <v>DIN_33</v>
      </c>
      <c r="S35" s="4">
        <v>36</v>
      </c>
      <c r="T35">
        <v>23</v>
      </c>
    </row>
    <row r="36" spans="3:20" ht="15" customHeight="1">
      <c r="C36">
        <v>3</v>
      </c>
      <c r="D36" s="4">
        <v>33</v>
      </c>
      <c r="E36" s="19" t="str">
        <f>VLOOKUP(D36,pin_def!$A$2:$K$49,11)</f>
        <v>AIN_33</v>
      </c>
      <c r="F36" s="31"/>
      <c r="G36" s="23"/>
      <c r="H36" s="53"/>
      <c r="I36" s="54"/>
      <c r="J36" s="54"/>
      <c r="K36" s="54"/>
      <c r="L36" s="54"/>
      <c r="M36" s="55"/>
      <c r="N36" s="53"/>
      <c r="O36" s="55"/>
      <c r="P36" s="23"/>
      <c r="Q36" s="32"/>
      <c r="R36" s="20" t="str">
        <f>VLOOKUP(S36,pin_def!$A$2:$K$49,11)</f>
        <v>DIN_33</v>
      </c>
      <c r="S36" s="4">
        <v>35</v>
      </c>
      <c r="T36">
        <v>22</v>
      </c>
    </row>
    <row r="37" spans="3:20" ht="15" customHeight="1">
      <c r="C37">
        <v>4</v>
      </c>
      <c r="D37" s="4">
        <v>34</v>
      </c>
      <c r="E37" s="19" t="str">
        <f>VLOOKUP(D37,pin_def!$A$2:$K$49,11)</f>
        <v>AIN_33</v>
      </c>
      <c r="F37" s="31"/>
      <c r="G37" s="23"/>
      <c r="H37" s="53"/>
      <c r="I37" s="54"/>
      <c r="J37" s="54"/>
      <c r="K37" s="54"/>
      <c r="L37" s="54"/>
      <c r="M37" s="55"/>
      <c r="N37" s="53"/>
      <c r="O37" s="55"/>
      <c r="P37" s="23"/>
      <c r="Q37" s="32"/>
      <c r="R37" s="20" t="str">
        <f>VLOOKUP(S37,pin_def!$A$2:$K$49,11)</f>
        <v>AIN_33</v>
      </c>
      <c r="S37" s="4">
        <v>27</v>
      </c>
      <c r="T37">
        <v>21</v>
      </c>
    </row>
    <row r="38" spans="3:20" ht="15" customHeight="1">
      <c r="C38">
        <v>5</v>
      </c>
      <c r="D38" s="4">
        <v>5</v>
      </c>
      <c r="E38" s="19" t="str">
        <f>VLOOKUP(D38,pin_def!$A$2:$K$49,11)</f>
        <v>VSSI_33</v>
      </c>
      <c r="F38" s="31"/>
      <c r="G38" s="23"/>
      <c r="H38" s="56"/>
      <c r="I38" s="57"/>
      <c r="J38" s="57"/>
      <c r="K38" s="57"/>
      <c r="L38" s="57"/>
      <c r="M38" s="58"/>
      <c r="N38" s="56"/>
      <c r="O38" s="58"/>
      <c r="P38" s="23"/>
      <c r="Q38" s="32"/>
      <c r="R38" s="20" t="str">
        <f>VLOOKUP(S38,pin_def!$A$2:$K$49,11)</f>
        <v>AIN_33</v>
      </c>
      <c r="S38" s="4">
        <v>29</v>
      </c>
      <c r="T38">
        <v>20</v>
      </c>
    </row>
    <row r="39" spans="3:20" ht="15" customHeight="1">
      <c r="C39">
        <v>6</v>
      </c>
      <c r="D39" s="4">
        <v>12</v>
      </c>
      <c r="E39" s="19" t="str">
        <f>VLOOKUP(D39,pin_def!$A$2:$K$49,11)</f>
        <v>VDDI_33</v>
      </c>
      <c r="F39" s="33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5"/>
      <c r="R39" s="20" t="str">
        <f>VLOOKUP(S39,pin_def!$A$2:$K$49,11)</f>
        <v>AIN_33</v>
      </c>
      <c r="S39" s="4">
        <v>31</v>
      </c>
      <c r="T39">
        <v>19</v>
      </c>
    </row>
    <row r="40" spans="3:20" ht="15" customHeight="1">
      <c r="D40" s="4"/>
      <c r="E40" s="4"/>
      <c r="F40" s="22" t="str">
        <f>VLOOKUP(F41,pin_def!$A$2:$K$49,11)</f>
        <v>DIN_33</v>
      </c>
      <c r="G40" s="22" t="str">
        <f>VLOOKUP(G41,pin_def!$A$2:$K$49,11)</f>
        <v>DIN_33</v>
      </c>
      <c r="H40" s="22" t="str">
        <f>VLOOKUP(H41,pin_def!$A$2:$K$49,11)</f>
        <v>AIN_33</v>
      </c>
      <c r="I40" s="22" t="str">
        <f>VLOOKUP(I41,pin_def!$A$2:$K$49,11)</f>
        <v>VDDE_33</v>
      </c>
      <c r="J40" s="22" t="str">
        <f>VLOOKUP(J41,pin_def!$A$2:$K$49,11)</f>
        <v>VSSE_33</v>
      </c>
      <c r="K40" s="22" t="str">
        <f>VLOOKUP(K41,pin_def!$A$2:$K$49,11)</f>
        <v>VDDI_33</v>
      </c>
      <c r="L40" s="22" t="str">
        <f>VLOOKUP(L41,pin_def!$A$2:$K$49,11)</f>
        <v>VSSI_33</v>
      </c>
      <c r="M40" s="22" t="str">
        <f>VLOOKUP(M41,pin_def!$A$2:$K$49,11)</f>
        <v>VSSE_33</v>
      </c>
      <c r="N40" s="22" t="str">
        <f>VLOOKUP(N41,pin_def!$A$2:$K$49,11)</f>
        <v>VDDE_33</v>
      </c>
      <c r="O40" s="22" t="str">
        <f>VLOOKUP(O41,pin_def!$A$2:$K$49,11)</f>
        <v>AIN_33</v>
      </c>
      <c r="P40" s="22" t="str">
        <f>VLOOKUP(P41,pin_def!$A$2:$K$49,11)</f>
        <v>AIN_33</v>
      </c>
      <c r="Q40" s="22" t="str">
        <f>VLOOKUP(Q41,pin_def!$A$2:$K$49,11)</f>
        <v>AIN_33</v>
      </c>
      <c r="R40" s="4"/>
      <c r="S40" s="4"/>
    </row>
    <row r="41" spans="3:20" ht="15" customHeight="1">
      <c r="D41" s="4"/>
      <c r="E41" s="4"/>
      <c r="F41" s="4">
        <v>40</v>
      </c>
      <c r="G41" s="4">
        <v>39</v>
      </c>
      <c r="H41" s="4">
        <v>17</v>
      </c>
      <c r="I41" s="4">
        <v>10</v>
      </c>
      <c r="J41" s="4">
        <v>11</v>
      </c>
      <c r="K41" s="4">
        <v>14</v>
      </c>
      <c r="L41" s="4">
        <v>6</v>
      </c>
      <c r="M41" s="4">
        <v>9</v>
      </c>
      <c r="N41" s="4">
        <v>8</v>
      </c>
      <c r="O41" s="4">
        <v>28</v>
      </c>
      <c r="P41" s="4">
        <v>30</v>
      </c>
      <c r="Q41" s="4">
        <v>32</v>
      </c>
      <c r="R41" s="4"/>
      <c r="S41" s="4"/>
    </row>
    <row r="42" spans="3:20" ht="15" customHeight="1">
      <c r="F42" s="23">
        <v>7</v>
      </c>
      <c r="G42" s="23">
        <v>8</v>
      </c>
      <c r="H42" s="23">
        <v>9</v>
      </c>
      <c r="I42" s="23">
        <v>10</v>
      </c>
      <c r="J42" s="23">
        <v>11</v>
      </c>
      <c r="K42" s="23">
        <v>12</v>
      </c>
      <c r="L42" s="23">
        <v>13</v>
      </c>
      <c r="M42" s="23">
        <v>14</v>
      </c>
      <c r="N42" s="23">
        <v>15</v>
      </c>
      <c r="O42" s="23">
        <v>16</v>
      </c>
      <c r="P42" s="23">
        <v>17</v>
      </c>
      <c r="Q42" s="23">
        <v>18</v>
      </c>
    </row>
  </sheetData>
  <mergeCells count="8">
    <mergeCell ref="H34:M38"/>
    <mergeCell ref="N29:O38"/>
    <mergeCell ref="K29:M33"/>
    <mergeCell ref="H29:I33"/>
    <mergeCell ref="N10:O19"/>
    <mergeCell ref="H15:M19"/>
    <mergeCell ref="H10:I14"/>
    <mergeCell ref="K10:M14"/>
  </mergeCells>
  <phoneticPr fontId="5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Q12" sqref="Q12"/>
    </sheetView>
  </sheetViews>
  <sheetFormatPr defaultColWidth="11.25" defaultRowHeight="15" customHeight="1"/>
  <cols>
    <col min="1" max="2" width="8.33203125" customWidth="1"/>
    <col min="3" max="3" width="12.5" customWidth="1"/>
    <col min="4" max="4" width="8.33203125" customWidth="1"/>
    <col min="5" max="5" width="11.75" customWidth="1"/>
    <col min="6" max="6" width="5.5" customWidth="1"/>
    <col min="7" max="7" width="12.5" customWidth="1"/>
    <col min="8" max="8" width="6.58203125" customWidth="1"/>
    <col min="9" max="9" width="8.33203125" customWidth="1"/>
    <col min="10" max="10" width="13.25" customWidth="1"/>
    <col min="11" max="11" width="4.25" customWidth="1"/>
    <col min="12" max="12" width="5.83203125" customWidth="1"/>
    <col min="13" max="14" width="8.33203125" customWidth="1"/>
    <col min="15" max="26" width="8.58203125" customWidth="1"/>
  </cols>
  <sheetData>
    <row r="1" spans="1:26" ht="15.75" customHeight="1">
      <c r="A1" s="13"/>
      <c r="B1" s="13" t="s">
        <v>165</v>
      </c>
      <c r="C1" s="13"/>
      <c r="D1" s="13" t="s">
        <v>167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>
      <c r="A2" s="13"/>
      <c r="B2" s="14" t="s">
        <v>164</v>
      </c>
      <c r="C2" s="14"/>
      <c r="D2" s="14" t="s">
        <v>166</v>
      </c>
      <c r="E2" s="14"/>
      <c r="F2" s="14" t="s">
        <v>108</v>
      </c>
      <c r="G2" s="14" t="s">
        <v>109</v>
      </c>
      <c r="H2" s="15"/>
      <c r="I2" s="15"/>
      <c r="J2" s="15"/>
      <c r="K2" s="15"/>
      <c r="L2" s="15"/>
      <c r="M2" s="15"/>
      <c r="N2" s="15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>
      <c r="A3" s="13"/>
      <c r="B3" s="15"/>
      <c r="C3" s="15"/>
      <c r="D3" s="14" t="s">
        <v>110</v>
      </c>
      <c r="E3" s="15"/>
      <c r="F3" s="14" t="s">
        <v>111</v>
      </c>
      <c r="G3" s="14" t="s">
        <v>168</v>
      </c>
      <c r="H3" s="15"/>
      <c r="I3" s="15"/>
      <c r="J3" s="15"/>
      <c r="K3" s="15"/>
      <c r="L3" s="15"/>
      <c r="M3" s="15"/>
      <c r="N3" s="15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>
      <c r="A4" s="13"/>
      <c r="B4" s="15"/>
      <c r="C4" s="15"/>
      <c r="D4" s="14" t="s">
        <v>112</v>
      </c>
      <c r="E4" s="15"/>
      <c r="F4" s="14" t="s">
        <v>113</v>
      </c>
      <c r="G4" s="14" t="s">
        <v>169</v>
      </c>
      <c r="K4" s="15"/>
      <c r="L4" s="15"/>
      <c r="M4" s="15"/>
      <c r="N4" s="15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>
      <c r="A5" s="13"/>
      <c r="B5" s="15"/>
      <c r="C5" s="15"/>
      <c r="D5" s="15"/>
      <c r="E5" s="15"/>
      <c r="F5" s="14" t="s">
        <v>114</v>
      </c>
      <c r="G5" s="14" t="s">
        <v>171</v>
      </c>
      <c r="H5" s="15"/>
      <c r="I5" s="15"/>
      <c r="J5" s="15"/>
      <c r="K5" s="15"/>
      <c r="L5" s="15"/>
      <c r="M5" s="15"/>
      <c r="N5" s="15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>
      <c r="A6" s="13"/>
      <c r="B6" s="15"/>
      <c r="C6" s="15"/>
      <c r="D6" s="15"/>
      <c r="E6" s="15"/>
      <c r="F6" s="14" t="s">
        <v>115</v>
      </c>
      <c r="G6" s="14" t="s">
        <v>171</v>
      </c>
      <c r="H6" s="15"/>
      <c r="I6" s="15"/>
      <c r="J6" s="15"/>
      <c r="K6" s="15"/>
      <c r="L6" s="15"/>
      <c r="M6" s="15"/>
      <c r="N6" s="15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>
      <c r="A7" s="13"/>
      <c r="B7" s="15"/>
      <c r="C7" s="15"/>
      <c r="D7" s="15"/>
      <c r="E7" s="15"/>
      <c r="F7" s="14" t="s">
        <v>116</v>
      </c>
      <c r="G7" s="14" t="s">
        <v>170</v>
      </c>
      <c r="H7" s="15"/>
      <c r="I7" s="15"/>
      <c r="J7" s="15"/>
      <c r="K7" s="15"/>
      <c r="L7" s="15"/>
      <c r="M7" s="15"/>
      <c r="N7" s="15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>
      <c r="A8" s="13"/>
      <c r="B8" s="15"/>
      <c r="C8" s="15"/>
      <c r="D8" s="15"/>
      <c r="E8" s="15"/>
      <c r="F8" s="14" t="s">
        <v>117</v>
      </c>
      <c r="G8" s="14" t="s">
        <v>170</v>
      </c>
      <c r="H8" s="15"/>
      <c r="I8" s="15"/>
      <c r="J8" s="15"/>
      <c r="K8" s="15"/>
      <c r="L8" s="15"/>
      <c r="M8" s="15"/>
      <c r="N8" s="15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>
      <c r="A9" s="13"/>
      <c r="B9" s="15"/>
      <c r="C9" s="15"/>
      <c r="D9" s="15"/>
      <c r="E9" s="15"/>
      <c r="F9" s="14" t="s">
        <v>118</v>
      </c>
      <c r="G9" s="14" t="s">
        <v>170</v>
      </c>
      <c r="H9" s="15"/>
      <c r="I9" s="15"/>
      <c r="J9" s="15"/>
      <c r="K9" s="15"/>
      <c r="L9" s="15"/>
      <c r="M9" s="15"/>
      <c r="N9" s="15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>
      <c r="A10" s="13"/>
      <c r="B10" s="15"/>
      <c r="C10" s="15"/>
      <c r="D10" s="15"/>
      <c r="E10" s="15"/>
      <c r="F10" s="14" t="s">
        <v>119</v>
      </c>
      <c r="G10" s="14" t="s">
        <v>170</v>
      </c>
      <c r="H10" s="15"/>
      <c r="I10" s="15"/>
      <c r="J10" s="15"/>
      <c r="K10" s="15"/>
      <c r="L10" s="15"/>
      <c r="M10" s="15"/>
      <c r="N10" s="15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>
      <c r="A11" s="13"/>
      <c r="B11" s="15"/>
      <c r="C11" s="15"/>
      <c r="D11" s="15"/>
      <c r="E11" s="15"/>
      <c r="F11" s="14" t="s">
        <v>120</v>
      </c>
      <c r="G11" s="14" t="s">
        <v>121</v>
      </c>
      <c r="H11" s="14"/>
      <c r="I11" s="16" t="s">
        <v>122</v>
      </c>
      <c r="J11" s="16" t="s">
        <v>123</v>
      </c>
      <c r="K11" s="13"/>
      <c r="L11" s="13"/>
      <c r="M11" s="13"/>
      <c r="N11" s="15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>
      <c r="A12" s="13"/>
      <c r="B12" s="15"/>
      <c r="C12" s="15"/>
      <c r="D12" s="15"/>
      <c r="E12" s="15"/>
      <c r="F12" s="15"/>
      <c r="G12" s="15"/>
      <c r="H12" s="15"/>
      <c r="I12" s="16" t="s">
        <v>124</v>
      </c>
      <c r="J12" s="16" t="s">
        <v>172</v>
      </c>
      <c r="K12" s="16"/>
      <c r="L12" s="16" t="s">
        <v>176</v>
      </c>
      <c r="M12" s="16" t="s">
        <v>173</v>
      </c>
      <c r="N12" s="15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>
      <c r="A13" s="13"/>
      <c r="B13" s="15"/>
      <c r="C13" s="15"/>
      <c r="D13" s="15"/>
      <c r="E13" s="15"/>
      <c r="F13" s="13"/>
      <c r="G13" s="13"/>
      <c r="H13" s="13"/>
      <c r="I13" s="13"/>
      <c r="J13" s="13"/>
      <c r="K13" s="13"/>
      <c r="L13" s="16" t="s">
        <v>177</v>
      </c>
      <c r="M13" s="16" t="s">
        <v>174</v>
      </c>
      <c r="N13" s="15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6" t="s">
        <v>178</v>
      </c>
      <c r="M14" s="16" t="s">
        <v>175</v>
      </c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6" t="s">
        <v>180</v>
      </c>
      <c r="M15" s="17" t="s">
        <v>179</v>
      </c>
      <c r="N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6" t="s">
        <v>125</v>
      </c>
      <c r="M16" s="16" t="s">
        <v>126</v>
      </c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7" t="s">
        <v>127</v>
      </c>
      <c r="M17" s="17" t="s">
        <v>128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7" t="s">
        <v>129</v>
      </c>
      <c r="M18" s="17" t="s">
        <v>128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7"/>
      <c r="M19" s="17" t="s">
        <v>130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7"/>
      <c r="M20" s="17" t="s">
        <v>130</v>
      </c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>
      <c r="A21" s="13"/>
      <c r="B21" s="13"/>
      <c r="C21" s="13"/>
      <c r="D21" s="13"/>
      <c r="E21" s="13"/>
      <c r="F21" s="13"/>
      <c r="G21" s="13"/>
      <c r="H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>
      <c r="A22" s="13"/>
      <c r="B22" s="13"/>
      <c r="C22" s="13"/>
      <c r="D22" s="13"/>
      <c r="E22" s="13"/>
      <c r="F22" s="13"/>
      <c r="G22" s="13"/>
      <c r="H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>
      <c r="A24" s="13"/>
      <c r="B24" s="13"/>
      <c r="C24" s="13"/>
      <c r="D24" s="13"/>
      <c r="E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honeticPr fontId="5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48750-E5EB-4B7B-A8C4-00EA5DD032F0}">
  <dimension ref="C3:S52"/>
  <sheetViews>
    <sheetView tabSelected="1" topLeftCell="A7" zoomScale="115" zoomScaleNormal="115" workbookViewId="0">
      <selection activeCell="F23" sqref="F23"/>
    </sheetView>
  </sheetViews>
  <sheetFormatPr defaultRowHeight="15.5"/>
  <cols>
    <col min="3" max="3" width="15.5" customWidth="1"/>
    <col min="4" max="4" width="13.33203125" customWidth="1"/>
    <col min="5" max="5" width="16" customWidth="1"/>
    <col min="7" max="7" width="11.25" bestFit="1" customWidth="1"/>
    <col min="18" max="18" width="9.08203125" customWidth="1"/>
  </cols>
  <sheetData>
    <row r="3" spans="3:15">
      <c r="C3" s="18" t="s">
        <v>182</v>
      </c>
      <c r="D3" s="68">
        <v>1.2</v>
      </c>
    </row>
    <row r="4" spans="3:15">
      <c r="C4" s="18" t="s">
        <v>183</v>
      </c>
      <c r="D4" s="68">
        <v>0.67</v>
      </c>
    </row>
    <row r="5" spans="3:15">
      <c r="F5">
        <f>D8*1.05</f>
        <v>0.80850000000000011</v>
      </c>
    </row>
    <row r="6" spans="3:15">
      <c r="C6" s="72" t="s">
        <v>181</v>
      </c>
      <c r="D6" s="73">
        <f>$D$3/2-$D$4/2</f>
        <v>0.26499999999999996</v>
      </c>
      <c r="F6">
        <f>D8*1.1</f>
        <v>0.84700000000000009</v>
      </c>
    </row>
    <row r="7" spans="3:15">
      <c r="C7" s="72" t="s">
        <v>184</v>
      </c>
      <c r="D7" s="73">
        <f>$D$3/2+$D$4/2</f>
        <v>0.93500000000000005</v>
      </c>
      <c r="F7">
        <f>D8*0.95</f>
        <v>0.73149999999999993</v>
      </c>
    </row>
    <row r="8" spans="3:15">
      <c r="C8" s="18" t="s">
        <v>185</v>
      </c>
      <c r="D8" s="68">
        <v>0.77</v>
      </c>
      <c r="E8" s="40" t="s">
        <v>210</v>
      </c>
      <c r="F8">
        <f>D8*0.9</f>
        <v>0.69300000000000006</v>
      </c>
    </row>
    <row r="9" spans="3:15">
      <c r="D9" s="18" t="s">
        <v>203</v>
      </c>
      <c r="E9" s="18" t="s">
        <v>204</v>
      </c>
      <c r="N9" s="18" t="s">
        <v>195</v>
      </c>
    </row>
    <row r="10" spans="3:15">
      <c r="C10" s="18" t="s">
        <v>196</v>
      </c>
      <c r="D10" s="70">
        <v>10</v>
      </c>
      <c r="E10" s="68">
        <v>1</v>
      </c>
      <c r="N10" s="36" t="s">
        <v>197</v>
      </c>
      <c r="O10" s="18" t="s">
        <v>198</v>
      </c>
    </row>
    <row r="11" spans="3:15">
      <c r="C11" s="18" t="s">
        <v>186</v>
      </c>
      <c r="D11" s="68">
        <v>10</v>
      </c>
      <c r="M11" s="18" t="s">
        <v>187</v>
      </c>
      <c r="N11" s="18">
        <v>20</v>
      </c>
      <c r="O11">
        <v>15</v>
      </c>
    </row>
    <row r="12" spans="3:15">
      <c r="C12" s="18" t="s">
        <v>187</v>
      </c>
      <c r="D12" s="70">
        <v>5</v>
      </c>
      <c r="F12" s="36" t="s">
        <v>202</v>
      </c>
      <c r="N12">
        <v>25</v>
      </c>
    </row>
    <row r="13" spans="3:15">
      <c r="F13">
        <v>20</v>
      </c>
      <c r="G13">
        <v>25</v>
      </c>
    </row>
    <row r="14" spans="3:15" ht="18.75" customHeight="1">
      <c r="C14" s="18" t="s">
        <v>189</v>
      </c>
      <c r="D14">
        <f>D8*(D11)/(D10+D11+D12)</f>
        <v>0.308</v>
      </c>
      <c r="E14" t="str">
        <f>IF(D14&lt;=D6,"enough","need adj.")</f>
        <v>need adj.</v>
      </c>
      <c r="F14">
        <f t="shared" ref="F14:G16" si="0">$O$11/(F$13*360)*($D18-$D14)</f>
        <v>3.208333333333334E-4</v>
      </c>
      <c r="G14">
        <f t="shared" si="0"/>
        <v>2.5666666666666671E-4</v>
      </c>
    </row>
    <row r="15" spans="3:15">
      <c r="C15" s="18" t="s">
        <v>188</v>
      </c>
      <c r="D15">
        <f>D8*(D11)/(D11+D12)</f>
        <v>0.51333333333333331</v>
      </c>
      <c r="E15" t="str">
        <f>IF(D15&lt;=D7,"enough","need adj.")</f>
        <v>enough</v>
      </c>
      <c r="F15">
        <f t="shared" si="0"/>
        <v>5.3472222222222235E-4</v>
      </c>
      <c r="G15">
        <f t="shared" si="0"/>
        <v>4.277777777777779E-4</v>
      </c>
    </row>
    <row r="16" spans="3:15">
      <c r="C16" s="18" t="s">
        <v>190</v>
      </c>
      <c r="D16" s="71">
        <f>D8*(D11)/(E10+D11+D12)</f>
        <v>0.48125000000000001</v>
      </c>
      <c r="E16" t="str">
        <f>IF(D16&lt;=D4,"enough","need adj.")</f>
        <v>enough</v>
      </c>
      <c r="F16">
        <f t="shared" si="0"/>
        <v>5.0130208333333342E-4</v>
      </c>
      <c r="G16">
        <f t="shared" si="0"/>
        <v>4.0104166666666673E-4</v>
      </c>
    </row>
    <row r="17" spans="3:19">
      <c r="F17" s="36" t="s">
        <v>199</v>
      </c>
      <c r="I17" s="36" t="s">
        <v>200</v>
      </c>
      <c r="L17" s="36" t="s">
        <v>201</v>
      </c>
      <c r="O17" s="36" t="s">
        <v>205</v>
      </c>
      <c r="R17" s="37" t="s">
        <v>206</v>
      </c>
    </row>
    <row r="18" spans="3:19">
      <c r="C18" s="18" t="s">
        <v>192</v>
      </c>
      <c r="D18">
        <f>D8*(D11+D12)/(D10+D11+D12)</f>
        <v>0.46200000000000002</v>
      </c>
      <c r="E18" t="str">
        <f>IF(D18&gt;=D6,"enough","need adj.")</f>
        <v>enough</v>
      </c>
      <c r="F18">
        <f>($D6-$D14)/$F14</f>
        <v>-134.02597402597411</v>
      </c>
      <c r="G18">
        <f>($D6-$D14)/$G14</f>
        <v>-167.53246753246765</v>
      </c>
      <c r="I18">
        <f t="shared" ref="I18:J20" si="1">F18*15</f>
        <v>-2010.3896103896116</v>
      </c>
      <c r="J18">
        <f t="shared" si="1"/>
        <v>-2512.9870129870146</v>
      </c>
      <c r="L18">
        <f t="shared" ref="L18:M20" si="2">I18/360</f>
        <v>-5.5844155844155878</v>
      </c>
      <c r="M18">
        <f t="shared" si="2"/>
        <v>-6.9805194805194848</v>
      </c>
      <c r="O18">
        <f t="shared" ref="O18:P20" si="3">ROUND(F18,0)*F14+$D14</f>
        <v>0.26500833333333329</v>
      </c>
      <c r="P18">
        <f t="shared" si="3"/>
        <v>0.26488</v>
      </c>
      <c r="R18">
        <f>ROUND((O18-$D6)*100000,2)</f>
        <v>0.83</v>
      </c>
      <c r="S18">
        <f>ROUND((P18-$D6)*100000,2)</f>
        <v>-12</v>
      </c>
    </row>
    <row r="19" spans="3:19">
      <c r="C19" s="18" t="s">
        <v>193</v>
      </c>
      <c r="D19">
        <f>D8*(D11+D12)/(D11+D12)</f>
        <v>0.77</v>
      </c>
      <c r="E19" t="str">
        <f>IF(D19&gt;=D7,"enough","need adj.")</f>
        <v>need adj.</v>
      </c>
      <c r="F19">
        <f>($D7-$D15)/$F15</f>
        <v>788.57142857142856</v>
      </c>
      <c r="G19">
        <f>($D7-$D15)/$G15</f>
        <v>985.71428571428567</v>
      </c>
      <c r="I19">
        <f t="shared" si="1"/>
        <v>11828.571428571428</v>
      </c>
      <c r="J19">
        <f t="shared" si="1"/>
        <v>14785.714285714284</v>
      </c>
      <c r="L19">
        <f t="shared" si="2"/>
        <v>32.857142857142854</v>
      </c>
      <c r="M19">
        <f t="shared" si="2"/>
        <v>41.071428571428569</v>
      </c>
      <c r="O19">
        <f t="shared" si="3"/>
        <v>0.93522916666666678</v>
      </c>
      <c r="P19">
        <f t="shared" si="3"/>
        <v>0.9351222222222223</v>
      </c>
      <c r="R19">
        <f>ROUND((O19-$D7)*100000,2)</f>
        <v>22.92</v>
      </c>
      <c r="S19">
        <f>ROUND((P19-$D7)*100000,2)</f>
        <v>12.22</v>
      </c>
    </row>
    <row r="20" spans="3:19">
      <c r="C20" s="18" t="s">
        <v>194</v>
      </c>
      <c r="D20" s="71">
        <f>D8*(D11+D12)/(E10+D11+D12)</f>
        <v>0.72187500000000004</v>
      </c>
      <c r="E20" t="str">
        <f>IF(D20&gt;=D4,"enough","need adj.")</f>
        <v>enough</v>
      </c>
      <c r="F20">
        <f>($D4-$D16)/$F16</f>
        <v>376.51948051948051</v>
      </c>
      <c r="G20">
        <f>($D4-$D16)/$G16</f>
        <v>470.64935064935065</v>
      </c>
      <c r="I20">
        <f t="shared" si="1"/>
        <v>5647.7922077922076</v>
      </c>
      <c r="J20">
        <f t="shared" si="1"/>
        <v>7059.7402597402597</v>
      </c>
      <c r="L20">
        <f t="shared" si="2"/>
        <v>15.688311688311687</v>
      </c>
      <c r="M20">
        <f t="shared" si="2"/>
        <v>19.61038961038961</v>
      </c>
      <c r="O20">
        <f t="shared" si="3"/>
        <v>0.67024088541666671</v>
      </c>
      <c r="P20">
        <f t="shared" si="3"/>
        <v>0.67014062500000005</v>
      </c>
      <c r="R20">
        <f>ROUND((O20-$D4)*100000,2)</f>
        <v>24.09</v>
      </c>
      <c r="S20">
        <f>ROUND((P20-$D4)*100000,2)</f>
        <v>14.06</v>
      </c>
    </row>
    <row r="22" spans="3:19">
      <c r="C22" s="18" t="s">
        <v>235</v>
      </c>
      <c r="D22" s="68">
        <v>1.2</v>
      </c>
      <c r="E22" s="18" t="s">
        <v>236</v>
      </c>
    </row>
    <row r="23" spans="3:19">
      <c r="C23" s="18" t="s">
        <v>232</v>
      </c>
    </row>
    <row r="24" spans="3:19">
      <c r="D24" s="18" t="s">
        <v>230</v>
      </c>
      <c r="E24" s="18" t="s">
        <v>231</v>
      </c>
    </row>
    <row r="25" spans="3:19">
      <c r="C25" s="18" t="s">
        <v>229</v>
      </c>
      <c r="D25" s="69">
        <f>400*10^(-6)</f>
        <v>3.9999999999999996E-4</v>
      </c>
      <c r="E25" s="68">
        <f>10*10^(-3)</f>
        <v>0.01</v>
      </c>
    </row>
    <row r="26" spans="3:19">
      <c r="C26" s="18" t="s">
        <v>234</v>
      </c>
      <c r="D26">
        <f>((D22-D8)/(E25+D8/(D11+D12)/10^3+D8/(D10+D11+D12)/10^3+D8/(E10+D11+D12)/10^3))</f>
        <v>42.447091263714064</v>
      </c>
      <c r="E26">
        <f>((D22-D8)/(D25+D8/(D11+D12)/10^3+D8/(D10+D11+D12)/10^3+D8/(E10+D11+D12)/10^3))</f>
        <v>810.92549229149313</v>
      </c>
    </row>
    <row r="37" spans="3:8">
      <c r="F37" s="18" t="s">
        <v>233</v>
      </c>
    </row>
    <row r="38" spans="3:8">
      <c r="C38" s="18" t="s">
        <v>221</v>
      </c>
      <c r="F38" s="18" t="s">
        <v>226</v>
      </c>
      <c r="G38" s="18" t="s">
        <v>223</v>
      </c>
      <c r="H38" s="18" t="s">
        <v>224</v>
      </c>
    </row>
    <row r="39" spans="3:8">
      <c r="C39" s="18" t="s">
        <v>207</v>
      </c>
      <c r="D39" s="38">
        <v>2.4900000000000002</v>
      </c>
      <c r="F39" s="18" t="s">
        <v>222</v>
      </c>
      <c r="G39" s="38">
        <v>1.2</v>
      </c>
      <c r="H39" s="38">
        <v>0.6</v>
      </c>
    </row>
    <row r="40" spans="3:8">
      <c r="C40" s="18" t="s">
        <v>209</v>
      </c>
      <c r="D40" s="39">
        <v>0.02</v>
      </c>
      <c r="F40" s="18" t="s">
        <v>225</v>
      </c>
      <c r="G40" s="42">
        <f>D47*(D46*10^6+D49*10^3)+G39</f>
        <v>3.7116521739130439</v>
      </c>
    </row>
    <row r="41" spans="3:8">
      <c r="C41" s="18" t="s">
        <v>211</v>
      </c>
      <c r="D41">
        <f>D39*(1+D40)</f>
        <v>2.5398000000000001</v>
      </c>
    </row>
    <row r="42" spans="3:8">
      <c r="C42" s="18" t="s">
        <v>208</v>
      </c>
      <c r="D42">
        <f>D39*(1-D40)</f>
        <v>2.4402000000000004</v>
      </c>
      <c r="F42" s="18" t="s">
        <v>227</v>
      </c>
      <c r="G42" s="38">
        <v>5</v>
      </c>
      <c r="H42" t="str">
        <f>IF(G40&gt;G43,"use this","something wrong")</f>
        <v>use this</v>
      </c>
    </row>
    <row r="43" spans="3:8">
      <c r="C43" s="18" t="s">
        <v>215</v>
      </c>
      <c r="D43" s="41">
        <v>2.15</v>
      </c>
      <c r="E43" s="18" t="s">
        <v>213</v>
      </c>
      <c r="G43" s="38">
        <v>3.3</v>
      </c>
      <c r="H43" t="str">
        <f>IF(G40&lt;G43,"use this","use higher P.S.")</f>
        <v>use higher P.S.</v>
      </c>
    </row>
    <row r="44" spans="3:8">
      <c r="C44" s="18" t="s">
        <v>217</v>
      </c>
      <c r="D44" s="42">
        <f>D39/D43/10^(-6)</f>
        <v>1158139.5348837213</v>
      </c>
    </row>
    <row r="45" spans="3:8">
      <c r="F45" s="18" t="s">
        <v>232</v>
      </c>
    </row>
    <row r="46" spans="3:8">
      <c r="C46" s="18" t="s">
        <v>212</v>
      </c>
      <c r="D46" s="38">
        <v>1.1499999999999999</v>
      </c>
      <c r="E46" s="18" t="s">
        <v>214</v>
      </c>
      <c r="G46" s="18" t="s">
        <v>230</v>
      </c>
      <c r="H46" s="18" t="s">
        <v>231</v>
      </c>
    </row>
    <row r="47" spans="3:8">
      <c r="C47" s="18" t="s">
        <v>216</v>
      </c>
      <c r="D47" s="42">
        <f>D39/D46/10^6</f>
        <v>2.1652173913043484E-6</v>
      </c>
      <c r="F47" s="18" t="s">
        <v>229</v>
      </c>
      <c r="G47" s="43">
        <f>400*10^(-6)</f>
        <v>3.9999999999999996E-4</v>
      </c>
      <c r="H47" s="38">
        <f>10*10^(-3)</f>
        <v>0.01</v>
      </c>
    </row>
    <row r="48" spans="3:8">
      <c r="F48" s="18" t="s">
        <v>228</v>
      </c>
      <c r="G48">
        <f>IF(G40&gt;G43,(G42-G40)/(H47+D47),(G43-G40)/(H47+D47))</f>
        <v>128.8068931161861</v>
      </c>
      <c r="H48">
        <f>IF(G40&gt;G43,(G42-G40)/(G47+D47),(G43-G40)/(G47+D47))</f>
        <v>3203.5287249454036</v>
      </c>
    </row>
    <row r="49" spans="3:5">
      <c r="C49" s="18" t="s">
        <v>187</v>
      </c>
      <c r="D49" s="43">
        <v>10</v>
      </c>
      <c r="E49" s="18" t="s">
        <v>218</v>
      </c>
    </row>
    <row r="51" spans="3:5">
      <c r="C51" s="18" t="s">
        <v>220</v>
      </c>
      <c r="D51">
        <f>D39/(D46*10^6+D49*10^3)</f>
        <v>2.1465517241379314E-6</v>
      </c>
      <c r="E51" t="str">
        <f>IF(D51*10^6&lt;=D43,"enough","need adj.")</f>
        <v>enough</v>
      </c>
    </row>
    <row r="52" spans="3:5">
      <c r="C52" s="18" t="s">
        <v>219</v>
      </c>
      <c r="D52" s="42">
        <f>D47</f>
        <v>2.1652173913043484E-6</v>
      </c>
      <c r="E52" t="str">
        <f>IF(D52*10^6&gt;=D43,"enough","need adj.")</f>
        <v>enough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8A72A7D1DD9E40B1F6A9A761BBFA46" ma:contentTypeVersion="0" ma:contentTypeDescription="Create a new document." ma:contentTypeScope="" ma:versionID="868209580fba7de06a708ce3d7f3386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fba3ee6e6c2053185f104caf2c79d4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E6206D-B215-4384-88D3-A3D6412DC5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A76B65-557E-4F48-B309-9E0C3BC9B3F0}">
  <ds:schemaRefs>
    <ds:schemaRef ds:uri="http://schemas.microsoft.com/office/2006/metadata/properties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B48F734-0F1A-43BD-A35C-B9AB0D89BD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pin_def</vt:lpstr>
      <vt:lpstr>pad_placement</vt:lpstr>
      <vt:lpstr>sch_hier</vt:lpstr>
      <vt:lpstr>PCB_VREF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黃敬哲</dc:creator>
  <cp:lastModifiedBy>user</cp:lastModifiedBy>
  <dcterms:created xsi:type="dcterms:W3CDTF">2024-03-28T09:50:37Z</dcterms:created>
  <dcterms:modified xsi:type="dcterms:W3CDTF">2024-09-24T12:11:40Z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0x0101007F8A72A7D1DD9E40B1F6A9A761BBFA46</vt:lpwstr>
  </property>
</Properties>
</file>