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 Monteiro\Documents\"/>
    </mc:Choice>
  </mc:AlternateContent>
  <xr:revisionPtr revIDLastSave="0" documentId="13_ncr:1_{66E471B8-AD34-44A3-B9D1-DB97E9BE347F}" xr6:coauthVersionLast="36" xr6:coauthVersionMax="36" xr10:uidLastSave="{00000000-0000-0000-0000-000000000000}"/>
  <bookViews>
    <workbookView xWindow="0" yWindow="0" windowWidth="28800" windowHeight="12225" xr2:uid="{7D4B7747-A9CA-4294-BC0E-290E474203D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8" i="1" l="1"/>
  <c r="AA37" i="1"/>
  <c r="AA36" i="1"/>
  <c r="AB9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O3" i="1"/>
  <c r="AB1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K49" i="1" l="1"/>
  <c r="L49" i="1" s="1"/>
  <c r="M49" i="1" s="1"/>
  <c r="N49" i="1" s="1"/>
  <c r="K17" i="1"/>
  <c r="L17" i="1" s="1"/>
  <c r="M17" i="1" s="1"/>
  <c r="N17" i="1" s="1"/>
  <c r="K40" i="1"/>
  <c r="L40" i="1" s="1"/>
  <c r="M40" i="1" s="1"/>
  <c r="N40" i="1" s="1"/>
  <c r="K8" i="1"/>
  <c r="L8" i="1" s="1"/>
  <c r="M8" i="1" s="1"/>
  <c r="N8" i="1" s="1"/>
  <c r="K47" i="1"/>
  <c r="L47" i="1" s="1"/>
  <c r="M47" i="1" s="1"/>
  <c r="N47" i="1" s="1"/>
  <c r="K23" i="1"/>
  <c r="L23" i="1" s="1"/>
  <c r="M23" i="1" s="1"/>
  <c r="N23" i="1" s="1"/>
  <c r="K46" i="1"/>
  <c r="L46" i="1" s="1"/>
  <c r="M46" i="1" s="1"/>
  <c r="N46" i="1" s="1"/>
  <c r="K30" i="1"/>
  <c r="L30" i="1" s="1"/>
  <c r="M30" i="1" s="1"/>
  <c r="N30" i="1" s="1"/>
  <c r="K37" i="1"/>
  <c r="L37" i="1" s="1"/>
  <c r="M37" i="1" s="1"/>
  <c r="N37" i="1" s="1"/>
  <c r="K21" i="1"/>
  <c r="L21" i="1" s="1"/>
  <c r="M21" i="1" s="1"/>
  <c r="N21" i="1" s="1"/>
  <c r="K13" i="1"/>
  <c r="L13" i="1" s="1"/>
  <c r="M13" i="1" s="1"/>
  <c r="N13" i="1" s="1"/>
  <c r="K5" i="1"/>
  <c r="L5" i="1" s="1"/>
  <c r="M5" i="1" s="1"/>
  <c r="N5" i="1" s="1"/>
  <c r="K25" i="1"/>
  <c r="L25" i="1" s="1"/>
  <c r="M25" i="1" s="1"/>
  <c r="N25" i="1" s="1"/>
  <c r="K48" i="1"/>
  <c r="L48" i="1" s="1"/>
  <c r="M48" i="1" s="1"/>
  <c r="N48" i="1" s="1"/>
  <c r="K16" i="1"/>
  <c r="L16" i="1" s="1"/>
  <c r="M16" i="1" s="1"/>
  <c r="N16" i="1" s="1"/>
  <c r="K39" i="1"/>
  <c r="L39" i="1" s="1"/>
  <c r="M39" i="1" s="1"/>
  <c r="N39" i="1" s="1"/>
  <c r="K15" i="1"/>
  <c r="L15" i="1" s="1"/>
  <c r="M15" i="1" s="1"/>
  <c r="N15" i="1" s="1"/>
  <c r="K7" i="1"/>
  <c r="L7" i="1" s="1"/>
  <c r="M7" i="1" s="1"/>
  <c r="N7" i="1" s="1"/>
  <c r="K38" i="1"/>
  <c r="L38" i="1" s="1"/>
  <c r="M38" i="1" s="1"/>
  <c r="N38" i="1" s="1"/>
  <c r="K22" i="1"/>
  <c r="L22" i="1" s="1"/>
  <c r="M22" i="1" s="1"/>
  <c r="N22" i="1" s="1"/>
  <c r="K29" i="1"/>
  <c r="L29" i="1" s="1"/>
  <c r="M29" i="1" s="1"/>
  <c r="N29" i="1" s="1"/>
  <c r="K36" i="1"/>
  <c r="L36" i="1" s="1"/>
  <c r="M36" i="1" s="1"/>
  <c r="N36" i="1" s="1"/>
  <c r="K20" i="1"/>
  <c r="L20" i="1" s="1"/>
  <c r="M20" i="1" s="1"/>
  <c r="N20" i="1" s="1"/>
  <c r="K33" i="1"/>
  <c r="L33" i="1" s="1"/>
  <c r="M33" i="1" s="1"/>
  <c r="N33" i="1" s="1"/>
  <c r="K24" i="1"/>
  <c r="L24" i="1" s="1"/>
  <c r="M24" i="1" s="1"/>
  <c r="N24" i="1" s="1"/>
  <c r="K31" i="1"/>
  <c r="L31" i="1" s="1"/>
  <c r="M31" i="1" s="1"/>
  <c r="N31" i="1" s="1"/>
  <c r="K6" i="1"/>
  <c r="L6" i="1" s="1"/>
  <c r="M6" i="1" s="1"/>
  <c r="N6" i="1" s="1"/>
  <c r="K45" i="1"/>
  <c r="L45" i="1" s="1"/>
  <c r="M45" i="1" s="1"/>
  <c r="N45" i="1" s="1"/>
  <c r="K28" i="1"/>
  <c r="L28" i="1" s="1"/>
  <c r="M28" i="1" s="1"/>
  <c r="N28" i="1" s="1"/>
  <c r="K12" i="1"/>
  <c r="L12" i="1" s="1"/>
  <c r="M12" i="1" s="1"/>
  <c r="N12" i="1" s="1"/>
  <c r="K51" i="1"/>
  <c r="L51" i="1" s="1"/>
  <c r="M51" i="1" s="1"/>
  <c r="N51" i="1" s="1"/>
  <c r="K35" i="1"/>
  <c r="L35" i="1" s="1"/>
  <c r="M35" i="1" s="1"/>
  <c r="N35" i="1" s="1"/>
  <c r="K27" i="1"/>
  <c r="L27" i="1" s="1"/>
  <c r="M27" i="1" s="1"/>
  <c r="N27" i="1" s="1"/>
  <c r="K19" i="1"/>
  <c r="L19" i="1" s="1"/>
  <c r="M19" i="1" s="1"/>
  <c r="N19" i="1" s="1"/>
  <c r="K11" i="1"/>
  <c r="L11" i="1" s="1"/>
  <c r="M11" i="1" s="1"/>
  <c r="N11" i="1" s="1"/>
  <c r="K3" i="1"/>
  <c r="L3" i="1" s="1"/>
  <c r="M3" i="1" s="1"/>
  <c r="N3" i="1" s="1"/>
  <c r="K9" i="1"/>
  <c r="L9" i="1" s="1"/>
  <c r="M9" i="1" s="1"/>
  <c r="N9" i="1" s="1"/>
  <c r="K32" i="1"/>
  <c r="L32" i="1" s="1"/>
  <c r="M32" i="1" s="1"/>
  <c r="N32" i="1" s="1"/>
  <c r="K14" i="1"/>
  <c r="L14" i="1" s="1"/>
  <c r="M14" i="1" s="1"/>
  <c r="N14" i="1" s="1"/>
  <c r="K44" i="1"/>
  <c r="L44" i="1" s="1"/>
  <c r="M44" i="1" s="1"/>
  <c r="N44" i="1" s="1"/>
  <c r="K4" i="1"/>
  <c r="L4" i="1" s="1"/>
  <c r="M4" i="1" s="1"/>
  <c r="N4" i="1" s="1"/>
  <c r="K43" i="1"/>
  <c r="L43" i="1" s="1"/>
  <c r="M43" i="1" s="1"/>
  <c r="N43" i="1" s="1"/>
  <c r="K50" i="1"/>
  <c r="L50" i="1" s="1"/>
  <c r="M50" i="1" s="1"/>
  <c r="N50" i="1" s="1"/>
  <c r="K42" i="1"/>
  <c r="L42" i="1" s="1"/>
  <c r="M42" i="1" s="1"/>
  <c r="N42" i="1" s="1"/>
  <c r="K34" i="1"/>
  <c r="L34" i="1" s="1"/>
  <c r="M34" i="1" s="1"/>
  <c r="N34" i="1" s="1"/>
  <c r="K26" i="1"/>
  <c r="L26" i="1" s="1"/>
  <c r="M26" i="1" s="1"/>
  <c r="N26" i="1" s="1"/>
  <c r="K18" i="1"/>
  <c r="L18" i="1" s="1"/>
  <c r="M18" i="1" s="1"/>
  <c r="N18" i="1" s="1"/>
  <c r="K10" i="1"/>
  <c r="L10" i="1" s="1"/>
  <c r="M10" i="1" s="1"/>
  <c r="N10" i="1" s="1"/>
  <c r="K41" i="1"/>
  <c r="L41" i="1" s="1"/>
  <c r="M41" i="1" s="1"/>
  <c r="N41" i="1" s="1"/>
  <c r="K2" i="1"/>
  <c r="L2" i="1" s="1"/>
  <c r="S2" i="1" l="1"/>
  <c r="M2" i="1"/>
  <c r="L52" i="1"/>
  <c r="N2" i="1" l="1"/>
  <c r="AB2" i="1" s="1"/>
  <c r="U2" i="1"/>
  <c r="P2" i="1" l="1"/>
  <c r="R2" i="1" s="1"/>
  <c r="S3" i="1" s="1"/>
  <c r="Q2" i="1"/>
  <c r="T2" i="1"/>
  <c r="V2" i="1" l="1"/>
  <c r="W2" i="1"/>
  <c r="P3" i="1"/>
  <c r="U3" i="1"/>
  <c r="X2" i="1" l="1"/>
  <c r="R3" i="1"/>
  <c r="Q3" i="1" s="1"/>
  <c r="V3" i="1"/>
  <c r="T3" i="1"/>
  <c r="S4" i="1" l="1"/>
  <c r="W3" i="1"/>
  <c r="P4" i="1" l="1"/>
  <c r="R4" i="1" s="1"/>
  <c r="Q4" i="1" s="1"/>
  <c r="X3" i="1"/>
  <c r="U4" i="1"/>
  <c r="V4" i="1" l="1"/>
  <c r="S5" i="1"/>
  <c r="U5" i="1" s="1"/>
  <c r="T4" i="1"/>
  <c r="W4" i="1" l="1"/>
  <c r="X4" i="1" s="1"/>
  <c r="P5" i="1"/>
  <c r="R5" i="1" s="1"/>
  <c r="Q5" i="1" s="1"/>
  <c r="T5" i="1"/>
  <c r="V5" i="1" l="1"/>
  <c r="W5" i="1"/>
  <c r="S6" i="1"/>
  <c r="P6" i="1" s="1"/>
  <c r="R6" i="1" s="1"/>
  <c r="Q6" i="1" s="1"/>
  <c r="X5" i="1" l="1"/>
  <c r="U6" i="1"/>
  <c r="S7" i="1" s="1"/>
  <c r="P7" i="1" s="1"/>
  <c r="R7" i="1" l="1"/>
  <c r="Q7" i="1" s="1"/>
  <c r="V6" i="1"/>
  <c r="T6" i="1"/>
  <c r="U7" i="1"/>
  <c r="V7" i="1" s="1"/>
  <c r="W6" i="1" l="1"/>
  <c r="X6" i="1" s="1"/>
  <c r="S8" i="1"/>
  <c r="T7" i="1"/>
  <c r="W7" i="1" s="1"/>
  <c r="X7" i="1" s="1"/>
  <c r="U8" i="1" l="1"/>
  <c r="P8" i="1"/>
  <c r="R8" i="1" s="1"/>
  <c r="Q8" i="1" l="1"/>
  <c r="S9" i="1"/>
  <c r="T8" i="1"/>
  <c r="W8" i="1" s="1"/>
  <c r="V8" i="1"/>
  <c r="X8" i="1" l="1"/>
  <c r="U9" i="1"/>
  <c r="P9" i="1"/>
  <c r="V9" i="1" l="1"/>
  <c r="R9" i="1"/>
  <c r="Q9" i="1" s="1"/>
  <c r="T9" i="1"/>
  <c r="W9" i="1" s="1"/>
  <c r="X9" i="1" l="1"/>
  <c r="S10" i="1"/>
  <c r="P10" i="1" s="1"/>
  <c r="R10" i="1" s="1"/>
  <c r="U10" i="1" l="1"/>
  <c r="S11" i="1" s="1"/>
  <c r="Q10" i="1"/>
  <c r="V10" i="1" l="1"/>
  <c r="T10" i="1"/>
  <c r="W10" i="1" s="1"/>
  <c r="U11" i="1"/>
  <c r="P11" i="1"/>
  <c r="X10" i="1" l="1"/>
  <c r="R11" i="1"/>
  <c r="Q11" i="1" s="1"/>
  <c r="T11" i="1"/>
  <c r="W11" i="1" s="1"/>
  <c r="V11" i="1"/>
  <c r="X11" i="1" l="1"/>
  <c r="S12" i="1"/>
  <c r="P12" i="1" s="1"/>
  <c r="R12" i="1" s="1"/>
  <c r="U12" i="1" l="1"/>
  <c r="S13" i="1" s="1"/>
  <c r="Q12" i="1"/>
  <c r="V12" i="1" l="1"/>
  <c r="T12" i="1"/>
  <c r="W12" i="1" s="1"/>
  <c r="U13" i="1"/>
  <c r="P13" i="1"/>
  <c r="R13" i="1" s="1"/>
  <c r="X12" i="1" l="1"/>
  <c r="Q13" i="1"/>
  <c r="S14" i="1"/>
  <c r="T13" i="1"/>
  <c r="W13" i="1" s="1"/>
  <c r="V13" i="1"/>
  <c r="X13" i="1" l="1"/>
  <c r="U14" i="1"/>
  <c r="P14" i="1"/>
  <c r="R14" i="1" s="1"/>
  <c r="Q14" i="1" l="1"/>
  <c r="S15" i="1"/>
  <c r="T14" i="1"/>
  <c r="W14" i="1" s="1"/>
  <c r="V14" i="1"/>
  <c r="X14" i="1" l="1"/>
  <c r="U15" i="1"/>
  <c r="T15" i="1" s="1"/>
  <c r="W15" i="1" s="1"/>
  <c r="P15" i="1"/>
  <c r="R15" i="1" s="1"/>
  <c r="Q15" i="1" l="1"/>
  <c r="S16" i="1"/>
  <c r="V15" i="1"/>
  <c r="X15" i="1" s="1"/>
  <c r="P16" i="1" l="1"/>
  <c r="R16" i="1" s="1"/>
  <c r="U16" i="1"/>
  <c r="T16" i="1" s="1"/>
  <c r="W16" i="1" s="1"/>
  <c r="V16" i="1" l="1"/>
  <c r="X16" i="1" s="1"/>
  <c r="S17" i="1"/>
  <c r="Q16" i="1"/>
  <c r="U17" i="1" l="1"/>
  <c r="T17" i="1" s="1"/>
  <c r="W17" i="1" s="1"/>
  <c r="P17" i="1"/>
  <c r="R17" i="1" s="1"/>
  <c r="Q17" i="1" l="1"/>
  <c r="S18" i="1"/>
  <c r="V17" i="1"/>
  <c r="X17" i="1" s="1"/>
  <c r="P18" i="1" l="1"/>
  <c r="R18" i="1" s="1"/>
  <c r="Q18" i="1" s="1"/>
  <c r="U18" i="1"/>
  <c r="V18" i="1" l="1"/>
  <c r="S19" i="1"/>
  <c r="T18" i="1"/>
  <c r="W18" i="1" s="1"/>
  <c r="X18" i="1" l="1"/>
  <c r="P19" i="1"/>
  <c r="R19" i="1" s="1"/>
  <c r="U19" i="1"/>
  <c r="T19" i="1" s="1"/>
  <c r="W19" i="1" s="1"/>
  <c r="V19" i="1" l="1"/>
  <c r="X19" i="1" s="1"/>
  <c r="Q19" i="1"/>
  <c r="S20" i="1"/>
  <c r="U20" i="1" l="1"/>
  <c r="T20" i="1" s="1"/>
  <c r="W20" i="1" s="1"/>
  <c r="P20" i="1"/>
  <c r="R20" i="1" s="1"/>
  <c r="S21" i="1" l="1"/>
  <c r="Q20" i="1"/>
  <c r="V20" i="1"/>
  <c r="X20" i="1" s="1"/>
  <c r="U21" i="1" l="1"/>
  <c r="T21" i="1" s="1"/>
  <c r="W21" i="1" s="1"/>
  <c r="P21" i="1"/>
  <c r="R21" i="1" s="1"/>
  <c r="V21" i="1" l="1"/>
  <c r="X21" i="1" s="1"/>
  <c r="Q21" i="1"/>
  <c r="S22" i="1"/>
  <c r="P22" i="1" l="1"/>
  <c r="R22" i="1" s="1"/>
  <c r="U22" i="1"/>
  <c r="T22" i="1" s="1"/>
  <c r="W22" i="1" s="1"/>
  <c r="V22" i="1" l="1"/>
  <c r="X22" i="1" s="1"/>
  <c r="Q22" i="1"/>
  <c r="S23" i="1"/>
  <c r="P23" i="1" l="1"/>
  <c r="R23" i="1" s="1"/>
  <c r="U23" i="1"/>
  <c r="T23" i="1" s="1"/>
  <c r="W23" i="1" s="1"/>
  <c r="V23" i="1" l="1"/>
  <c r="X23" i="1" s="1"/>
  <c r="Q23" i="1"/>
  <c r="S24" i="1"/>
  <c r="P24" i="1" l="1"/>
  <c r="R24" i="1" s="1"/>
  <c r="U24" i="1"/>
  <c r="T24" i="1" s="1"/>
  <c r="W24" i="1" s="1"/>
  <c r="V24" i="1" l="1"/>
  <c r="X24" i="1" s="1"/>
  <c r="Q24" i="1"/>
  <c r="S25" i="1"/>
  <c r="U25" i="1" l="1"/>
  <c r="T25" i="1" s="1"/>
  <c r="W25" i="1" s="1"/>
  <c r="P25" i="1"/>
  <c r="R25" i="1" s="1"/>
  <c r="V25" i="1" l="1"/>
  <c r="X25" i="1" s="1"/>
  <c r="Q25" i="1"/>
  <c r="S26" i="1"/>
  <c r="U26" i="1" l="1"/>
  <c r="T26" i="1" s="1"/>
  <c r="W26" i="1" s="1"/>
  <c r="P26" i="1"/>
  <c r="R26" i="1" s="1"/>
  <c r="Q26" i="1" l="1"/>
  <c r="S27" i="1"/>
  <c r="V26" i="1"/>
  <c r="X26" i="1" s="1"/>
  <c r="P27" i="1" l="1"/>
  <c r="R27" i="1" s="1"/>
  <c r="U27" i="1"/>
  <c r="T27" i="1" s="1"/>
  <c r="W27" i="1" s="1"/>
  <c r="V27" i="1" l="1"/>
  <c r="X27" i="1" s="1"/>
  <c r="Q27" i="1"/>
  <c r="S28" i="1"/>
  <c r="U28" i="1" l="1"/>
  <c r="T28" i="1" s="1"/>
  <c r="W28" i="1" s="1"/>
  <c r="P28" i="1"/>
  <c r="R28" i="1" s="1"/>
  <c r="V28" i="1" l="1"/>
  <c r="X28" i="1" s="1"/>
  <c r="Q28" i="1"/>
  <c r="S29" i="1"/>
  <c r="U29" i="1" l="1"/>
  <c r="T29" i="1" s="1"/>
  <c r="W29" i="1" s="1"/>
  <c r="P29" i="1"/>
  <c r="R29" i="1" s="1"/>
  <c r="V29" i="1" l="1"/>
  <c r="X29" i="1" s="1"/>
  <c r="Q29" i="1"/>
  <c r="S30" i="1"/>
  <c r="P30" i="1" l="1"/>
  <c r="R30" i="1" s="1"/>
  <c r="U30" i="1"/>
  <c r="T30" i="1" s="1"/>
  <c r="W30" i="1" s="1"/>
  <c r="V30" i="1" l="1"/>
  <c r="X30" i="1" s="1"/>
  <c r="S31" i="1"/>
  <c r="Q30" i="1"/>
  <c r="P31" i="1" l="1"/>
  <c r="R31" i="1" s="1"/>
  <c r="U31" i="1"/>
  <c r="T31" i="1" s="1"/>
  <c r="W31" i="1" s="1"/>
  <c r="V31" i="1" l="1"/>
  <c r="X31" i="1" s="1"/>
  <c r="Q31" i="1"/>
  <c r="S32" i="1"/>
  <c r="U32" i="1" l="1"/>
  <c r="T32" i="1" s="1"/>
  <c r="W32" i="1" s="1"/>
  <c r="P32" i="1"/>
  <c r="R32" i="1" s="1"/>
  <c r="V32" i="1" l="1"/>
  <c r="X32" i="1" s="1"/>
  <c r="Q32" i="1"/>
  <c r="S33" i="1"/>
  <c r="U33" i="1" l="1"/>
  <c r="T33" i="1" s="1"/>
  <c r="W33" i="1" s="1"/>
  <c r="P33" i="1"/>
  <c r="R33" i="1" s="1"/>
  <c r="V33" i="1" l="1"/>
  <c r="X33" i="1" s="1"/>
  <c r="Q33" i="1"/>
  <c r="S34" i="1"/>
  <c r="U34" i="1" l="1"/>
  <c r="T34" i="1" s="1"/>
  <c r="W34" i="1" s="1"/>
  <c r="P34" i="1"/>
  <c r="R34" i="1" s="1"/>
  <c r="Q34" i="1" l="1"/>
  <c r="S35" i="1"/>
  <c r="V34" i="1"/>
  <c r="X34" i="1" s="1"/>
  <c r="U35" i="1" l="1"/>
  <c r="T35" i="1" s="1"/>
  <c r="W35" i="1" s="1"/>
  <c r="P35" i="1"/>
  <c r="R35" i="1" s="1"/>
  <c r="Q35" i="1" l="1"/>
  <c r="S36" i="1"/>
  <c r="V35" i="1"/>
  <c r="X35" i="1" s="1"/>
  <c r="P36" i="1" l="1"/>
  <c r="R36" i="1" s="1"/>
  <c r="U36" i="1"/>
  <c r="T36" i="1" s="1"/>
  <c r="W36" i="1" s="1"/>
  <c r="V36" i="1" l="1"/>
  <c r="X36" i="1" s="1"/>
  <c r="Q36" i="1"/>
  <c r="S37" i="1"/>
  <c r="P37" i="1" l="1"/>
  <c r="R37" i="1" s="1"/>
  <c r="Q37" i="1" s="1"/>
  <c r="U37" i="1"/>
  <c r="V37" i="1" l="1"/>
  <c r="S38" i="1"/>
  <c r="T37" i="1"/>
  <c r="W37" i="1" s="1"/>
  <c r="X37" i="1" l="1"/>
  <c r="P38" i="1"/>
  <c r="R38" i="1" s="1"/>
  <c r="U38" i="1"/>
  <c r="T38" i="1" s="1"/>
  <c r="W38" i="1" s="1"/>
  <c r="V38" i="1" l="1"/>
  <c r="X38" i="1" s="1"/>
  <c r="Q38" i="1"/>
  <c r="S39" i="1"/>
  <c r="U39" i="1" l="1"/>
  <c r="T39" i="1" s="1"/>
  <c r="W39" i="1" s="1"/>
  <c r="P39" i="1"/>
  <c r="R39" i="1" s="1"/>
  <c r="V39" i="1" l="1"/>
  <c r="X39" i="1" s="1"/>
  <c r="Q39" i="1"/>
  <c r="S40" i="1"/>
  <c r="U40" i="1" l="1"/>
  <c r="T40" i="1" s="1"/>
  <c r="W40" i="1" s="1"/>
  <c r="P40" i="1"/>
  <c r="R40" i="1" s="1"/>
  <c r="V40" i="1" l="1"/>
  <c r="X40" i="1" s="1"/>
  <c r="Q40" i="1"/>
  <c r="S41" i="1"/>
  <c r="P41" i="1" l="1"/>
  <c r="R41" i="1" s="1"/>
  <c r="U41" i="1"/>
  <c r="T41" i="1" s="1"/>
  <c r="W41" i="1" s="1"/>
  <c r="V41" i="1" l="1"/>
  <c r="X41" i="1" s="1"/>
  <c r="Q41" i="1"/>
  <c r="S42" i="1"/>
  <c r="P42" i="1" l="1"/>
  <c r="R42" i="1" s="1"/>
  <c r="U42" i="1"/>
  <c r="T42" i="1" s="1"/>
  <c r="W42" i="1" s="1"/>
  <c r="V42" i="1" l="1"/>
  <c r="X42" i="1" s="1"/>
  <c r="Q42" i="1"/>
  <c r="S43" i="1"/>
  <c r="U43" i="1" l="1"/>
  <c r="T43" i="1" s="1"/>
  <c r="W43" i="1" s="1"/>
  <c r="P43" i="1"/>
  <c r="R43" i="1" s="1"/>
  <c r="V43" i="1" l="1"/>
  <c r="X43" i="1" s="1"/>
  <c r="Q43" i="1"/>
  <c r="S44" i="1"/>
  <c r="U44" i="1" l="1"/>
  <c r="T44" i="1" s="1"/>
  <c r="W44" i="1" s="1"/>
  <c r="P44" i="1"/>
  <c r="R44" i="1" s="1"/>
  <c r="V44" i="1" l="1"/>
  <c r="X44" i="1" s="1"/>
  <c r="Q44" i="1"/>
  <c r="S45" i="1"/>
  <c r="U45" i="1" l="1"/>
  <c r="T45" i="1" s="1"/>
  <c r="W45" i="1" s="1"/>
  <c r="P45" i="1"/>
  <c r="R45" i="1" s="1"/>
  <c r="Q45" i="1" l="1"/>
  <c r="S46" i="1"/>
  <c r="V45" i="1"/>
  <c r="X45" i="1" s="1"/>
  <c r="U46" i="1" l="1"/>
  <c r="T46" i="1" s="1"/>
  <c r="W46" i="1" s="1"/>
  <c r="P46" i="1"/>
  <c r="R46" i="1" s="1"/>
  <c r="Q46" i="1" l="1"/>
  <c r="S47" i="1"/>
  <c r="V46" i="1"/>
  <c r="X46" i="1" s="1"/>
  <c r="P47" i="1" l="1"/>
  <c r="R47" i="1" s="1"/>
  <c r="U47" i="1"/>
  <c r="T47" i="1" s="1"/>
  <c r="W47" i="1" s="1"/>
  <c r="V47" i="1" l="1"/>
  <c r="X47" i="1" s="1"/>
  <c r="Q47" i="1"/>
  <c r="S48" i="1"/>
  <c r="U48" i="1" l="1"/>
  <c r="T48" i="1" s="1"/>
  <c r="W48" i="1" s="1"/>
  <c r="P48" i="1"/>
  <c r="R48" i="1" s="1"/>
  <c r="V48" i="1" l="1"/>
  <c r="X48" i="1" s="1"/>
  <c r="Q48" i="1"/>
  <c r="S49" i="1"/>
  <c r="U49" i="1" l="1"/>
  <c r="T49" i="1" s="1"/>
  <c r="W49" i="1" s="1"/>
  <c r="P49" i="1"/>
  <c r="R49" i="1" s="1"/>
  <c r="V49" i="1" l="1"/>
  <c r="X49" i="1" s="1"/>
  <c r="Q49" i="1"/>
  <c r="S50" i="1"/>
  <c r="U50" i="1" l="1"/>
  <c r="T50" i="1" s="1"/>
  <c r="W50" i="1" s="1"/>
  <c r="P50" i="1"/>
  <c r="R50" i="1" s="1"/>
  <c r="Q50" i="1" l="1"/>
  <c r="S51" i="1"/>
  <c r="V50" i="1"/>
  <c r="X50" i="1" s="1"/>
  <c r="AE24" i="1" l="1"/>
  <c r="AA24" i="1"/>
  <c r="U51" i="1"/>
  <c r="AA28" i="1" s="1"/>
  <c r="P51" i="1"/>
  <c r="AE26" i="1" l="1"/>
  <c r="T51" i="1"/>
  <c r="AA27" i="1" s="1"/>
  <c r="AE36" i="1" s="1"/>
  <c r="AA26" i="1"/>
  <c r="R51" i="1"/>
  <c r="Q51" i="1" s="1"/>
  <c r="AA25" i="1"/>
  <c r="AE25" i="1" s="1"/>
  <c r="V51" i="1"/>
  <c r="AE37" i="1" l="1"/>
  <c r="W51" i="1"/>
  <c r="X51" i="1" l="1"/>
  <c r="AE27" i="1"/>
  <c r="AE28" i="1" l="1"/>
  <c r="AE38" i="1" s="1"/>
  <c r="X52" i="1"/>
</calcChain>
</file>

<file path=xl/sharedStrings.xml><?xml version="1.0" encoding="utf-8"?>
<sst xmlns="http://schemas.openxmlformats.org/spreadsheetml/2006/main" count="58" uniqueCount="52">
  <si>
    <t>b</t>
  </si>
  <si>
    <t>Ano</t>
  </si>
  <si>
    <t>Semana</t>
  </si>
  <si>
    <t>Procura</t>
  </si>
  <si>
    <t>Desvio-Padrao</t>
  </si>
  <si>
    <t>l</t>
  </si>
  <si>
    <t>DDPP</t>
  </si>
  <si>
    <t>Parametros a determinar</t>
  </si>
  <si>
    <t>C3</t>
  </si>
  <si>
    <t>C2</t>
  </si>
  <si>
    <t>C1</t>
  </si>
  <si>
    <t>t</t>
  </si>
  <si>
    <t>S</t>
  </si>
  <si>
    <t>i</t>
  </si>
  <si>
    <t>s</t>
  </si>
  <si>
    <t>Quantidade a Encomendar</t>
  </si>
  <si>
    <t>Prazo de entrega</t>
  </si>
  <si>
    <t>Prob</t>
  </si>
  <si>
    <t>Acumulada</t>
  </si>
  <si>
    <t>Estatística (50 semanas)</t>
  </si>
  <si>
    <t>Stock médio</t>
  </si>
  <si>
    <t>Nº Encomendas</t>
  </si>
  <si>
    <t>NºQuebras</t>
  </si>
  <si>
    <t>Qt Vendida</t>
  </si>
  <si>
    <t>Lucro Venda</t>
  </si>
  <si>
    <t>Lucro</t>
  </si>
  <si>
    <t>v</t>
  </si>
  <si>
    <t>Nivel Stock</t>
  </si>
  <si>
    <t>Nivel Stock Inicial</t>
  </si>
  <si>
    <t>Período de Encomenda?</t>
  </si>
  <si>
    <t>Procura Normalizada</t>
  </si>
  <si>
    <t>Media:</t>
  </si>
  <si>
    <t>Quebras</t>
  </si>
  <si>
    <t>QEE</t>
  </si>
  <si>
    <t>Custo Total</t>
  </si>
  <si>
    <t>Venda Total</t>
  </si>
  <si>
    <t>Encomenda</t>
  </si>
  <si>
    <t>Qt Quebrada Total</t>
  </si>
  <si>
    <t>Parâmetro</t>
  </si>
  <si>
    <t>Valor</t>
  </si>
  <si>
    <t>Custo Armazenamento Total</t>
  </si>
  <si>
    <t>Custo Encomenda Total</t>
  </si>
  <si>
    <t>Custo Quebra Total</t>
  </si>
  <si>
    <t>Lucro Final</t>
  </si>
  <si>
    <t>Media do Lucro</t>
  </si>
  <si>
    <t>Media de Vendas</t>
  </si>
  <si>
    <t>Media de Quebras</t>
  </si>
  <si>
    <t>TMP Vendas</t>
  </si>
  <si>
    <t>TMP Quebras</t>
  </si>
  <si>
    <t>TMP LUCRO</t>
  </si>
  <si>
    <t>ITERATION</t>
  </si>
  <si>
    <t>Simulação(6 iterações)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</si>
</sst>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0" xfId="0" applyFont="1"/>
    <xf numFmtId="0" fontId="0" fillId="9" borderId="1" xfId="0" applyFill="1" applyBorder="1" applyAlignment="1">
      <alignment horizontal="center"/>
    </xf>
    <xf numFmtId="9" fontId="0" fillId="9" borderId="1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9" fontId="0" fillId="9" borderId="5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0" fontId="0" fillId="6" borderId="14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6" borderId="2" xfId="0" quotePrefix="1" applyFill="1" applyBorder="1" applyAlignment="1">
      <alignment horizontal="right"/>
    </xf>
    <xf numFmtId="0" fontId="0" fillId="6" borderId="5" xfId="0" quotePrefix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6" borderId="5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center"/>
    </xf>
    <xf numFmtId="0" fontId="0" fillId="11" borderId="2" xfId="0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11" borderId="5" xfId="0" applyFill="1" applyBorder="1" applyAlignment="1">
      <alignment horizontal="right"/>
    </xf>
    <xf numFmtId="0" fontId="0" fillId="11" borderId="4" xfId="0" applyFill="1" applyBorder="1" applyAlignment="1">
      <alignment horizontal="right"/>
    </xf>
    <xf numFmtId="0" fontId="0" fillId="4" borderId="6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4" fillId="12" borderId="5" xfId="0" applyFont="1" applyFill="1" applyBorder="1" applyAlignment="1">
      <alignment horizontal="left"/>
    </xf>
    <xf numFmtId="0" fontId="4" fillId="12" borderId="5" xfId="0" applyFont="1" applyFill="1" applyBorder="1" applyAlignment="1">
      <alignment horizontal="right"/>
    </xf>
    <xf numFmtId="0" fontId="4" fillId="12" borderId="0" xfId="0" applyFont="1" applyFill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right"/>
    </xf>
    <xf numFmtId="0" fontId="3" fillId="12" borderId="6" xfId="0" applyFont="1" applyFill="1" applyBorder="1"/>
    <xf numFmtId="0" fontId="2" fillId="12" borderId="7" xfId="0" applyFont="1" applyFill="1" applyBorder="1"/>
    <xf numFmtId="0" fontId="2" fillId="8" borderId="8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1" xfId="0" applyFill="1" applyBorder="1"/>
    <xf numFmtId="0" fontId="0" fillId="14" borderId="5" xfId="0" applyFill="1" applyBorder="1"/>
    <xf numFmtId="0" fontId="0" fillId="15" borderId="9" xfId="0" applyFill="1" applyBorder="1"/>
    <xf numFmtId="0" fontId="2" fillId="15" borderId="8" xfId="0" applyFont="1" applyFill="1" applyBorder="1"/>
    <xf numFmtId="0" fontId="2" fillId="14" borderId="5" xfId="0" applyFont="1" applyFill="1" applyBorder="1"/>
    <xf numFmtId="0" fontId="2" fillId="14" borderId="1" xfId="0" applyFont="1" applyFill="1" applyBorder="1"/>
    <xf numFmtId="0" fontId="0" fillId="13" borderId="1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65C5-5162-414D-A010-B7D090883BD9}">
  <dimension ref="A1:AF52"/>
  <sheetViews>
    <sheetView tabSelected="1" topLeftCell="O1" zoomScale="71" zoomScaleNormal="71" workbookViewId="0">
      <selection activeCell="AB2" sqref="AB2"/>
    </sheetView>
  </sheetViews>
  <sheetFormatPr defaultRowHeight="15" x14ac:dyDescent="0.25"/>
  <cols>
    <col min="1" max="1" width="11.5703125" customWidth="1"/>
    <col min="2" max="2" width="10.42578125" customWidth="1"/>
    <col min="3" max="3" width="11.85546875" customWidth="1"/>
    <col min="4" max="4" width="15" customWidth="1"/>
    <col min="11" max="11" width="14.5703125" customWidth="1"/>
    <col min="12" max="12" width="19.42578125" customWidth="1"/>
    <col min="13" max="13" width="18.85546875" customWidth="1"/>
    <col min="14" max="14" width="20" customWidth="1"/>
    <col min="15" max="15" width="31.5703125" customWidth="1"/>
    <col min="16" max="16" width="22.7109375" customWidth="1"/>
    <col min="17" max="17" width="31.42578125" customWidth="1"/>
    <col min="18" max="19" width="19.28515625" customWidth="1"/>
    <col min="20" max="20" width="17" customWidth="1"/>
    <col min="21" max="21" width="17.140625" customWidth="1"/>
    <col min="22" max="22" width="25.28515625" customWidth="1"/>
    <col min="23" max="23" width="19.85546875" customWidth="1"/>
    <col min="24" max="24" width="24.28515625" customWidth="1"/>
    <col min="26" max="26" width="24.85546875" customWidth="1"/>
    <col min="27" max="27" width="23.7109375" customWidth="1"/>
    <col min="28" max="28" width="14" customWidth="1"/>
    <col min="29" max="29" width="14.85546875" customWidth="1"/>
    <col min="30" max="30" width="14.42578125" customWidth="1"/>
    <col min="31" max="31" width="17.140625" customWidth="1"/>
    <col min="32" max="32" width="23.85546875" customWidth="1"/>
  </cols>
  <sheetData>
    <row r="1" spans="1:32" ht="15.75" customHeight="1" thickBot="1" x14ac:dyDescent="0.3">
      <c r="A1" s="2" t="s">
        <v>1</v>
      </c>
      <c r="B1" s="2" t="s">
        <v>2</v>
      </c>
      <c r="C1" s="2" t="s">
        <v>3</v>
      </c>
      <c r="D1" s="4" t="s">
        <v>4</v>
      </c>
      <c r="E1" s="3"/>
      <c r="F1" s="3"/>
      <c r="G1" s="3"/>
      <c r="H1" s="28" t="s">
        <v>1</v>
      </c>
      <c r="I1" s="40" t="s">
        <v>2</v>
      </c>
      <c r="J1" s="40" t="s">
        <v>3</v>
      </c>
      <c r="K1" s="26" t="s">
        <v>4</v>
      </c>
      <c r="L1" s="40" t="s">
        <v>30</v>
      </c>
      <c r="M1" s="36" t="s">
        <v>33</v>
      </c>
      <c r="N1" s="41" t="s">
        <v>14</v>
      </c>
      <c r="O1" s="40" t="s">
        <v>29</v>
      </c>
      <c r="P1" s="40" t="s">
        <v>36</v>
      </c>
      <c r="Q1" s="40" t="s">
        <v>15</v>
      </c>
      <c r="R1" s="40" t="s">
        <v>16</v>
      </c>
      <c r="S1" s="40" t="s">
        <v>27</v>
      </c>
      <c r="T1" s="40" t="s">
        <v>23</v>
      </c>
      <c r="U1" s="40" t="s">
        <v>32</v>
      </c>
      <c r="V1" s="46" t="s">
        <v>34</v>
      </c>
      <c r="W1" s="46" t="s">
        <v>35</v>
      </c>
      <c r="X1" s="27" t="s">
        <v>25</v>
      </c>
      <c r="AA1" s="59" t="s">
        <v>7</v>
      </c>
      <c r="AB1" s="60"/>
    </row>
    <row r="2" spans="1:32" x14ac:dyDescent="0.25">
      <c r="A2" s="2">
        <v>2018</v>
      </c>
      <c r="B2" s="2">
        <v>1</v>
      </c>
      <c r="C2" s="2">
        <v>419.1</v>
      </c>
      <c r="D2" s="2">
        <f>0.087*C2</f>
        <v>36.4617</v>
      </c>
      <c r="E2" s="3"/>
      <c r="F2" s="3"/>
      <c r="G2" s="3"/>
      <c r="H2" s="29">
        <v>2019</v>
      </c>
      <c r="I2" s="31">
        <v>1</v>
      </c>
      <c r="J2" s="31">
        <f t="shared" ref="J2:J33" si="0">C2*(1+0.038)</f>
        <v>435.02580000000006</v>
      </c>
      <c r="K2" s="32">
        <f t="shared" ref="K2:K33" si="1">0.087*J2</f>
        <v>37.847244600000003</v>
      </c>
      <c r="L2" s="33">
        <f t="shared" ref="L2:L51" ca="1" si="2">NORMINV(RAND(),J2,K2)</f>
        <v>439.04368047999736</v>
      </c>
      <c r="M2" s="37">
        <f t="shared" ref="M2:M33" ca="1" si="3">SQRT(QUOTIENT(2*L2*$AB$11,$AB$9))</f>
        <v>1508.2562779580928</v>
      </c>
      <c r="N2" s="34">
        <f ca="1">$AB$3-M2</f>
        <v>891.74372204190718</v>
      </c>
      <c r="O2" s="34" t="b">
        <f t="shared" ref="O2:O33" si="4">IF(MOD(I2,2)=0, TRUE, FALSE)</f>
        <v>0</v>
      </c>
      <c r="P2" s="34" t="b">
        <f t="shared" ref="P2:P33" ca="1" si="5">IF(AND(O2=TRUE,S2&lt;N2),TRUE,FALSE)</f>
        <v>0</v>
      </c>
      <c r="Q2" s="34">
        <f ca="1">$AB$3-N2</f>
        <v>1508.2562779580928</v>
      </c>
      <c r="R2" s="42">
        <f ca="1" xml:space="preserve"> IF(AND(P2=TRUE,O2=TRUE),MATCH(RAND(),$AD$18:$AD$19),0)</f>
        <v>0</v>
      </c>
      <c r="S2" s="34">
        <f ca="1">AB3-L2</f>
        <v>1960.9563195200026</v>
      </c>
      <c r="T2" s="44">
        <f ca="1">IF(U2&gt;0,0,L2)</f>
        <v>439.04368047999736</v>
      </c>
      <c r="U2" s="34">
        <f ca="1">IF(S2-L2 &lt; 0, ABS(S2-L2),0)</f>
        <v>0</v>
      </c>
      <c r="V2" s="47">
        <f t="shared" ref="V2:V33" ca="1" si="6">(S2*$AB$9)+(U2*$AB$10)+(IF(P2=TRUE, $AB$11,0))</f>
        <v>681.23622540124882</v>
      </c>
      <c r="W2" s="47">
        <f t="shared" ref="W2:W33" ca="1" si="7">T2*$AB$13</f>
        <v>52685.241657599683</v>
      </c>
      <c r="X2" s="48">
        <f ca="1">W2-V2</f>
        <v>52004.005432198435</v>
      </c>
      <c r="AA2" s="62" t="s">
        <v>14</v>
      </c>
      <c r="AB2" s="71">
        <f ca="1">INT(MEDIAN(N2:N51))</f>
        <v>934</v>
      </c>
    </row>
    <row r="3" spans="1:32" x14ac:dyDescent="0.25">
      <c r="A3" s="2"/>
      <c r="B3" s="2">
        <v>2</v>
      </c>
      <c r="C3" s="2">
        <v>419.1</v>
      </c>
      <c r="D3" s="2">
        <f t="shared" ref="D3:D51" si="8">0.087*C3</f>
        <v>36.4617</v>
      </c>
      <c r="E3" s="3"/>
      <c r="F3" s="3"/>
      <c r="G3" s="3"/>
      <c r="H3" s="29"/>
      <c r="I3" s="29">
        <v>2</v>
      </c>
      <c r="J3" s="29">
        <f t="shared" si="0"/>
        <v>435.02580000000006</v>
      </c>
      <c r="K3" s="9">
        <f t="shared" si="1"/>
        <v>37.847244600000003</v>
      </c>
      <c r="L3" s="34">
        <f t="shared" ca="1" si="2"/>
        <v>320.64447207561238</v>
      </c>
      <c r="M3" s="38">
        <f t="shared" ca="1" si="3"/>
        <v>1288.9414261323127</v>
      </c>
      <c r="N3" s="34">
        <f t="shared" ref="N3:N33" ca="1" si="9">$AB$3-M3</f>
        <v>1111.0585738676873</v>
      </c>
      <c r="O3" s="34" t="b">
        <f t="shared" si="4"/>
        <v>1</v>
      </c>
      <c r="P3" s="34" t="b">
        <f t="shared" ca="1" si="5"/>
        <v>0</v>
      </c>
      <c r="Q3" s="34">
        <f t="shared" ref="Q3:Q34" ca="1" si="10">IF(R3=1,$AB$3-N3, IF(R2=1, $AB$3-N2, 0))</f>
        <v>0</v>
      </c>
      <c r="R3" s="42">
        <f t="shared" ref="R3:R34" ca="1" si="11" xml:space="preserve"> IF(R2&gt;0, R2-1, IF(P3=TRUE,MATCH(RAND(),$AD$18:$AD$19),0))</f>
        <v>0</v>
      </c>
      <c r="S3" s="34">
        <f ca="1">IF(R2=1,S2-L2+M2+U2,S2-L2+U2)</f>
        <v>1521.9126390400052</v>
      </c>
      <c r="T3" s="44">
        <f t="shared" ref="T3:T51" ca="1" si="12">IF(U3&gt;0,0,L3)</f>
        <v>320.64447207561238</v>
      </c>
      <c r="U3" s="34">
        <f t="shared" ref="U3:U51" ca="1" si="13">IF(S3-L3 &lt; 0, ABS(S3-L3),0)</f>
        <v>0</v>
      </c>
      <c r="V3" s="47">
        <f t="shared" ca="1" si="6"/>
        <v>528.71245080249776</v>
      </c>
      <c r="W3" s="47">
        <f t="shared" ca="1" si="7"/>
        <v>38477.336649073484</v>
      </c>
      <c r="X3" s="48">
        <f t="shared" ref="X3:X51" ca="1" si="14">W3-V3</f>
        <v>37948.624198270983</v>
      </c>
      <c r="AA3" s="63" t="s">
        <v>12</v>
      </c>
      <c r="AB3" s="70">
        <v>2400</v>
      </c>
    </row>
    <row r="4" spans="1:32" x14ac:dyDescent="0.25">
      <c r="A4" s="2"/>
      <c r="B4" s="2">
        <v>3</v>
      </c>
      <c r="C4" s="2">
        <v>419.1</v>
      </c>
      <c r="D4" s="2">
        <f t="shared" si="8"/>
        <v>36.4617</v>
      </c>
      <c r="E4" s="3"/>
      <c r="F4" s="3"/>
      <c r="G4" s="3"/>
      <c r="H4" s="29"/>
      <c r="I4" s="29">
        <v>3</v>
      </c>
      <c r="J4" s="29">
        <f t="shared" si="0"/>
        <v>435.02580000000006</v>
      </c>
      <c r="K4" s="9">
        <f t="shared" si="1"/>
        <v>37.847244600000003</v>
      </c>
      <c r="L4" s="34">
        <f t="shared" ca="1" si="2"/>
        <v>418.44964497967737</v>
      </c>
      <c r="M4" s="38">
        <f t="shared" ca="1" si="3"/>
        <v>1472.4578092427639</v>
      </c>
      <c r="N4" s="34">
        <f t="shared" ca="1" si="9"/>
        <v>927.54219075723609</v>
      </c>
      <c r="O4" s="34" t="b">
        <f t="shared" si="4"/>
        <v>0</v>
      </c>
      <c r="P4" s="34" t="b">
        <f t="shared" ca="1" si="5"/>
        <v>0</v>
      </c>
      <c r="Q4" s="34">
        <f t="shared" ca="1" si="10"/>
        <v>0</v>
      </c>
      <c r="R4" s="42">
        <f t="shared" ca="1" si="11"/>
        <v>0</v>
      </c>
      <c r="S4" s="34">
        <f t="shared" ref="S4:S51" ca="1" si="15">IF(R3=1,S3-L3+M3+U3,S3-L3+U3)</f>
        <v>1201.2681669643928</v>
      </c>
      <c r="T4" s="44">
        <f t="shared" ca="1" si="12"/>
        <v>418.44964497967737</v>
      </c>
      <c r="U4" s="34">
        <f t="shared" ca="1" si="13"/>
        <v>0</v>
      </c>
      <c r="V4" s="47">
        <f t="shared" ca="1" si="6"/>
        <v>417.32056120343003</v>
      </c>
      <c r="W4" s="47">
        <f t="shared" ca="1" si="7"/>
        <v>50213.957397561288</v>
      </c>
      <c r="X4" s="48">
        <f t="shared" ca="1" si="14"/>
        <v>49796.636836357859</v>
      </c>
    </row>
    <row r="5" spans="1:32" ht="15.75" thickBot="1" x14ac:dyDescent="0.3">
      <c r="A5" s="2"/>
      <c r="B5" s="2">
        <v>4</v>
      </c>
      <c r="C5" s="2">
        <v>419.1</v>
      </c>
      <c r="D5" s="2">
        <f t="shared" si="8"/>
        <v>36.4617</v>
      </c>
      <c r="E5" s="3"/>
      <c r="F5" s="3"/>
      <c r="G5" s="3"/>
      <c r="H5" s="29"/>
      <c r="I5" s="29">
        <v>4</v>
      </c>
      <c r="J5" s="29">
        <f t="shared" si="0"/>
        <v>435.02580000000006</v>
      </c>
      <c r="K5" s="9">
        <f t="shared" si="1"/>
        <v>37.847244600000003</v>
      </c>
      <c r="L5" s="34">
        <f t="shared" ca="1" si="2"/>
        <v>352.57790475972047</v>
      </c>
      <c r="M5" s="38">
        <f t="shared" ca="1" si="3"/>
        <v>1351.6020124282147</v>
      </c>
      <c r="N5" s="34">
        <f t="shared" ca="1" si="9"/>
        <v>1048.3979875717853</v>
      </c>
      <c r="O5" s="34" t="b">
        <f t="shared" si="4"/>
        <v>1</v>
      </c>
      <c r="P5" s="34" t="b">
        <f t="shared" ca="1" si="5"/>
        <v>1</v>
      </c>
      <c r="Q5" s="34">
        <f t="shared" ca="1" si="10"/>
        <v>1351.6020124282147</v>
      </c>
      <c r="R5" s="42">
        <f t="shared" ca="1" si="11"/>
        <v>1</v>
      </c>
      <c r="S5" s="34">
        <f t="shared" ca="1" si="15"/>
        <v>782.8185219847154</v>
      </c>
      <c r="T5" s="44">
        <f t="shared" ca="1" si="12"/>
        <v>352.57790475972047</v>
      </c>
      <c r="U5" s="34">
        <f t="shared" ca="1" si="13"/>
        <v>0</v>
      </c>
      <c r="V5" s="47">
        <f t="shared" ca="1" si="6"/>
        <v>1171.9511545374901</v>
      </c>
      <c r="W5" s="47">
        <f t="shared" ca="1" si="7"/>
        <v>42309.348571166454</v>
      </c>
      <c r="X5" s="48">
        <f t="shared" ca="1" si="14"/>
        <v>41137.397416628963</v>
      </c>
    </row>
    <row r="6" spans="1:32" ht="15.75" thickBot="1" x14ac:dyDescent="0.3">
      <c r="A6" s="2"/>
      <c r="B6" s="2">
        <v>5</v>
      </c>
      <c r="C6" s="2">
        <v>419.1</v>
      </c>
      <c r="D6" s="2">
        <f t="shared" si="8"/>
        <v>36.4617</v>
      </c>
      <c r="E6" s="3"/>
      <c r="F6" s="3"/>
      <c r="G6" s="3"/>
      <c r="H6" s="29"/>
      <c r="I6" s="29">
        <v>5</v>
      </c>
      <c r="J6" s="29">
        <f t="shared" si="0"/>
        <v>435.02580000000006</v>
      </c>
      <c r="K6" s="9">
        <f t="shared" si="1"/>
        <v>37.847244600000003</v>
      </c>
      <c r="L6" s="34">
        <f t="shared" ca="1" si="2"/>
        <v>431.16549779827056</v>
      </c>
      <c r="M6" s="38">
        <f t="shared" ca="1" si="3"/>
        <v>1494.6631727583308</v>
      </c>
      <c r="N6" s="34">
        <f t="shared" ca="1" si="9"/>
        <v>905.3368272416692</v>
      </c>
      <c r="O6" s="34" t="b">
        <f t="shared" si="4"/>
        <v>0</v>
      </c>
      <c r="P6" s="34" t="b">
        <f t="shared" ca="1" si="5"/>
        <v>0</v>
      </c>
      <c r="Q6" s="34">
        <f t="shared" ca="1" si="10"/>
        <v>1351.6020124282147</v>
      </c>
      <c r="R6" s="42">
        <f t="shared" ca="1" si="11"/>
        <v>0</v>
      </c>
      <c r="S6" s="34">
        <f t="shared" ca="1" si="15"/>
        <v>1781.8426296532098</v>
      </c>
      <c r="T6" s="44">
        <f t="shared" ca="1" si="12"/>
        <v>431.16549779827056</v>
      </c>
      <c r="U6" s="34">
        <f t="shared" ca="1" si="13"/>
        <v>0</v>
      </c>
      <c r="V6" s="47">
        <f t="shared" ca="1" si="6"/>
        <v>619.01212954152504</v>
      </c>
      <c r="W6" s="47">
        <f t="shared" ca="1" si="7"/>
        <v>51739.859735792466</v>
      </c>
      <c r="X6" s="48">
        <f t="shared" ca="1" si="14"/>
        <v>51120.847606250943</v>
      </c>
      <c r="AA6" s="61" t="s">
        <v>38</v>
      </c>
      <c r="AB6" s="13" t="s">
        <v>39</v>
      </c>
    </row>
    <row r="7" spans="1:32" x14ac:dyDescent="0.25">
      <c r="A7" s="2"/>
      <c r="B7" s="2">
        <v>6</v>
      </c>
      <c r="C7" s="2">
        <v>419.1</v>
      </c>
      <c r="D7" s="2">
        <f t="shared" si="8"/>
        <v>36.4617</v>
      </c>
      <c r="E7" s="3"/>
      <c r="F7" s="3"/>
      <c r="G7" s="3"/>
      <c r="H7" s="29"/>
      <c r="I7" s="29">
        <v>6</v>
      </c>
      <c r="J7" s="29">
        <f t="shared" si="0"/>
        <v>435.02580000000006</v>
      </c>
      <c r="K7" s="9">
        <f t="shared" si="1"/>
        <v>37.847244600000003</v>
      </c>
      <c r="L7" s="34">
        <f t="shared" ca="1" si="2"/>
        <v>429.80796338947903</v>
      </c>
      <c r="M7" s="38">
        <f t="shared" ca="1" si="3"/>
        <v>1492.3082791434215</v>
      </c>
      <c r="N7" s="34">
        <f t="shared" ca="1" si="9"/>
        <v>907.69172085657851</v>
      </c>
      <c r="O7" s="34" t="b">
        <f t="shared" si="4"/>
        <v>1</v>
      </c>
      <c r="P7" s="34" t="b">
        <f t="shared" ca="1" si="5"/>
        <v>0</v>
      </c>
      <c r="Q7" s="34">
        <f t="shared" ca="1" si="10"/>
        <v>0</v>
      </c>
      <c r="R7" s="42">
        <f t="shared" ca="1" si="11"/>
        <v>0</v>
      </c>
      <c r="S7" s="34">
        <f t="shared" ca="1" si="15"/>
        <v>1350.6771318549393</v>
      </c>
      <c r="T7" s="44">
        <f t="shared" ca="1" si="12"/>
        <v>429.80796338947903</v>
      </c>
      <c r="U7" s="34">
        <f t="shared" ca="1" si="13"/>
        <v>0</v>
      </c>
      <c r="V7" s="47">
        <f t="shared" ca="1" si="6"/>
        <v>469.22523560640587</v>
      </c>
      <c r="W7" s="47">
        <f t="shared" ca="1" si="7"/>
        <v>51576.95560673748</v>
      </c>
      <c r="X7" s="48">
        <f t="shared" ca="1" si="14"/>
        <v>51107.730371131074</v>
      </c>
      <c r="AA7" s="14" t="s">
        <v>0</v>
      </c>
      <c r="AB7" s="12">
        <v>96.5</v>
      </c>
    </row>
    <row r="8" spans="1:32" x14ac:dyDescent="0.25">
      <c r="A8" s="2"/>
      <c r="B8" s="2">
        <v>7</v>
      </c>
      <c r="C8" s="2">
        <v>419.1</v>
      </c>
      <c r="D8" s="2">
        <f t="shared" si="8"/>
        <v>36.4617</v>
      </c>
      <c r="E8" s="3"/>
      <c r="F8" s="3"/>
      <c r="G8" s="3"/>
      <c r="H8" s="29"/>
      <c r="I8" s="29">
        <v>7</v>
      </c>
      <c r="J8" s="29">
        <f t="shared" si="0"/>
        <v>435.02580000000006</v>
      </c>
      <c r="K8" s="9">
        <f t="shared" si="1"/>
        <v>37.847244600000003</v>
      </c>
      <c r="L8" s="34">
        <f t="shared" ca="1" si="2"/>
        <v>470.11250205970936</v>
      </c>
      <c r="M8" s="38">
        <f t="shared" ca="1" si="3"/>
        <v>1560.7100947965962</v>
      </c>
      <c r="N8" s="34">
        <f t="shared" ca="1" si="9"/>
        <v>839.2899052034038</v>
      </c>
      <c r="O8" s="34" t="b">
        <f t="shared" si="4"/>
        <v>0</v>
      </c>
      <c r="P8" s="34" t="b">
        <f t="shared" ca="1" si="5"/>
        <v>0</v>
      </c>
      <c r="Q8" s="34">
        <f t="shared" ca="1" si="10"/>
        <v>0</v>
      </c>
      <c r="R8" s="42">
        <f t="shared" ca="1" si="11"/>
        <v>0</v>
      </c>
      <c r="S8" s="34">
        <f t="shared" ca="1" si="15"/>
        <v>920.86916846546023</v>
      </c>
      <c r="T8" s="44">
        <f t="shared" ca="1" si="12"/>
        <v>470.11250205970936</v>
      </c>
      <c r="U8" s="34">
        <f t="shared" ca="1" si="13"/>
        <v>0</v>
      </c>
      <c r="V8" s="47">
        <f t="shared" ca="1" si="6"/>
        <v>319.90994912490089</v>
      </c>
      <c r="W8" s="47">
        <f t="shared" ca="1" si="7"/>
        <v>56413.500247165124</v>
      </c>
      <c r="X8" s="48">
        <f t="shared" ca="1" si="14"/>
        <v>56093.590298040224</v>
      </c>
      <c r="AA8" s="15" t="s">
        <v>13</v>
      </c>
      <c r="AB8" s="11">
        <v>0.18</v>
      </c>
    </row>
    <row r="9" spans="1:32" x14ac:dyDescent="0.25">
      <c r="A9" s="2"/>
      <c r="B9" s="2">
        <v>8</v>
      </c>
      <c r="C9" s="2">
        <v>419.1</v>
      </c>
      <c r="D9" s="2">
        <f t="shared" si="8"/>
        <v>36.4617</v>
      </c>
      <c r="E9" s="3"/>
      <c r="F9" s="3"/>
      <c r="G9" s="3"/>
      <c r="H9" s="29"/>
      <c r="I9" s="29">
        <v>8</v>
      </c>
      <c r="J9" s="29">
        <f t="shared" si="0"/>
        <v>435.02580000000006</v>
      </c>
      <c r="K9" s="9">
        <f t="shared" si="1"/>
        <v>37.847244600000003</v>
      </c>
      <c r="L9" s="34">
        <f t="shared" ca="1" si="2"/>
        <v>467.20231149221138</v>
      </c>
      <c r="M9" s="38">
        <f t="shared" ca="1" si="3"/>
        <v>1555.8717813496073</v>
      </c>
      <c r="N9" s="34">
        <f t="shared" ca="1" si="9"/>
        <v>844.12821865039268</v>
      </c>
      <c r="O9" s="34" t="b">
        <f t="shared" si="4"/>
        <v>1</v>
      </c>
      <c r="P9" s="34" t="b">
        <f t="shared" ca="1" si="5"/>
        <v>1</v>
      </c>
      <c r="Q9" s="34">
        <f t="shared" ca="1" si="10"/>
        <v>1555.8717813496073</v>
      </c>
      <c r="R9" s="42">
        <f t="shared" ca="1" si="11"/>
        <v>1</v>
      </c>
      <c r="S9" s="34">
        <f t="shared" ca="1" si="15"/>
        <v>450.75666640575088</v>
      </c>
      <c r="T9" s="44">
        <f t="shared" ca="1" si="12"/>
        <v>0</v>
      </c>
      <c r="U9" s="34">
        <f t="shared" ca="1" si="13"/>
        <v>16.445645086460502</v>
      </c>
      <c r="V9" s="47">
        <f ca="1">(S9*$AB$9)+(U9*$AB$10)+(IF(P9=TRUE, $AB$11,0))</f>
        <v>1517.0709283302519</v>
      </c>
      <c r="W9" s="47">
        <f t="shared" ca="1" si="7"/>
        <v>0</v>
      </c>
      <c r="X9" s="48">
        <f t="shared" ca="1" si="14"/>
        <v>-1517.0709283302519</v>
      </c>
      <c r="AA9" s="15" t="s">
        <v>10</v>
      </c>
      <c r="AB9" s="11">
        <f>(AB8/50)*AB7</f>
        <v>0.34739999999999999</v>
      </c>
    </row>
    <row r="10" spans="1:32" x14ac:dyDescent="0.25">
      <c r="A10" s="2"/>
      <c r="B10" s="2">
        <v>9</v>
      </c>
      <c r="C10" s="2">
        <v>419.1</v>
      </c>
      <c r="D10" s="2">
        <f t="shared" si="8"/>
        <v>36.4617</v>
      </c>
      <c r="E10" s="3"/>
      <c r="F10" s="3"/>
      <c r="G10" s="3"/>
      <c r="H10" s="29"/>
      <c r="I10" s="29">
        <v>9</v>
      </c>
      <c r="J10" s="29">
        <f t="shared" si="0"/>
        <v>435.02580000000006</v>
      </c>
      <c r="K10" s="9">
        <f t="shared" si="1"/>
        <v>37.847244600000003</v>
      </c>
      <c r="L10" s="34">
        <f t="shared" ca="1" si="2"/>
        <v>394.23809485967047</v>
      </c>
      <c r="M10" s="38">
        <f t="shared" ca="1" si="3"/>
        <v>1429.2249647973547</v>
      </c>
      <c r="N10" s="34">
        <f t="shared" ca="1" si="9"/>
        <v>970.77503520264531</v>
      </c>
      <c r="O10" s="34" t="b">
        <f t="shared" si="4"/>
        <v>0</v>
      </c>
      <c r="P10" s="34" t="b">
        <f t="shared" ca="1" si="5"/>
        <v>0</v>
      </c>
      <c r="Q10" s="34">
        <f t="shared" ca="1" si="10"/>
        <v>1555.8717813496073</v>
      </c>
      <c r="R10" s="42">
        <f t="shared" ca="1" si="11"/>
        <v>0</v>
      </c>
      <c r="S10" s="34">
        <f t="shared" ca="1" si="15"/>
        <v>1555.8717813496073</v>
      </c>
      <c r="T10" s="44">
        <f t="shared" ca="1" si="12"/>
        <v>394.23809485967047</v>
      </c>
      <c r="U10" s="34">
        <f t="shared" ca="1" si="13"/>
        <v>0</v>
      </c>
      <c r="V10" s="47">
        <f t="shared" ca="1" si="6"/>
        <v>540.50985684085356</v>
      </c>
      <c r="W10" s="47">
        <f t="shared" ca="1" si="7"/>
        <v>47308.571383160459</v>
      </c>
      <c r="X10" s="48">
        <f t="shared" ca="1" si="14"/>
        <v>46768.061526319609</v>
      </c>
      <c r="AA10" s="15" t="s">
        <v>9</v>
      </c>
      <c r="AB10" s="11">
        <f>20+2*4</f>
        <v>28</v>
      </c>
    </row>
    <row r="11" spans="1:32" x14ac:dyDescent="0.25">
      <c r="A11" s="2"/>
      <c r="B11" s="2">
        <v>10</v>
      </c>
      <c r="C11" s="2">
        <v>419.1</v>
      </c>
      <c r="D11" s="2">
        <f t="shared" si="8"/>
        <v>36.4617</v>
      </c>
      <c r="E11" s="3"/>
      <c r="F11" s="3"/>
      <c r="G11" s="3"/>
      <c r="H11" s="29"/>
      <c r="I11" s="29">
        <v>10</v>
      </c>
      <c r="J11" s="29">
        <f t="shared" si="0"/>
        <v>435.02580000000006</v>
      </c>
      <c r="K11" s="9">
        <f t="shared" si="1"/>
        <v>37.847244600000003</v>
      </c>
      <c r="L11" s="34">
        <f t="shared" ca="1" si="2"/>
        <v>444.20917539078596</v>
      </c>
      <c r="M11" s="38">
        <f t="shared" ca="1" si="3"/>
        <v>1517.1028310566162</v>
      </c>
      <c r="N11" s="34">
        <f t="shared" ca="1" si="9"/>
        <v>882.8971689433838</v>
      </c>
      <c r="O11" s="34" t="b">
        <f t="shared" si="4"/>
        <v>1</v>
      </c>
      <c r="P11" s="34" t="b">
        <f t="shared" ca="1" si="5"/>
        <v>0</v>
      </c>
      <c r="Q11" s="34">
        <f t="shared" ca="1" si="10"/>
        <v>0</v>
      </c>
      <c r="R11" s="42">
        <f t="shared" ca="1" si="11"/>
        <v>0</v>
      </c>
      <c r="S11" s="34">
        <f t="shared" ca="1" si="15"/>
        <v>1161.6336864899367</v>
      </c>
      <c r="T11" s="44">
        <f t="shared" ca="1" si="12"/>
        <v>444.20917539078596</v>
      </c>
      <c r="U11" s="34">
        <f t="shared" ca="1" si="13"/>
        <v>0</v>
      </c>
      <c r="V11" s="47">
        <f t="shared" ca="1" si="6"/>
        <v>403.55154268660402</v>
      </c>
      <c r="W11" s="47">
        <f t="shared" ca="1" si="7"/>
        <v>53305.101046894313</v>
      </c>
      <c r="X11" s="48">
        <f t="shared" ca="1" si="14"/>
        <v>52901.549504207709</v>
      </c>
      <c r="AA11" s="15" t="s">
        <v>8</v>
      </c>
      <c r="AB11" s="11">
        <v>900</v>
      </c>
    </row>
    <row r="12" spans="1:32" x14ac:dyDescent="0.25">
      <c r="A12" s="2"/>
      <c r="B12" s="2">
        <v>11</v>
      </c>
      <c r="C12" s="2">
        <v>419.1</v>
      </c>
      <c r="D12" s="2">
        <f t="shared" si="8"/>
        <v>36.4617</v>
      </c>
      <c r="E12" s="3"/>
      <c r="F12" s="3"/>
      <c r="G12" s="3"/>
      <c r="H12" s="29"/>
      <c r="I12" s="29">
        <v>11</v>
      </c>
      <c r="J12" s="29">
        <f t="shared" si="0"/>
        <v>435.02580000000006</v>
      </c>
      <c r="K12" s="9">
        <f t="shared" si="1"/>
        <v>37.847244600000003</v>
      </c>
      <c r="L12" s="34">
        <f t="shared" ca="1" si="2"/>
        <v>382.72350785722296</v>
      </c>
      <c r="M12" s="38">
        <f t="shared" ca="1" si="3"/>
        <v>1408.198494531222</v>
      </c>
      <c r="N12" s="34">
        <f t="shared" ca="1" si="9"/>
        <v>991.80150546877803</v>
      </c>
      <c r="O12" s="34" t="b">
        <f t="shared" si="4"/>
        <v>0</v>
      </c>
      <c r="P12" s="34" t="b">
        <f t="shared" ca="1" si="5"/>
        <v>0</v>
      </c>
      <c r="Q12" s="34">
        <f t="shared" ca="1" si="10"/>
        <v>0</v>
      </c>
      <c r="R12" s="42">
        <f t="shared" ca="1" si="11"/>
        <v>0</v>
      </c>
      <c r="S12" s="34">
        <f t="shared" ca="1" si="15"/>
        <v>717.42451109915078</v>
      </c>
      <c r="T12" s="44">
        <f t="shared" ca="1" si="12"/>
        <v>382.72350785722296</v>
      </c>
      <c r="U12" s="34">
        <f t="shared" ca="1" si="13"/>
        <v>0</v>
      </c>
      <c r="V12" s="47">
        <f t="shared" ca="1" si="6"/>
        <v>249.23327515584498</v>
      </c>
      <c r="W12" s="47">
        <f t="shared" ca="1" si="7"/>
        <v>45926.820942866754</v>
      </c>
      <c r="X12" s="48">
        <f t="shared" ca="1" si="14"/>
        <v>45677.587667710912</v>
      </c>
      <c r="AA12" s="15" t="s">
        <v>11</v>
      </c>
      <c r="AB12" s="11">
        <v>2</v>
      </c>
    </row>
    <row r="13" spans="1:32" x14ac:dyDescent="0.25">
      <c r="A13" s="2"/>
      <c r="B13" s="2">
        <v>12</v>
      </c>
      <c r="C13" s="2">
        <v>419.1</v>
      </c>
      <c r="D13" s="2">
        <f t="shared" si="8"/>
        <v>36.4617</v>
      </c>
      <c r="E13" s="3"/>
      <c r="F13" s="3"/>
      <c r="G13" s="3"/>
      <c r="H13" s="29"/>
      <c r="I13" s="29">
        <v>12</v>
      </c>
      <c r="J13" s="29">
        <f t="shared" si="0"/>
        <v>435.02580000000006</v>
      </c>
      <c r="K13" s="9">
        <f t="shared" si="1"/>
        <v>37.847244600000003</v>
      </c>
      <c r="L13" s="34">
        <f t="shared" ca="1" si="2"/>
        <v>482.54031467867708</v>
      </c>
      <c r="M13" s="38">
        <f t="shared" ca="1" si="3"/>
        <v>1581.2046040914502</v>
      </c>
      <c r="N13" s="34">
        <f t="shared" ca="1" si="9"/>
        <v>818.79539590854984</v>
      </c>
      <c r="O13" s="34" t="b">
        <f t="shared" si="4"/>
        <v>1</v>
      </c>
      <c r="P13" s="34" t="b">
        <f t="shared" ca="1" si="5"/>
        <v>1</v>
      </c>
      <c r="Q13" s="34">
        <f t="shared" ca="1" si="10"/>
        <v>0</v>
      </c>
      <c r="R13" s="42">
        <f t="shared" ca="1" si="11"/>
        <v>2</v>
      </c>
      <c r="S13" s="34">
        <f t="shared" ca="1" si="15"/>
        <v>334.70100324192782</v>
      </c>
      <c r="T13" s="44">
        <f t="shared" ca="1" si="12"/>
        <v>0</v>
      </c>
      <c r="U13" s="34">
        <f t="shared" ca="1" si="13"/>
        <v>147.83931143674926</v>
      </c>
      <c r="V13" s="47">
        <f t="shared" ca="1" si="6"/>
        <v>5155.7758487552246</v>
      </c>
      <c r="W13" s="47">
        <f t="shared" ca="1" si="7"/>
        <v>0</v>
      </c>
      <c r="X13" s="48">
        <f t="shared" ca="1" si="14"/>
        <v>-5155.7758487552246</v>
      </c>
      <c r="AA13" s="15" t="s">
        <v>26</v>
      </c>
      <c r="AB13" s="11">
        <v>120</v>
      </c>
    </row>
    <row r="14" spans="1:32" x14ac:dyDescent="0.25">
      <c r="A14" s="2"/>
      <c r="B14" s="2">
        <v>13</v>
      </c>
      <c r="C14" s="2">
        <v>419.1</v>
      </c>
      <c r="D14" s="2">
        <f t="shared" si="8"/>
        <v>36.4617</v>
      </c>
      <c r="E14" s="3"/>
      <c r="F14" s="3"/>
      <c r="G14" s="3"/>
      <c r="H14" s="29"/>
      <c r="I14" s="29">
        <v>13</v>
      </c>
      <c r="J14" s="29">
        <f t="shared" si="0"/>
        <v>435.02580000000006</v>
      </c>
      <c r="K14" s="9">
        <f t="shared" si="1"/>
        <v>37.847244600000003</v>
      </c>
      <c r="L14" s="34">
        <f t="shared" ca="1" si="2"/>
        <v>469.05953081739614</v>
      </c>
      <c r="M14" s="38">
        <f t="shared" ca="1" si="3"/>
        <v>1558.9611925894756</v>
      </c>
      <c r="N14" s="34">
        <f t="shared" ca="1" si="9"/>
        <v>841.03880741052444</v>
      </c>
      <c r="O14" s="34" t="b">
        <f t="shared" si="4"/>
        <v>0</v>
      </c>
      <c r="P14" s="34" t="b">
        <f t="shared" ca="1" si="5"/>
        <v>0</v>
      </c>
      <c r="Q14" s="34">
        <f t="shared" ca="1" si="10"/>
        <v>1558.9611925894756</v>
      </c>
      <c r="R14" s="42">
        <f t="shared" ca="1" si="11"/>
        <v>1</v>
      </c>
      <c r="S14" s="34">
        <f t="shared" ca="1" si="15"/>
        <v>0</v>
      </c>
      <c r="T14" s="44">
        <f t="shared" ca="1" si="12"/>
        <v>0</v>
      </c>
      <c r="U14" s="34">
        <f t="shared" ca="1" si="13"/>
        <v>469.05953081739614</v>
      </c>
      <c r="V14" s="47">
        <f t="shared" ca="1" si="6"/>
        <v>13133.666862887092</v>
      </c>
      <c r="W14" s="47">
        <f t="shared" ca="1" si="7"/>
        <v>0</v>
      </c>
      <c r="X14" s="48">
        <f t="shared" ca="1" si="14"/>
        <v>-13133.666862887092</v>
      </c>
      <c r="AA14" s="15" t="s">
        <v>28</v>
      </c>
      <c r="AB14" s="11">
        <v>1000</v>
      </c>
    </row>
    <row r="15" spans="1:32" x14ac:dyDescent="0.25">
      <c r="A15" s="2"/>
      <c r="B15" s="2">
        <v>14</v>
      </c>
      <c r="C15" s="2">
        <v>419.1</v>
      </c>
      <c r="D15" s="2">
        <f t="shared" si="8"/>
        <v>36.4617</v>
      </c>
      <c r="E15" s="3"/>
      <c r="F15" s="3"/>
      <c r="G15" s="3"/>
      <c r="H15" s="29"/>
      <c r="I15" s="29">
        <v>14</v>
      </c>
      <c r="J15" s="29">
        <f t="shared" si="0"/>
        <v>435.02580000000006</v>
      </c>
      <c r="K15" s="9">
        <f t="shared" si="1"/>
        <v>37.847244600000003</v>
      </c>
      <c r="L15" s="34">
        <f t="shared" ca="1" si="2"/>
        <v>451.08818099430817</v>
      </c>
      <c r="M15" s="38">
        <f t="shared" ca="1" si="3"/>
        <v>1528.8047618973458</v>
      </c>
      <c r="N15" s="34">
        <f t="shared" ca="1" si="9"/>
        <v>871.19523810265423</v>
      </c>
      <c r="O15" s="34" t="b">
        <f t="shared" si="4"/>
        <v>1</v>
      </c>
      <c r="P15" s="34" t="b">
        <f t="shared" ca="1" si="5"/>
        <v>0</v>
      </c>
      <c r="Q15" s="34">
        <f t="shared" ca="1" si="10"/>
        <v>1558.9611925894756</v>
      </c>
      <c r="R15" s="42">
        <f t="shared" ca="1" si="11"/>
        <v>0</v>
      </c>
      <c r="S15" s="34">
        <f t="shared" ca="1" si="15"/>
        <v>1558.9611925894756</v>
      </c>
      <c r="T15" s="44">
        <f t="shared" ca="1" si="12"/>
        <v>451.08818099430817</v>
      </c>
      <c r="U15" s="34">
        <f t="shared" ca="1" si="13"/>
        <v>0</v>
      </c>
      <c r="V15" s="47">
        <f t="shared" ca="1" si="6"/>
        <v>541.58311830558375</v>
      </c>
      <c r="W15" s="47">
        <f t="shared" ca="1" si="7"/>
        <v>54130.581719316979</v>
      </c>
      <c r="X15" s="48">
        <f t="shared" ca="1" si="14"/>
        <v>53588.998601011393</v>
      </c>
      <c r="AF15" s="16"/>
    </row>
    <row r="16" spans="1:32" ht="15.75" thickBot="1" x14ac:dyDescent="0.3">
      <c r="A16" s="2"/>
      <c r="B16" s="2">
        <v>15</v>
      </c>
      <c r="C16" s="2">
        <v>419.1</v>
      </c>
      <c r="D16" s="2">
        <f t="shared" si="8"/>
        <v>36.4617</v>
      </c>
      <c r="E16" s="3"/>
      <c r="F16" s="3"/>
      <c r="G16" s="3"/>
      <c r="H16" s="29"/>
      <c r="I16" s="29">
        <v>15</v>
      </c>
      <c r="J16" s="29">
        <f t="shared" si="0"/>
        <v>435.02580000000006</v>
      </c>
      <c r="K16" s="9">
        <f t="shared" si="1"/>
        <v>37.847244600000003</v>
      </c>
      <c r="L16" s="34">
        <f t="shared" ca="1" si="2"/>
        <v>514.76739325927349</v>
      </c>
      <c r="M16" s="38">
        <f t="shared" ca="1" si="3"/>
        <v>1633.15277913611</v>
      </c>
      <c r="N16" s="34">
        <f t="shared" ca="1" si="9"/>
        <v>766.84722086389002</v>
      </c>
      <c r="O16" s="34" t="b">
        <f t="shared" si="4"/>
        <v>0</v>
      </c>
      <c r="P16" s="34" t="b">
        <f t="shared" ca="1" si="5"/>
        <v>0</v>
      </c>
      <c r="Q16" s="34">
        <f t="shared" ca="1" si="10"/>
        <v>0</v>
      </c>
      <c r="R16" s="42">
        <f t="shared" ca="1" si="11"/>
        <v>0</v>
      </c>
      <c r="S16" s="34">
        <f t="shared" ca="1" si="15"/>
        <v>1107.8730115951673</v>
      </c>
      <c r="T16" s="44">
        <f t="shared" ca="1" si="12"/>
        <v>514.76739325927349</v>
      </c>
      <c r="U16" s="34">
        <f t="shared" ca="1" si="13"/>
        <v>0</v>
      </c>
      <c r="V16" s="47">
        <f ca="1">(S16*$AB$9)+(U16*$AB$10)+(IF(P16=TRUE, $AB$11,0))</f>
        <v>384.87508422816114</v>
      </c>
      <c r="W16" s="47">
        <f t="shared" ca="1" si="7"/>
        <v>61772.08719111282</v>
      </c>
      <c r="X16" s="48">
        <f t="shared" ca="1" si="14"/>
        <v>61387.212106884661</v>
      </c>
      <c r="AD16" s="1"/>
      <c r="AE16" s="1"/>
    </row>
    <row r="17" spans="1:31" ht="15.75" thickBot="1" x14ac:dyDescent="0.3">
      <c r="A17" s="2"/>
      <c r="B17" s="2">
        <v>16</v>
      </c>
      <c r="C17" s="2">
        <v>419.1</v>
      </c>
      <c r="D17" s="2">
        <f t="shared" si="8"/>
        <v>36.4617</v>
      </c>
      <c r="E17" s="3"/>
      <c r="F17" s="3"/>
      <c r="G17" s="3"/>
      <c r="H17" s="29"/>
      <c r="I17" s="29">
        <v>16</v>
      </c>
      <c r="J17" s="29">
        <f t="shared" si="0"/>
        <v>435.02580000000006</v>
      </c>
      <c r="K17" s="9">
        <f t="shared" si="1"/>
        <v>37.847244600000003</v>
      </c>
      <c r="L17" s="34">
        <f t="shared" ca="1" si="2"/>
        <v>453.74737626866818</v>
      </c>
      <c r="M17" s="38">
        <f t="shared" ca="1" si="3"/>
        <v>1533.304275086977</v>
      </c>
      <c r="N17" s="34">
        <f t="shared" ca="1" si="9"/>
        <v>866.69572491302301</v>
      </c>
      <c r="O17" s="34" t="b">
        <f t="shared" si="4"/>
        <v>1</v>
      </c>
      <c r="P17" s="34" t="b">
        <f t="shared" ca="1" si="5"/>
        <v>1</v>
      </c>
      <c r="Q17" s="34">
        <f t="shared" ca="1" si="10"/>
        <v>1533.304275086977</v>
      </c>
      <c r="R17" s="42">
        <f t="shared" ca="1" si="11"/>
        <v>1</v>
      </c>
      <c r="S17" s="34">
        <f t="shared" ca="1" si="15"/>
        <v>593.10561833589384</v>
      </c>
      <c r="T17" s="44">
        <f t="shared" ca="1" si="12"/>
        <v>453.74737626866818</v>
      </c>
      <c r="U17" s="34">
        <f t="shared" ca="1" si="13"/>
        <v>0</v>
      </c>
      <c r="V17" s="47">
        <f t="shared" ca="1" si="6"/>
        <v>1106.0448918098896</v>
      </c>
      <c r="W17" s="47">
        <f t="shared" ca="1" si="7"/>
        <v>54449.685152240185</v>
      </c>
      <c r="X17" s="48">
        <f t="shared" ca="1" si="14"/>
        <v>53343.640260430293</v>
      </c>
      <c r="AA17" s="23" t="s">
        <v>5</v>
      </c>
      <c r="AB17" s="21" t="s">
        <v>6</v>
      </c>
      <c r="AC17" s="21" t="s">
        <v>17</v>
      </c>
      <c r="AD17" s="22" t="s">
        <v>18</v>
      </c>
    </row>
    <row r="18" spans="1:31" x14ac:dyDescent="0.25">
      <c r="A18" s="2"/>
      <c r="B18" s="2">
        <v>17</v>
      </c>
      <c r="C18" s="2">
        <v>554.20000000000005</v>
      </c>
      <c r="D18" s="2">
        <f t="shared" si="8"/>
        <v>48.215400000000002</v>
      </c>
      <c r="E18" s="3"/>
      <c r="F18" s="3"/>
      <c r="G18" s="3"/>
      <c r="H18" s="29"/>
      <c r="I18" s="29">
        <v>17</v>
      </c>
      <c r="J18" s="29">
        <f t="shared" si="0"/>
        <v>575.25960000000009</v>
      </c>
      <c r="K18" s="9">
        <f t="shared" si="1"/>
        <v>50.047585200000007</v>
      </c>
      <c r="L18" s="34">
        <f t="shared" ca="1" si="2"/>
        <v>543.25518387638704</v>
      </c>
      <c r="M18" s="38">
        <f t="shared" ca="1" si="3"/>
        <v>1677.7344843568067</v>
      </c>
      <c r="N18" s="34">
        <f t="shared" ca="1" si="9"/>
        <v>722.26551564319334</v>
      </c>
      <c r="O18" s="34" t="b">
        <f t="shared" si="4"/>
        <v>0</v>
      </c>
      <c r="P18" s="34" t="b">
        <f t="shared" ca="1" si="5"/>
        <v>0</v>
      </c>
      <c r="Q18" s="34">
        <f t="shared" ca="1" si="10"/>
        <v>1533.304275086977</v>
      </c>
      <c r="R18" s="42">
        <f t="shared" ca="1" si="11"/>
        <v>0</v>
      </c>
      <c r="S18" s="34">
        <f t="shared" ca="1" si="15"/>
        <v>1672.6625171542028</v>
      </c>
      <c r="T18" s="44">
        <f t="shared" ca="1" si="12"/>
        <v>543.25518387638704</v>
      </c>
      <c r="U18" s="34">
        <f t="shared" ca="1" si="13"/>
        <v>0</v>
      </c>
      <c r="V18" s="47">
        <f t="shared" ca="1" si="6"/>
        <v>581.08295845937005</v>
      </c>
      <c r="W18" s="47">
        <f t="shared" ca="1" si="7"/>
        <v>65190.622065166448</v>
      </c>
      <c r="X18" s="48">
        <f t="shared" ca="1" si="14"/>
        <v>64609.539106707081</v>
      </c>
      <c r="AA18" s="24">
        <v>1</v>
      </c>
      <c r="AB18" s="19"/>
      <c r="AC18" s="20">
        <v>0.6</v>
      </c>
      <c r="AD18" s="19">
        <v>0</v>
      </c>
    </row>
    <row r="19" spans="1:31" x14ac:dyDescent="0.25">
      <c r="A19" s="2"/>
      <c r="B19" s="2">
        <v>18</v>
      </c>
      <c r="C19" s="2">
        <v>554.20000000000005</v>
      </c>
      <c r="D19" s="2">
        <f t="shared" si="8"/>
        <v>48.215400000000002</v>
      </c>
      <c r="E19" s="3"/>
      <c r="F19" s="3"/>
      <c r="G19" s="3"/>
      <c r="H19" s="29"/>
      <c r="I19" s="29">
        <v>18</v>
      </c>
      <c r="J19" s="29">
        <f t="shared" si="0"/>
        <v>575.25960000000009</v>
      </c>
      <c r="K19" s="9">
        <f t="shared" si="1"/>
        <v>50.047585200000007</v>
      </c>
      <c r="L19" s="34">
        <f t="shared" ca="1" si="2"/>
        <v>582.47422287930374</v>
      </c>
      <c r="M19" s="38">
        <f t="shared" ca="1" si="3"/>
        <v>1737.2394768712804</v>
      </c>
      <c r="N19" s="34">
        <f t="shared" ca="1" si="9"/>
        <v>662.76052312871957</v>
      </c>
      <c r="O19" s="34" t="b">
        <f t="shared" si="4"/>
        <v>1</v>
      </c>
      <c r="P19" s="34" t="b">
        <f t="shared" ca="1" si="5"/>
        <v>0</v>
      </c>
      <c r="Q19" s="34">
        <f t="shared" ca="1" si="10"/>
        <v>0</v>
      </c>
      <c r="R19" s="42">
        <f t="shared" ca="1" si="11"/>
        <v>0</v>
      </c>
      <c r="S19" s="34">
        <f t="shared" ca="1" si="15"/>
        <v>1129.4073332778157</v>
      </c>
      <c r="T19" s="44">
        <f t="shared" ca="1" si="12"/>
        <v>582.47422287930374</v>
      </c>
      <c r="U19" s="34">
        <f t="shared" ca="1" si="13"/>
        <v>0</v>
      </c>
      <c r="V19" s="47">
        <f t="shared" ca="1" si="6"/>
        <v>392.35610758071317</v>
      </c>
      <c r="W19" s="47">
        <f t="shared" ca="1" si="7"/>
        <v>69896.906745516448</v>
      </c>
      <c r="X19" s="48">
        <f t="shared" ca="1" si="14"/>
        <v>69504.550637935739</v>
      </c>
      <c r="AA19" s="25">
        <v>2</v>
      </c>
      <c r="AB19" s="17"/>
      <c r="AC19" s="18">
        <v>0.4</v>
      </c>
      <c r="AD19" s="17">
        <v>0.6</v>
      </c>
    </row>
    <row r="20" spans="1:31" x14ac:dyDescent="0.25">
      <c r="A20" s="2"/>
      <c r="B20" s="2">
        <v>19</v>
      </c>
      <c r="C20" s="2">
        <v>554.20000000000005</v>
      </c>
      <c r="D20" s="2">
        <f t="shared" si="8"/>
        <v>48.215400000000002</v>
      </c>
      <c r="E20" s="3"/>
      <c r="F20" s="3"/>
      <c r="G20" s="3"/>
      <c r="H20" s="29"/>
      <c r="I20" s="29">
        <v>19</v>
      </c>
      <c r="J20" s="29">
        <f t="shared" si="0"/>
        <v>575.25960000000009</v>
      </c>
      <c r="K20" s="9">
        <f t="shared" si="1"/>
        <v>50.047585200000007</v>
      </c>
      <c r="L20" s="34">
        <f t="shared" ca="1" si="2"/>
        <v>572.36128623055583</v>
      </c>
      <c r="M20" s="38">
        <f t="shared" ca="1" si="3"/>
        <v>1722.0923320193956</v>
      </c>
      <c r="N20" s="34">
        <f t="shared" ca="1" si="9"/>
        <v>677.9076679806044</v>
      </c>
      <c r="O20" s="34" t="b">
        <f t="shared" si="4"/>
        <v>0</v>
      </c>
      <c r="P20" s="34" t="b">
        <f t="shared" ca="1" si="5"/>
        <v>0</v>
      </c>
      <c r="Q20" s="34">
        <f t="shared" ca="1" si="10"/>
        <v>0</v>
      </c>
      <c r="R20" s="42">
        <f t="shared" ca="1" si="11"/>
        <v>0</v>
      </c>
      <c r="S20" s="34">
        <f t="shared" ca="1" si="15"/>
        <v>546.93311039851199</v>
      </c>
      <c r="T20" s="44">
        <f t="shared" ca="1" si="12"/>
        <v>0</v>
      </c>
      <c r="U20" s="34">
        <f t="shared" ca="1" si="13"/>
        <v>25.428175832043848</v>
      </c>
      <c r="V20" s="47">
        <f t="shared" ca="1" si="6"/>
        <v>901.99348584967083</v>
      </c>
      <c r="W20" s="47">
        <f t="shared" ca="1" si="7"/>
        <v>0</v>
      </c>
      <c r="X20" s="48">
        <f t="shared" ca="1" si="14"/>
        <v>-901.99348584967083</v>
      </c>
    </row>
    <row r="21" spans="1:31" x14ac:dyDescent="0.25">
      <c r="A21" s="2"/>
      <c r="B21" s="2">
        <v>20</v>
      </c>
      <c r="C21" s="2">
        <v>554.20000000000005</v>
      </c>
      <c r="D21" s="2">
        <f t="shared" si="8"/>
        <v>48.215400000000002</v>
      </c>
      <c r="E21" s="3"/>
      <c r="F21" s="3"/>
      <c r="G21" s="3"/>
      <c r="H21" s="29"/>
      <c r="I21" s="29">
        <v>20</v>
      </c>
      <c r="J21" s="29">
        <f t="shared" si="0"/>
        <v>575.25960000000009</v>
      </c>
      <c r="K21" s="9">
        <f t="shared" si="1"/>
        <v>50.047585200000007</v>
      </c>
      <c r="L21" s="34">
        <f t="shared" ca="1" si="2"/>
        <v>564.62872684890829</v>
      </c>
      <c r="M21" s="38">
        <f t="shared" ca="1" si="3"/>
        <v>1710.4201238292305</v>
      </c>
      <c r="N21" s="34">
        <f t="shared" ca="1" si="9"/>
        <v>689.57987617076947</v>
      </c>
      <c r="O21" s="34" t="b">
        <f t="shared" si="4"/>
        <v>1</v>
      </c>
      <c r="P21" s="34" t="b">
        <f t="shared" ca="1" si="5"/>
        <v>1</v>
      </c>
      <c r="Q21" s="34">
        <f t="shared" ca="1" si="10"/>
        <v>1710.4201238292305</v>
      </c>
      <c r="R21" s="42">
        <f t="shared" ca="1" si="11"/>
        <v>1</v>
      </c>
      <c r="S21" s="34">
        <f t="shared" ca="1" si="15"/>
        <v>0</v>
      </c>
      <c r="T21" s="44">
        <f t="shared" ca="1" si="12"/>
        <v>0</v>
      </c>
      <c r="U21" s="34">
        <f t="shared" ca="1" si="13"/>
        <v>564.62872684890829</v>
      </c>
      <c r="V21" s="47">
        <f t="shared" ca="1" si="6"/>
        <v>16709.604351769434</v>
      </c>
      <c r="W21" s="47">
        <f t="shared" ca="1" si="7"/>
        <v>0</v>
      </c>
      <c r="X21" s="48">
        <f t="shared" ca="1" si="14"/>
        <v>-16709.604351769434</v>
      </c>
    </row>
    <row r="22" spans="1:31" ht="15.75" thickBot="1" x14ac:dyDescent="0.3">
      <c r="A22" s="2"/>
      <c r="B22" s="2">
        <v>21</v>
      </c>
      <c r="C22" s="2">
        <v>554.20000000000005</v>
      </c>
      <c r="D22" s="2">
        <f t="shared" si="8"/>
        <v>48.215400000000002</v>
      </c>
      <c r="E22" s="3"/>
      <c r="F22" s="3"/>
      <c r="G22" s="3"/>
      <c r="H22" s="29"/>
      <c r="I22" s="29">
        <v>21</v>
      </c>
      <c r="J22" s="29">
        <f t="shared" si="0"/>
        <v>575.25960000000009</v>
      </c>
      <c r="K22" s="9">
        <f t="shared" si="1"/>
        <v>50.047585200000007</v>
      </c>
      <c r="L22" s="34">
        <f t="shared" ca="1" si="2"/>
        <v>557.38906582216157</v>
      </c>
      <c r="M22" s="38">
        <f t="shared" ca="1" si="3"/>
        <v>1699.4193125888619</v>
      </c>
      <c r="N22" s="34">
        <f t="shared" ca="1" si="9"/>
        <v>700.58068741113811</v>
      </c>
      <c r="O22" s="34" t="b">
        <f t="shared" si="4"/>
        <v>0</v>
      </c>
      <c r="P22" s="34" t="b">
        <f t="shared" ca="1" si="5"/>
        <v>0</v>
      </c>
      <c r="Q22" s="34">
        <f t="shared" ca="1" si="10"/>
        <v>1710.4201238292305</v>
      </c>
      <c r="R22" s="42">
        <f t="shared" ca="1" si="11"/>
        <v>0</v>
      </c>
      <c r="S22" s="34">
        <f t="shared" ca="1" si="15"/>
        <v>1710.4201238292303</v>
      </c>
      <c r="T22" s="44">
        <f t="shared" ca="1" si="12"/>
        <v>557.38906582216157</v>
      </c>
      <c r="U22" s="34">
        <f t="shared" ca="1" si="13"/>
        <v>0</v>
      </c>
      <c r="V22" s="47">
        <f t="shared" ca="1" si="6"/>
        <v>594.19995101827453</v>
      </c>
      <c r="W22" s="47">
        <f t="shared" ca="1" si="7"/>
        <v>66886.687898659395</v>
      </c>
      <c r="X22" s="48">
        <f t="shared" ca="1" si="14"/>
        <v>66292.487947641115</v>
      </c>
    </row>
    <row r="23" spans="1:31" ht="15.75" thickBot="1" x14ac:dyDescent="0.3">
      <c r="A23" s="2"/>
      <c r="B23" s="2">
        <v>22</v>
      </c>
      <c r="C23" s="2">
        <v>554.20000000000005</v>
      </c>
      <c r="D23" s="2">
        <f t="shared" si="8"/>
        <v>48.215400000000002</v>
      </c>
      <c r="E23" s="3"/>
      <c r="F23" s="3"/>
      <c r="G23" s="3"/>
      <c r="H23" s="29"/>
      <c r="I23" s="29">
        <v>22</v>
      </c>
      <c r="J23" s="29">
        <f t="shared" si="0"/>
        <v>575.25960000000009</v>
      </c>
      <c r="K23" s="9">
        <f t="shared" si="1"/>
        <v>50.047585200000007</v>
      </c>
      <c r="L23" s="34">
        <f t="shared" ca="1" si="2"/>
        <v>570.06784764815927</v>
      </c>
      <c r="M23" s="38">
        <f t="shared" ca="1" si="3"/>
        <v>1718.6387054875729</v>
      </c>
      <c r="N23" s="34">
        <f t="shared" ca="1" si="9"/>
        <v>681.36129451242709</v>
      </c>
      <c r="O23" s="34" t="b">
        <f t="shared" si="4"/>
        <v>1</v>
      </c>
      <c r="P23" s="34" t="b">
        <f t="shared" ca="1" si="5"/>
        <v>0</v>
      </c>
      <c r="Q23" s="34">
        <f t="shared" ca="1" si="10"/>
        <v>0</v>
      </c>
      <c r="R23" s="42">
        <f t="shared" ca="1" si="11"/>
        <v>0</v>
      </c>
      <c r="S23" s="34">
        <f t="shared" ca="1" si="15"/>
        <v>1153.0310580070686</v>
      </c>
      <c r="T23" s="44">
        <f t="shared" ca="1" si="12"/>
        <v>570.06784764815927</v>
      </c>
      <c r="U23" s="34">
        <f t="shared" ca="1" si="13"/>
        <v>0</v>
      </c>
      <c r="V23" s="47">
        <f t="shared" ca="1" si="6"/>
        <v>400.56298955165562</v>
      </c>
      <c r="W23" s="47">
        <f t="shared" ca="1" si="7"/>
        <v>68408.141717779115</v>
      </c>
      <c r="X23" s="48">
        <f t="shared" ca="1" si="14"/>
        <v>68007.578728227454</v>
      </c>
      <c r="Z23" s="51" t="s">
        <v>19</v>
      </c>
      <c r="AA23" s="52"/>
      <c r="AB23" s="52"/>
      <c r="AC23" s="52"/>
      <c r="AD23" s="52"/>
      <c r="AE23" s="53"/>
    </row>
    <row r="24" spans="1:31" x14ac:dyDescent="0.25">
      <c r="A24" s="2"/>
      <c r="B24" s="2">
        <v>23</v>
      </c>
      <c r="C24" s="2">
        <v>554.20000000000005</v>
      </c>
      <c r="D24" s="2">
        <f t="shared" si="8"/>
        <v>48.215400000000002</v>
      </c>
      <c r="E24" s="3"/>
      <c r="F24" s="3"/>
      <c r="G24" s="3"/>
      <c r="H24" s="29"/>
      <c r="I24" s="29">
        <v>23</v>
      </c>
      <c r="J24" s="29">
        <f t="shared" si="0"/>
        <v>575.25960000000009</v>
      </c>
      <c r="K24" s="9">
        <f t="shared" si="1"/>
        <v>50.047585200000007</v>
      </c>
      <c r="L24" s="34">
        <f t="shared" ca="1" si="2"/>
        <v>676.56098000257498</v>
      </c>
      <c r="M24" s="38">
        <f t="shared" ca="1" si="3"/>
        <v>1872.2972520409253</v>
      </c>
      <c r="N24" s="34">
        <f t="shared" ca="1" si="9"/>
        <v>527.70274795907471</v>
      </c>
      <c r="O24" s="34" t="b">
        <f t="shared" si="4"/>
        <v>0</v>
      </c>
      <c r="P24" s="34" t="b">
        <f t="shared" ca="1" si="5"/>
        <v>0</v>
      </c>
      <c r="Q24" s="34">
        <f t="shared" ca="1" si="10"/>
        <v>0</v>
      </c>
      <c r="R24" s="42">
        <f t="shared" ca="1" si="11"/>
        <v>0</v>
      </c>
      <c r="S24" s="34">
        <f t="shared" ca="1" si="15"/>
        <v>582.96321035890935</v>
      </c>
      <c r="T24" s="44">
        <f t="shared" ca="1" si="12"/>
        <v>0</v>
      </c>
      <c r="U24" s="34">
        <f t="shared" ca="1" si="13"/>
        <v>93.597769643665629</v>
      </c>
      <c r="V24" s="47">
        <f t="shared" ca="1" si="6"/>
        <v>2823.2589693013228</v>
      </c>
      <c r="W24" s="47">
        <f t="shared" ca="1" si="7"/>
        <v>0</v>
      </c>
      <c r="X24" s="48">
        <f t="shared" ca="1" si="14"/>
        <v>-2823.2589693013228</v>
      </c>
      <c r="Z24" s="54" t="s">
        <v>20</v>
      </c>
      <c r="AA24" s="55">
        <f ca="1">INT(MEDIAN(S2:S51))</f>
        <v>989</v>
      </c>
      <c r="AB24" s="56"/>
      <c r="AC24" s="54" t="s">
        <v>40</v>
      </c>
      <c r="AD24" s="54"/>
      <c r="AE24" s="55">
        <f ca="1">SUM(S2:S51)*AB9</f>
        <v>16426.907104145601</v>
      </c>
    </row>
    <row r="25" spans="1:31" x14ac:dyDescent="0.25">
      <c r="A25" s="2"/>
      <c r="B25" s="2">
        <v>24</v>
      </c>
      <c r="C25" s="2">
        <v>554.20000000000005</v>
      </c>
      <c r="D25" s="2">
        <f t="shared" si="8"/>
        <v>48.215400000000002</v>
      </c>
      <c r="E25" s="3"/>
      <c r="F25" s="3"/>
      <c r="G25" s="3"/>
      <c r="H25" s="29"/>
      <c r="I25" s="29">
        <v>24</v>
      </c>
      <c r="J25" s="29">
        <f t="shared" si="0"/>
        <v>575.25960000000009</v>
      </c>
      <c r="K25" s="9">
        <f t="shared" si="1"/>
        <v>50.047585200000007</v>
      </c>
      <c r="L25" s="34">
        <f t="shared" ca="1" si="2"/>
        <v>513.05798431736514</v>
      </c>
      <c r="M25" s="38">
        <f t="shared" ca="1" si="3"/>
        <v>1630.4388979658208</v>
      </c>
      <c r="N25" s="34">
        <f t="shared" ca="1" si="9"/>
        <v>769.56110203417916</v>
      </c>
      <c r="O25" s="34" t="b">
        <f t="shared" si="4"/>
        <v>1</v>
      </c>
      <c r="P25" s="34" t="b">
        <f t="shared" ca="1" si="5"/>
        <v>1</v>
      </c>
      <c r="Q25" s="34">
        <f t="shared" ca="1" si="10"/>
        <v>1630.4388979658208</v>
      </c>
      <c r="R25" s="42">
        <f t="shared" ca="1" si="11"/>
        <v>1</v>
      </c>
      <c r="S25" s="34">
        <f t="shared" ca="1" si="15"/>
        <v>0</v>
      </c>
      <c r="T25" s="44">
        <f t="shared" ca="1" si="12"/>
        <v>0</v>
      </c>
      <c r="U25" s="34">
        <f t="shared" ca="1" si="13"/>
        <v>513.05798431736514</v>
      </c>
      <c r="V25" s="47">
        <f t="shared" ca="1" si="6"/>
        <v>15265.623560886224</v>
      </c>
      <c r="W25" s="47">
        <f t="shared" ca="1" si="7"/>
        <v>0</v>
      </c>
      <c r="X25" s="48">
        <f t="shared" ca="1" si="14"/>
        <v>-15265.623560886224</v>
      </c>
      <c r="Z25" s="57" t="s">
        <v>21</v>
      </c>
      <c r="AA25" s="58">
        <f ca="1">COUNTIFS(O2:O51,TRUE, P2:P51, TRUE)</f>
        <v>12</v>
      </c>
      <c r="AB25" s="56"/>
      <c r="AC25" s="57" t="s">
        <v>41</v>
      </c>
      <c r="AD25" s="57"/>
      <c r="AE25" s="58">
        <f ca="1">AA25*AB11</f>
        <v>10800</v>
      </c>
    </row>
    <row r="26" spans="1:31" x14ac:dyDescent="0.25">
      <c r="A26" s="2"/>
      <c r="B26" s="2">
        <v>25</v>
      </c>
      <c r="C26" s="2">
        <v>554.20000000000005</v>
      </c>
      <c r="D26" s="2">
        <f t="shared" si="8"/>
        <v>48.215400000000002</v>
      </c>
      <c r="E26" s="3"/>
      <c r="F26" s="3"/>
      <c r="G26" s="3"/>
      <c r="H26" s="29"/>
      <c r="I26" s="29">
        <v>25</v>
      </c>
      <c r="J26" s="29">
        <f t="shared" si="0"/>
        <v>575.25960000000009</v>
      </c>
      <c r="K26" s="9">
        <f t="shared" si="1"/>
        <v>50.047585200000007</v>
      </c>
      <c r="L26" s="34">
        <f t="shared" ca="1" si="2"/>
        <v>632.12252508725737</v>
      </c>
      <c r="M26" s="38">
        <f t="shared" ca="1" si="3"/>
        <v>1809.7640730216742</v>
      </c>
      <c r="N26" s="34">
        <f t="shared" ca="1" si="9"/>
        <v>590.23592697832578</v>
      </c>
      <c r="O26" s="34" t="b">
        <f t="shared" si="4"/>
        <v>0</v>
      </c>
      <c r="P26" s="34" t="b">
        <f t="shared" ca="1" si="5"/>
        <v>0</v>
      </c>
      <c r="Q26" s="34">
        <f t="shared" ca="1" si="10"/>
        <v>1630.4388979658208</v>
      </c>
      <c r="R26" s="42">
        <f t="shared" ca="1" si="11"/>
        <v>0</v>
      </c>
      <c r="S26" s="34">
        <f t="shared" ca="1" si="15"/>
        <v>1630.4388979658206</v>
      </c>
      <c r="T26" s="44">
        <f t="shared" ca="1" si="12"/>
        <v>632.12252508725737</v>
      </c>
      <c r="U26" s="34">
        <f t="shared" ca="1" si="13"/>
        <v>0</v>
      </c>
      <c r="V26" s="47">
        <f t="shared" ca="1" si="6"/>
        <v>566.41447315332607</v>
      </c>
      <c r="W26" s="47">
        <f t="shared" ca="1" si="7"/>
        <v>75854.703010470883</v>
      </c>
      <c r="X26" s="48">
        <f t="shared" ca="1" si="14"/>
        <v>75288.288537317552</v>
      </c>
      <c r="Z26" s="57" t="s">
        <v>22</v>
      </c>
      <c r="AA26" s="58">
        <f ca="1">COUNTIF(U2:U51, "&gt;0")</f>
        <v>12</v>
      </c>
      <c r="AB26" s="56"/>
      <c r="AC26" s="57" t="s">
        <v>42</v>
      </c>
      <c r="AD26" s="57"/>
      <c r="AE26" s="58">
        <f ca="1">AA28*AB10</f>
        <v>83916</v>
      </c>
    </row>
    <row r="27" spans="1:31" x14ac:dyDescent="0.25">
      <c r="A27" s="2"/>
      <c r="B27" s="2">
        <v>26</v>
      </c>
      <c r="C27" s="2">
        <v>554.20000000000005</v>
      </c>
      <c r="D27" s="2">
        <f t="shared" si="8"/>
        <v>48.215400000000002</v>
      </c>
      <c r="E27" s="3"/>
      <c r="F27" s="3"/>
      <c r="G27" s="3"/>
      <c r="H27" s="29"/>
      <c r="I27" s="29">
        <v>26</v>
      </c>
      <c r="J27" s="29">
        <f t="shared" si="0"/>
        <v>575.25960000000009</v>
      </c>
      <c r="K27" s="9">
        <f t="shared" si="1"/>
        <v>50.047585200000007</v>
      </c>
      <c r="L27" s="34">
        <f t="shared" ca="1" si="2"/>
        <v>671.50663830945757</v>
      </c>
      <c r="M27" s="38">
        <f t="shared" ca="1" si="3"/>
        <v>1865.2905939826105</v>
      </c>
      <c r="N27" s="34">
        <f t="shared" ca="1" si="9"/>
        <v>534.70940601738948</v>
      </c>
      <c r="O27" s="34" t="b">
        <f t="shared" si="4"/>
        <v>1</v>
      </c>
      <c r="P27" s="34" t="b">
        <f t="shared" ca="1" si="5"/>
        <v>0</v>
      </c>
      <c r="Q27" s="34">
        <f t="shared" ca="1" si="10"/>
        <v>0</v>
      </c>
      <c r="R27" s="42">
        <f t="shared" ca="1" si="11"/>
        <v>0</v>
      </c>
      <c r="S27" s="34">
        <f t="shared" ca="1" si="15"/>
        <v>998.31637287856324</v>
      </c>
      <c r="T27" s="44">
        <f t="shared" ca="1" si="12"/>
        <v>671.50663830945757</v>
      </c>
      <c r="U27" s="34">
        <f t="shared" ca="1" si="13"/>
        <v>0</v>
      </c>
      <c r="V27" s="47">
        <f t="shared" ca="1" si="6"/>
        <v>346.81510793801283</v>
      </c>
      <c r="W27" s="47">
        <f t="shared" ca="1" si="7"/>
        <v>80580.796597134904</v>
      </c>
      <c r="X27" s="48">
        <f t="shared" ca="1" si="14"/>
        <v>80233.981489196885</v>
      </c>
      <c r="Z27" s="57" t="s">
        <v>23</v>
      </c>
      <c r="AA27" s="58">
        <f ca="1">INT(SUM(T2:T51))</f>
        <v>15660</v>
      </c>
      <c r="AB27" s="56"/>
      <c r="AC27" s="57" t="s">
        <v>24</v>
      </c>
      <c r="AD27" s="57"/>
      <c r="AE27" s="58">
        <f ca="1">SUM(W2:W51)</f>
        <v>1879213.8135455605</v>
      </c>
    </row>
    <row r="28" spans="1:31" x14ac:dyDescent="0.25">
      <c r="A28" s="2"/>
      <c r="B28" s="2">
        <v>27</v>
      </c>
      <c r="C28" s="2">
        <v>554.20000000000005</v>
      </c>
      <c r="D28" s="2">
        <f t="shared" si="8"/>
        <v>48.215400000000002</v>
      </c>
      <c r="E28" s="3"/>
      <c r="F28" s="3"/>
      <c r="G28" s="3"/>
      <c r="H28" s="29"/>
      <c r="I28" s="29">
        <v>27</v>
      </c>
      <c r="J28" s="29">
        <f t="shared" si="0"/>
        <v>575.25960000000009</v>
      </c>
      <c r="K28" s="9">
        <f t="shared" si="1"/>
        <v>50.047585200000007</v>
      </c>
      <c r="L28" s="34">
        <f t="shared" ca="1" si="2"/>
        <v>577.48400119159146</v>
      </c>
      <c r="M28" s="38">
        <f t="shared" ca="1" si="3"/>
        <v>1729.7817781442836</v>
      </c>
      <c r="N28" s="34">
        <f t="shared" ca="1" si="9"/>
        <v>670.21822185571637</v>
      </c>
      <c r="O28" s="34" t="b">
        <f t="shared" si="4"/>
        <v>0</v>
      </c>
      <c r="P28" s="34" t="b">
        <f t="shared" ca="1" si="5"/>
        <v>0</v>
      </c>
      <c r="Q28" s="34">
        <f t="shared" ca="1" si="10"/>
        <v>0</v>
      </c>
      <c r="R28" s="42">
        <f t="shared" ca="1" si="11"/>
        <v>0</v>
      </c>
      <c r="S28" s="34">
        <f t="shared" ca="1" si="15"/>
        <v>326.80973456910567</v>
      </c>
      <c r="T28" s="44">
        <f t="shared" ca="1" si="12"/>
        <v>0</v>
      </c>
      <c r="U28" s="34">
        <f t="shared" ca="1" si="13"/>
        <v>250.67426662248579</v>
      </c>
      <c r="V28" s="47">
        <f t="shared" ca="1" si="6"/>
        <v>7132.4131672189087</v>
      </c>
      <c r="W28" s="47">
        <f t="shared" ca="1" si="7"/>
        <v>0</v>
      </c>
      <c r="X28" s="48">
        <f t="shared" ca="1" si="14"/>
        <v>-7132.4131672189087</v>
      </c>
      <c r="Z28" s="57" t="s">
        <v>37</v>
      </c>
      <c r="AA28" s="58">
        <f ca="1">INT(SUM(U2:U51))</f>
        <v>2997</v>
      </c>
      <c r="AB28" s="54"/>
      <c r="AC28" s="57" t="s">
        <v>43</v>
      </c>
      <c r="AD28" s="57"/>
      <c r="AE28" s="58">
        <f ca="1">SUM(X2:X51)</f>
        <v>1768063.9940383574</v>
      </c>
    </row>
    <row r="29" spans="1:31" x14ac:dyDescent="0.25">
      <c r="A29" s="2"/>
      <c r="B29" s="2">
        <v>28</v>
      </c>
      <c r="C29" s="2">
        <v>554.20000000000005</v>
      </c>
      <c r="D29" s="2">
        <f t="shared" si="8"/>
        <v>48.215400000000002</v>
      </c>
      <c r="E29" s="3"/>
      <c r="F29" s="3"/>
      <c r="G29" s="3"/>
      <c r="H29" s="29"/>
      <c r="I29" s="29">
        <v>28</v>
      </c>
      <c r="J29" s="29">
        <f t="shared" si="0"/>
        <v>575.25960000000009</v>
      </c>
      <c r="K29" s="9">
        <f t="shared" si="1"/>
        <v>50.047585200000007</v>
      </c>
      <c r="L29" s="34">
        <f t="shared" ca="1" si="2"/>
        <v>615.57150860312197</v>
      </c>
      <c r="M29" s="38">
        <f t="shared" ca="1" si="3"/>
        <v>1785.914051683339</v>
      </c>
      <c r="N29" s="34">
        <f t="shared" ca="1" si="9"/>
        <v>614.08594831666096</v>
      </c>
      <c r="O29" s="34" t="b">
        <f t="shared" si="4"/>
        <v>1</v>
      </c>
      <c r="P29" s="34" t="b">
        <f t="shared" ca="1" si="5"/>
        <v>1</v>
      </c>
      <c r="Q29" s="34">
        <f t="shared" ca="1" si="10"/>
        <v>1785.914051683339</v>
      </c>
      <c r="R29" s="42">
        <f t="shared" ca="1" si="11"/>
        <v>1</v>
      </c>
      <c r="S29" s="34">
        <f t="shared" ca="1" si="15"/>
        <v>0</v>
      </c>
      <c r="T29" s="44">
        <f t="shared" ca="1" si="12"/>
        <v>0</v>
      </c>
      <c r="U29" s="34">
        <f t="shared" ca="1" si="13"/>
        <v>615.57150860312197</v>
      </c>
      <c r="V29" s="47">
        <f t="shared" ca="1" si="6"/>
        <v>18136.002240887414</v>
      </c>
      <c r="W29" s="47">
        <f t="shared" ca="1" si="7"/>
        <v>0</v>
      </c>
      <c r="X29" s="48">
        <f t="shared" ca="1" si="14"/>
        <v>-18136.002240887414</v>
      </c>
    </row>
    <row r="30" spans="1:31" x14ac:dyDescent="0.25">
      <c r="A30" s="2"/>
      <c r="B30" s="2">
        <v>29</v>
      </c>
      <c r="C30" s="2">
        <v>334.6</v>
      </c>
      <c r="D30" s="2">
        <f t="shared" si="8"/>
        <v>29.110199999999999</v>
      </c>
      <c r="E30" s="3"/>
      <c r="F30" s="3"/>
      <c r="G30" s="3"/>
      <c r="H30" s="29"/>
      <c r="I30" s="29">
        <v>29</v>
      </c>
      <c r="J30" s="29">
        <f t="shared" si="0"/>
        <v>347.31480000000005</v>
      </c>
      <c r="K30" s="9">
        <f t="shared" si="1"/>
        <v>30.216387600000001</v>
      </c>
      <c r="L30" s="34">
        <f t="shared" ca="1" si="2"/>
        <v>355.40470223850878</v>
      </c>
      <c r="M30" s="38">
        <f t="shared" ca="1" si="3"/>
        <v>1357.0095799219694</v>
      </c>
      <c r="N30" s="34">
        <f t="shared" ca="1" si="9"/>
        <v>1042.9904200780306</v>
      </c>
      <c r="O30" s="34" t="b">
        <f t="shared" si="4"/>
        <v>0</v>
      </c>
      <c r="P30" s="34" t="b">
        <f t="shared" ca="1" si="5"/>
        <v>0</v>
      </c>
      <c r="Q30" s="34">
        <f t="shared" ca="1" si="10"/>
        <v>1785.914051683339</v>
      </c>
      <c r="R30" s="42">
        <f t="shared" ca="1" si="11"/>
        <v>0</v>
      </c>
      <c r="S30" s="34">
        <f t="shared" ca="1" si="15"/>
        <v>1785.914051683339</v>
      </c>
      <c r="T30" s="44">
        <f t="shared" ca="1" si="12"/>
        <v>355.40470223850878</v>
      </c>
      <c r="U30" s="34">
        <f t="shared" ca="1" si="13"/>
        <v>0</v>
      </c>
      <c r="V30" s="47">
        <f t="shared" ca="1" si="6"/>
        <v>620.42654155479192</v>
      </c>
      <c r="W30" s="47">
        <f t="shared" ca="1" si="7"/>
        <v>42648.564268621056</v>
      </c>
      <c r="X30" s="48">
        <f t="shared" ca="1" si="14"/>
        <v>42028.137727066263</v>
      </c>
    </row>
    <row r="31" spans="1:31" x14ac:dyDescent="0.25">
      <c r="A31" s="2"/>
      <c r="B31" s="2">
        <v>30</v>
      </c>
      <c r="C31" s="2">
        <v>334.6</v>
      </c>
      <c r="D31" s="2">
        <f t="shared" si="8"/>
        <v>29.110199999999999</v>
      </c>
      <c r="E31" s="3"/>
      <c r="F31" s="3"/>
      <c r="G31" s="3"/>
      <c r="H31" s="29"/>
      <c r="I31" s="29">
        <v>30</v>
      </c>
      <c r="J31" s="29">
        <f t="shared" si="0"/>
        <v>347.31480000000005</v>
      </c>
      <c r="K31" s="9">
        <f t="shared" si="1"/>
        <v>30.216387600000001</v>
      </c>
      <c r="L31" s="34">
        <f t="shared" ca="1" si="2"/>
        <v>348.05993827921299</v>
      </c>
      <c r="M31" s="38">
        <f t="shared" ca="1" si="3"/>
        <v>1342.9143680815989</v>
      </c>
      <c r="N31" s="34">
        <f t="shared" ca="1" si="9"/>
        <v>1057.0856319184011</v>
      </c>
      <c r="O31" s="34" t="b">
        <f t="shared" si="4"/>
        <v>1</v>
      </c>
      <c r="P31" s="34" t="b">
        <f t="shared" ca="1" si="5"/>
        <v>0</v>
      </c>
      <c r="Q31" s="34">
        <f t="shared" ca="1" si="10"/>
        <v>0</v>
      </c>
      <c r="R31" s="42">
        <f t="shared" ca="1" si="11"/>
        <v>0</v>
      </c>
      <c r="S31" s="34">
        <f t="shared" ca="1" si="15"/>
        <v>1430.5093494448301</v>
      </c>
      <c r="T31" s="44">
        <f t="shared" ca="1" si="12"/>
        <v>348.05993827921299</v>
      </c>
      <c r="U31" s="34">
        <f t="shared" ca="1" si="13"/>
        <v>0</v>
      </c>
      <c r="V31" s="47">
        <f t="shared" ca="1" si="6"/>
        <v>496.95894799713398</v>
      </c>
      <c r="W31" s="47">
        <f t="shared" ca="1" si="7"/>
        <v>41767.192593505555</v>
      </c>
      <c r="X31" s="48">
        <f t="shared" ca="1" si="14"/>
        <v>41270.233645508422</v>
      </c>
    </row>
    <row r="32" spans="1:31" x14ac:dyDescent="0.25">
      <c r="A32" s="2"/>
      <c r="B32" s="2">
        <v>31</v>
      </c>
      <c r="C32" s="2">
        <v>334.6</v>
      </c>
      <c r="D32" s="2">
        <f t="shared" si="8"/>
        <v>29.110199999999999</v>
      </c>
      <c r="E32" s="3"/>
      <c r="F32" s="3"/>
      <c r="G32" s="3"/>
      <c r="H32" s="29"/>
      <c r="I32" s="29">
        <v>31</v>
      </c>
      <c r="J32" s="29">
        <f t="shared" si="0"/>
        <v>347.31480000000005</v>
      </c>
      <c r="K32" s="9">
        <f t="shared" si="1"/>
        <v>30.216387600000001</v>
      </c>
      <c r="L32" s="34">
        <f t="shared" ca="1" si="2"/>
        <v>304.88333907485946</v>
      </c>
      <c r="M32" s="38">
        <f t="shared" ca="1" si="3"/>
        <v>1256.8635566361211</v>
      </c>
      <c r="N32" s="34">
        <f t="shared" ca="1" si="9"/>
        <v>1143.1364433638789</v>
      </c>
      <c r="O32" s="34" t="b">
        <f t="shared" si="4"/>
        <v>0</v>
      </c>
      <c r="P32" s="34" t="b">
        <f t="shared" ca="1" si="5"/>
        <v>0</v>
      </c>
      <c r="Q32" s="34">
        <f t="shared" ca="1" si="10"/>
        <v>0</v>
      </c>
      <c r="R32" s="42">
        <f t="shared" ca="1" si="11"/>
        <v>0</v>
      </c>
      <c r="S32" s="34">
        <f t="shared" ca="1" si="15"/>
        <v>1082.4494111656172</v>
      </c>
      <c r="T32" s="44">
        <f t="shared" ca="1" si="12"/>
        <v>304.88333907485946</v>
      </c>
      <c r="U32" s="34">
        <f t="shared" ca="1" si="13"/>
        <v>0</v>
      </c>
      <c r="V32" s="47">
        <f t="shared" ca="1" si="6"/>
        <v>376.04292543893541</v>
      </c>
      <c r="W32" s="47">
        <f t="shared" ca="1" si="7"/>
        <v>36586.000688983135</v>
      </c>
      <c r="X32" s="48">
        <f t="shared" ca="1" si="14"/>
        <v>36209.957763544196</v>
      </c>
    </row>
    <row r="33" spans="1:31" x14ac:dyDescent="0.25">
      <c r="A33" s="2"/>
      <c r="B33" s="2">
        <v>32</v>
      </c>
      <c r="C33" s="2">
        <v>334.6</v>
      </c>
      <c r="D33" s="2">
        <f t="shared" si="8"/>
        <v>29.110199999999999</v>
      </c>
      <c r="E33" s="3"/>
      <c r="F33" s="3"/>
      <c r="G33" s="3"/>
      <c r="H33" s="29"/>
      <c r="I33" s="29">
        <v>32</v>
      </c>
      <c r="J33" s="29">
        <f t="shared" si="0"/>
        <v>347.31480000000005</v>
      </c>
      <c r="K33" s="9">
        <f t="shared" si="1"/>
        <v>30.216387600000001</v>
      </c>
      <c r="L33" s="34">
        <f t="shared" ca="1" si="2"/>
        <v>417.53723129758629</v>
      </c>
      <c r="M33" s="38">
        <f t="shared" ca="1" si="3"/>
        <v>1470.8517940295685</v>
      </c>
      <c r="N33" s="34">
        <f t="shared" ca="1" si="9"/>
        <v>929.14820597043149</v>
      </c>
      <c r="O33" s="34" t="b">
        <f t="shared" si="4"/>
        <v>1</v>
      </c>
      <c r="P33" s="34" t="b">
        <f t="shared" ca="1" si="5"/>
        <v>1</v>
      </c>
      <c r="Q33" s="34">
        <f t="shared" ca="1" si="10"/>
        <v>0</v>
      </c>
      <c r="R33" s="42">
        <f t="shared" ca="1" si="11"/>
        <v>2</v>
      </c>
      <c r="S33" s="34">
        <f t="shared" ca="1" si="15"/>
        <v>777.56607209075776</v>
      </c>
      <c r="T33" s="44">
        <f t="shared" ca="1" si="12"/>
        <v>417.53723129758629</v>
      </c>
      <c r="U33" s="34">
        <f t="shared" ca="1" si="13"/>
        <v>0</v>
      </c>
      <c r="V33" s="47">
        <f t="shared" ca="1" si="6"/>
        <v>1170.1264534443292</v>
      </c>
      <c r="W33" s="47">
        <f t="shared" ca="1" si="7"/>
        <v>50104.467755710357</v>
      </c>
      <c r="X33" s="48">
        <f t="shared" ca="1" si="14"/>
        <v>48934.341302266024</v>
      </c>
    </row>
    <row r="34" spans="1:31" ht="15.75" thickBot="1" x14ac:dyDescent="0.3">
      <c r="A34" s="2"/>
      <c r="B34" s="2">
        <v>33</v>
      </c>
      <c r="C34" s="2">
        <v>334.6</v>
      </c>
      <c r="D34" s="2">
        <f t="shared" si="8"/>
        <v>29.110199999999999</v>
      </c>
      <c r="E34" s="3"/>
      <c r="F34" s="3"/>
      <c r="G34" s="3"/>
      <c r="H34" s="29"/>
      <c r="I34" s="29">
        <v>33</v>
      </c>
      <c r="J34" s="29">
        <f t="shared" ref="J34:J51" si="16">C34*(1+0.038)</f>
        <v>347.31480000000005</v>
      </c>
      <c r="K34" s="9">
        <f t="shared" ref="K34:K51" si="17">0.087*J34</f>
        <v>30.216387600000001</v>
      </c>
      <c r="L34" s="34">
        <f t="shared" ca="1" si="2"/>
        <v>334.92459819222682</v>
      </c>
      <c r="M34" s="38">
        <f t="shared" ref="M34:M51" ca="1" si="18">SQRT(QUOTIENT(2*L34*$AB$11,$AB$9))</f>
        <v>1317.3306342752376</v>
      </c>
      <c r="N34" s="34">
        <f t="shared" ref="N34:N51" ca="1" si="19">$AB$3-M34</f>
        <v>1082.6693657247624</v>
      </c>
      <c r="O34" s="34" t="b">
        <f t="shared" ref="O34:O51" si="20">IF(MOD(I34,2)=0, TRUE, FALSE)</f>
        <v>0</v>
      </c>
      <c r="P34" s="34" t="b">
        <f t="shared" ref="P34:P51" ca="1" si="21">IF(AND(O34=TRUE,S34&lt;N34),TRUE,FALSE)</f>
        <v>0</v>
      </c>
      <c r="Q34" s="34">
        <f t="shared" ca="1" si="10"/>
        <v>1317.3306342752376</v>
      </c>
      <c r="R34" s="42">
        <f t="shared" ca="1" si="11"/>
        <v>1</v>
      </c>
      <c r="S34" s="34">
        <f t="shared" ca="1" si="15"/>
        <v>360.02884079317147</v>
      </c>
      <c r="T34" s="44">
        <f t="shared" ca="1" si="12"/>
        <v>334.92459819222682</v>
      </c>
      <c r="U34" s="34">
        <f t="shared" ca="1" si="13"/>
        <v>0</v>
      </c>
      <c r="V34" s="47">
        <f t="shared" ref="V34:V51" ca="1" si="22">(S34*$AB$9)+(U34*$AB$10)+(IF(P34=TRUE, $AB$11,0))</f>
        <v>125.07401929154776</v>
      </c>
      <c r="W34" s="47">
        <f t="shared" ref="W34:W51" ca="1" si="23">T34*$AB$13</f>
        <v>40190.951783067219</v>
      </c>
      <c r="X34" s="48">
        <f t="shared" ca="1" si="14"/>
        <v>40065.877763775672</v>
      </c>
    </row>
    <row r="35" spans="1:31" ht="15.75" thickBot="1" x14ac:dyDescent="0.3">
      <c r="A35" s="2"/>
      <c r="B35" s="2">
        <v>34</v>
      </c>
      <c r="C35" s="2">
        <v>334.6</v>
      </c>
      <c r="D35" s="2">
        <f t="shared" si="8"/>
        <v>29.110199999999999</v>
      </c>
      <c r="E35" s="3"/>
      <c r="F35" s="3"/>
      <c r="G35" s="3"/>
      <c r="H35" s="29"/>
      <c r="I35" s="29">
        <v>34</v>
      </c>
      <c r="J35" s="29">
        <f t="shared" si="16"/>
        <v>347.31480000000005</v>
      </c>
      <c r="K35" s="9">
        <f t="shared" si="17"/>
        <v>30.216387600000001</v>
      </c>
      <c r="L35" s="34">
        <f t="shared" ca="1" si="2"/>
        <v>352.19442524106711</v>
      </c>
      <c r="M35" s="38">
        <f t="shared" ca="1" si="18"/>
        <v>1350.8667587885934</v>
      </c>
      <c r="N35" s="34">
        <f t="shared" ca="1" si="19"/>
        <v>1049.1332412114066</v>
      </c>
      <c r="O35" s="34" t="b">
        <f t="shared" si="20"/>
        <v>1</v>
      </c>
      <c r="P35" s="34" t="b">
        <f t="shared" ca="1" si="21"/>
        <v>0</v>
      </c>
      <c r="Q35" s="34">
        <f t="shared" ref="Q35:Q51" ca="1" si="24">IF(R35=1,$AB$3-N35, IF(R34=1, $AB$3-N34, 0))</f>
        <v>1317.3306342752376</v>
      </c>
      <c r="R35" s="42">
        <f t="shared" ref="R35:R51" ca="1" si="25" xml:space="preserve"> IF(R34&gt;0, R34-1, IF(P35=TRUE,MATCH(RAND(),$AD$18:$AD$19),0))</f>
        <v>0</v>
      </c>
      <c r="S35" s="34">
        <f t="shared" ca="1" si="15"/>
        <v>1342.4348768761822</v>
      </c>
      <c r="T35" s="44">
        <f t="shared" ca="1" si="12"/>
        <v>352.19442524106711</v>
      </c>
      <c r="U35" s="34">
        <f t="shared" ca="1" si="13"/>
        <v>0</v>
      </c>
      <c r="V35" s="47">
        <f t="shared" ca="1" si="22"/>
        <v>466.36187622678568</v>
      </c>
      <c r="W35" s="47">
        <f t="shared" ca="1" si="23"/>
        <v>42263.331028928056</v>
      </c>
      <c r="X35" s="48">
        <f t="shared" ca="1" si="14"/>
        <v>41796.969152701269</v>
      </c>
      <c r="Z35" s="67" t="s">
        <v>51</v>
      </c>
      <c r="AA35" s="66"/>
      <c r="AC35" t="s">
        <v>50</v>
      </c>
      <c r="AD35">
        <v>6</v>
      </c>
      <c r="AE35">
        <v>1</v>
      </c>
    </row>
    <row r="36" spans="1:31" x14ac:dyDescent="0.25">
      <c r="A36" s="2"/>
      <c r="B36" s="2">
        <v>35</v>
      </c>
      <c r="C36" s="2">
        <v>334.6</v>
      </c>
      <c r="D36" s="2">
        <f t="shared" si="8"/>
        <v>29.110199999999999</v>
      </c>
      <c r="E36" s="3"/>
      <c r="F36" s="3"/>
      <c r="G36" s="3"/>
      <c r="H36" s="29"/>
      <c r="I36" s="29">
        <v>35</v>
      </c>
      <c r="J36" s="29">
        <f t="shared" si="16"/>
        <v>347.31480000000005</v>
      </c>
      <c r="K36" s="9">
        <f t="shared" si="17"/>
        <v>30.216387600000001</v>
      </c>
      <c r="L36" s="34">
        <f t="shared" ca="1" si="2"/>
        <v>337.71894128738847</v>
      </c>
      <c r="M36" s="38">
        <f t="shared" ca="1" si="18"/>
        <v>1322.8148018524739</v>
      </c>
      <c r="N36" s="34">
        <f t="shared" ca="1" si="19"/>
        <v>1077.1851981475261</v>
      </c>
      <c r="O36" s="34" t="b">
        <f t="shared" si="20"/>
        <v>0</v>
      </c>
      <c r="P36" s="34" t="b">
        <f t="shared" ca="1" si="21"/>
        <v>0</v>
      </c>
      <c r="Q36" s="34">
        <f t="shared" ca="1" si="24"/>
        <v>0</v>
      </c>
      <c r="R36" s="42">
        <f t="shared" ca="1" si="25"/>
        <v>0</v>
      </c>
      <c r="S36" s="34">
        <f t="shared" ca="1" si="15"/>
        <v>990.24045163511505</v>
      </c>
      <c r="T36" s="44">
        <f t="shared" ca="1" si="12"/>
        <v>337.71894128738847</v>
      </c>
      <c r="U36" s="34">
        <f t="shared" ca="1" si="13"/>
        <v>0</v>
      </c>
      <c r="V36" s="47">
        <f t="shared" ca="1" si="22"/>
        <v>344.00953289803897</v>
      </c>
      <c r="W36" s="47">
        <f t="shared" ca="1" si="23"/>
        <v>40526.272954486616</v>
      </c>
      <c r="X36" s="48">
        <f t="shared" ca="1" si="14"/>
        <v>40182.263421588577</v>
      </c>
      <c r="Z36" s="68" t="s">
        <v>45</v>
      </c>
      <c r="AA36" s="65">
        <f>AD36/6</f>
        <v>18282.833333333332</v>
      </c>
      <c r="AC36" t="s">
        <v>47</v>
      </c>
      <c r="AD36">
        <v>109697</v>
      </c>
      <c r="AE36">
        <f ca="1">AA27</f>
        <v>15660</v>
      </c>
    </row>
    <row r="37" spans="1:31" x14ac:dyDescent="0.25">
      <c r="A37" s="2"/>
      <c r="B37" s="2">
        <v>36</v>
      </c>
      <c r="C37" s="2">
        <v>334.6</v>
      </c>
      <c r="D37" s="2">
        <f t="shared" si="8"/>
        <v>29.110199999999999</v>
      </c>
      <c r="E37" s="3"/>
      <c r="F37" s="3"/>
      <c r="G37" s="3"/>
      <c r="H37" s="29"/>
      <c r="I37" s="29">
        <v>36</v>
      </c>
      <c r="J37" s="29">
        <f t="shared" si="16"/>
        <v>347.31480000000005</v>
      </c>
      <c r="K37" s="9">
        <f t="shared" si="17"/>
        <v>30.216387600000001</v>
      </c>
      <c r="L37" s="34">
        <f t="shared" ca="1" si="2"/>
        <v>340.99513102505085</v>
      </c>
      <c r="M37" s="38">
        <f t="shared" ca="1" si="18"/>
        <v>1329.2155581394613</v>
      </c>
      <c r="N37" s="34">
        <f t="shared" ca="1" si="19"/>
        <v>1070.7844418605387</v>
      </c>
      <c r="O37" s="34" t="b">
        <f t="shared" si="20"/>
        <v>1</v>
      </c>
      <c r="P37" s="34" t="b">
        <f t="shared" ca="1" si="21"/>
        <v>1</v>
      </c>
      <c r="Q37" s="34">
        <f t="shared" ca="1" si="24"/>
        <v>0</v>
      </c>
      <c r="R37" s="42">
        <f t="shared" ca="1" si="25"/>
        <v>2</v>
      </c>
      <c r="S37" s="34">
        <f t="shared" ca="1" si="15"/>
        <v>652.52151034772658</v>
      </c>
      <c r="T37" s="44">
        <f t="shared" ca="1" si="12"/>
        <v>340.99513102505085</v>
      </c>
      <c r="U37" s="34">
        <f t="shared" ca="1" si="13"/>
        <v>0</v>
      </c>
      <c r="V37" s="47">
        <f t="shared" ca="1" si="22"/>
        <v>1126.6859726948003</v>
      </c>
      <c r="W37" s="47">
        <f t="shared" ca="1" si="23"/>
        <v>40919.415723006103</v>
      </c>
      <c r="X37" s="48">
        <f t="shared" ca="1" si="14"/>
        <v>39792.7297503113</v>
      </c>
      <c r="Z37" s="69" t="s">
        <v>46</v>
      </c>
      <c r="AA37" s="64">
        <f>AD37/6</f>
        <v>6.666666666666667</v>
      </c>
      <c r="AC37" t="s">
        <v>48</v>
      </c>
      <c r="AD37">
        <v>40</v>
      </c>
      <c r="AE37">
        <f ca="1">AA26</f>
        <v>12</v>
      </c>
    </row>
    <row r="38" spans="1:31" x14ac:dyDescent="0.25">
      <c r="A38" s="2"/>
      <c r="B38" s="2">
        <v>37</v>
      </c>
      <c r="C38" s="2">
        <v>334.6</v>
      </c>
      <c r="D38" s="2">
        <f t="shared" si="8"/>
        <v>29.110199999999999</v>
      </c>
      <c r="E38" s="3"/>
      <c r="F38" s="3"/>
      <c r="G38" s="3"/>
      <c r="H38" s="29"/>
      <c r="I38" s="29">
        <v>37</v>
      </c>
      <c r="J38" s="29">
        <f t="shared" si="16"/>
        <v>347.31480000000005</v>
      </c>
      <c r="K38" s="9">
        <f t="shared" si="17"/>
        <v>30.216387600000001</v>
      </c>
      <c r="L38" s="34">
        <f t="shared" ca="1" si="2"/>
        <v>337.57959808346186</v>
      </c>
      <c r="M38" s="38">
        <f t="shared" ca="1" si="18"/>
        <v>1322.5418707927549</v>
      </c>
      <c r="N38" s="34">
        <f t="shared" ca="1" si="19"/>
        <v>1077.4581292072451</v>
      </c>
      <c r="O38" s="34" t="b">
        <f t="shared" si="20"/>
        <v>0</v>
      </c>
      <c r="P38" s="34" t="b">
        <f t="shared" ca="1" si="21"/>
        <v>0</v>
      </c>
      <c r="Q38" s="34">
        <f t="shared" ca="1" si="24"/>
        <v>1322.5418707927549</v>
      </c>
      <c r="R38" s="42">
        <f t="shared" ca="1" si="25"/>
        <v>1</v>
      </c>
      <c r="S38" s="34">
        <f t="shared" ca="1" si="15"/>
        <v>311.52637932267572</v>
      </c>
      <c r="T38" s="44">
        <f t="shared" ca="1" si="12"/>
        <v>0</v>
      </c>
      <c r="U38" s="34">
        <f t="shared" ca="1" si="13"/>
        <v>26.053218760786137</v>
      </c>
      <c r="V38" s="47">
        <f t="shared" ca="1" si="22"/>
        <v>837.71438947870934</v>
      </c>
      <c r="W38" s="47">
        <f t="shared" ca="1" si="23"/>
        <v>0</v>
      </c>
      <c r="X38" s="48">
        <f t="shared" ca="1" si="14"/>
        <v>-837.71438947870934</v>
      </c>
      <c r="Z38" s="69" t="s">
        <v>44</v>
      </c>
      <c r="AA38" s="64">
        <f>AD38/6</f>
        <v>2108734.4903617678</v>
      </c>
      <c r="AC38" t="s">
        <v>49</v>
      </c>
      <c r="AD38">
        <v>12652406.942170607</v>
      </c>
      <c r="AE38">
        <f ca="1">AE28</f>
        <v>1768063.9940383574</v>
      </c>
    </row>
    <row r="39" spans="1:31" x14ac:dyDescent="0.25">
      <c r="A39" s="2"/>
      <c r="B39" s="2">
        <v>38</v>
      </c>
      <c r="C39" s="2">
        <v>334.6</v>
      </c>
      <c r="D39" s="2">
        <f t="shared" si="8"/>
        <v>29.110199999999999</v>
      </c>
      <c r="E39" s="3"/>
      <c r="F39" s="3"/>
      <c r="G39" s="3"/>
      <c r="H39" s="29"/>
      <c r="I39" s="29">
        <v>38</v>
      </c>
      <c r="J39" s="29">
        <f t="shared" si="16"/>
        <v>347.31480000000005</v>
      </c>
      <c r="K39" s="9">
        <f t="shared" si="17"/>
        <v>30.216387600000001</v>
      </c>
      <c r="L39" s="34">
        <f t="shared" ca="1" si="2"/>
        <v>334.24897736186853</v>
      </c>
      <c r="M39" s="38">
        <f t="shared" ca="1" si="18"/>
        <v>1316.0011398171355</v>
      </c>
      <c r="N39" s="34">
        <f t="shared" ca="1" si="19"/>
        <v>1083.9988601828645</v>
      </c>
      <c r="O39" s="34" t="b">
        <f t="shared" si="20"/>
        <v>1</v>
      </c>
      <c r="P39" s="34" t="b">
        <f t="shared" ca="1" si="21"/>
        <v>0</v>
      </c>
      <c r="Q39" s="34">
        <f t="shared" ca="1" si="24"/>
        <v>1322.5418707927549</v>
      </c>
      <c r="R39" s="42">
        <f t="shared" ca="1" si="25"/>
        <v>0</v>
      </c>
      <c r="S39" s="34">
        <f t="shared" ca="1" si="15"/>
        <v>1322.5418707927549</v>
      </c>
      <c r="T39" s="44">
        <f t="shared" ca="1" si="12"/>
        <v>334.24897736186853</v>
      </c>
      <c r="U39" s="34">
        <f t="shared" ca="1" si="13"/>
        <v>0</v>
      </c>
      <c r="V39" s="47">
        <f t="shared" ca="1" si="22"/>
        <v>459.45104591340305</v>
      </c>
      <c r="W39" s="47">
        <f t="shared" ca="1" si="23"/>
        <v>40109.877283424226</v>
      </c>
      <c r="X39" s="48">
        <f t="shared" ca="1" si="14"/>
        <v>39650.426237510823</v>
      </c>
    </row>
    <row r="40" spans="1:31" x14ac:dyDescent="0.25">
      <c r="A40" s="2"/>
      <c r="B40" s="2">
        <v>39</v>
      </c>
      <c r="C40" s="2">
        <v>334.6</v>
      </c>
      <c r="D40" s="2">
        <f t="shared" si="8"/>
        <v>29.110199999999999</v>
      </c>
      <c r="E40" s="3"/>
      <c r="F40" s="3"/>
      <c r="G40" s="3"/>
      <c r="H40" s="29"/>
      <c r="I40" s="29">
        <v>39</v>
      </c>
      <c r="J40" s="29">
        <f t="shared" si="16"/>
        <v>347.31480000000005</v>
      </c>
      <c r="K40" s="9">
        <f t="shared" si="17"/>
        <v>30.216387600000001</v>
      </c>
      <c r="L40" s="34">
        <f t="shared" ca="1" si="2"/>
        <v>339.24205608223605</v>
      </c>
      <c r="M40" s="38">
        <f t="shared" ca="1" si="18"/>
        <v>1325.7941016613402</v>
      </c>
      <c r="N40" s="34">
        <f t="shared" ca="1" si="19"/>
        <v>1074.2058983386598</v>
      </c>
      <c r="O40" s="34" t="b">
        <f t="shared" si="20"/>
        <v>0</v>
      </c>
      <c r="P40" s="34" t="b">
        <f t="shared" ca="1" si="21"/>
        <v>0</v>
      </c>
      <c r="Q40" s="34">
        <f t="shared" ca="1" si="24"/>
        <v>0</v>
      </c>
      <c r="R40" s="42">
        <f t="shared" ca="1" si="25"/>
        <v>0</v>
      </c>
      <c r="S40" s="34">
        <f t="shared" ca="1" si="15"/>
        <v>988.29289343088635</v>
      </c>
      <c r="T40" s="44">
        <f t="shared" ca="1" si="12"/>
        <v>339.24205608223605</v>
      </c>
      <c r="U40" s="34">
        <f t="shared" ca="1" si="13"/>
        <v>0</v>
      </c>
      <c r="V40" s="47">
        <f t="shared" ca="1" si="22"/>
        <v>343.33295117788992</v>
      </c>
      <c r="W40" s="47">
        <f t="shared" ca="1" si="23"/>
        <v>40709.046729868329</v>
      </c>
      <c r="X40" s="48">
        <f t="shared" ca="1" si="14"/>
        <v>40365.713778690442</v>
      </c>
    </row>
    <row r="41" spans="1:31" x14ac:dyDescent="0.25">
      <c r="A41" s="2"/>
      <c r="B41" s="2">
        <v>40</v>
      </c>
      <c r="C41" s="2">
        <v>334.6</v>
      </c>
      <c r="D41" s="2">
        <f t="shared" si="8"/>
        <v>29.110199999999999</v>
      </c>
      <c r="E41" s="3"/>
      <c r="F41" s="3"/>
      <c r="G41" s="3"/>
      <c r="H41" s="29"/>
      <c r="I41" s="29">
        <v>40</v>
      </c>
      <c r="J41" s="29">
        <f t="shared" si="16"/>
        <v>347.31480000000005</v>
      </c>
      <c r="K41" s="9">
        <f t="shared" si="17"/>
        <v>30.216387600000001</v>
      </c>
      <c r="L41" s="34">
        <f t="shared" ca="1" si="2"/>
        <v>351.12786910068303</v>
      </c>
      <c r="M41" s="38">
        <f t="shared" ca="1" si="18"/>
        <v>1348.8198545395155</v>
      </c>
      <c r="N41" s="34">
        <f t="shared" ca="1" si="19"/>
        <v>1051.1801454604845</v>
      </c>
      <c r="O41" s="34" t="b">
        <f t="shared" si="20"/>
        <v>1</v>
      </c>
      <c r="P41" s="34" t="b">
        <f t="shared" ca="1" si="21"/>
        <v>1</v>
      </c>
      <c r="Q41" s="34">
        <f t="shared" ca="1" si="24"/>
        <v>0</v>
      </c>
      <c r="R41" s="42">
        <f t="shared" ca="1" si="25"/>
        <v>2</v>
      </c>
      <c r="S41" s="34">
        <f t="shared" ca="1" si="15"/>
        <v>649.05083734865025</v>
      </c>
      <c r="T41" s="44">
        <f t="shared" ca="1" si="12"/>
        <v>351.12786910068303</v>
      </c>
      <c r="U41" s="34">
        <f t="shared" ca="1" si="13"/>
        <v>0</v>
      </c>
      <c r="V41" s="47">
        <f t="shared" ca="1" si="22"/>
        <v>1125.480260894921</v>
      </c>
      <c r="W41" s="47">
        <f t="shared" ca="1" si="23"/>
        <v>42135.344292081965</v>
      </c>
      <c r="X41" s="48">
        <f t="shared" ca="1" si="14"/>
        <v>41009.864031187048</v>
      </c>
    </row>
    <row r="42" spans="1:31" x14ac:dyDescent="0.25">
      <c r="A42" s="2"/>
      <c r="B42" s="2">
        <v>41</v>
      </c>
      <c r="C42" s="2">
        <v>334.6</v>
      </c>
      <c r="D42" s="2">
        <f t="shared" si="8"/>
        <v>29.110199999999999</v>
      </c>
      <c r="E42" s="3"/>
      <c r="F42" s="3"/>
      <c r="G42" s="3"/>
      <c r="H42" s="29"/>
      <c r="I42" s="29">
        <v>41</v>
      </c>
      <c r="J42" s="29">
        <f t="shared" si="16"/>
        <v>347.31480000000005</v>
      </c>
      <c r="K42" s="9">
        <f t="shared" si="17"/>
        <v>30.216387600000001</v>
      </c>
      <c r="L42" s="34">
        <f t="shared" ca="1" si="2"/>
        <v>330.52542541707777</v>
      </c>
      <c r="M42" s="38">
        <f t="shared" ca="1" si="18"/>
        <v>1308.6504498910317</v>
      </c>
      <c r="N42" s="34">
        <f t="shared" ca="1" si="19"/>
        <v>1091.3495501089683</v>
      </c>
      <c r="O42" s="34" t="b">
        <f t="shared" si="20"/>
        <v>0</v>
      </c>
      <c r="P42" s="34" t="b">
        <f t="shared" ca="1" si="21"/>
        <v>0</v>
      </c>
      <c r="Q42" s="34">
        <f t="shared" ca="1" si="24"/>
        <v>1308.6504498910317</v>
      </c>
      <c r="R42" s="42">
        <f t="shared" ca="1" si="25"/>
        <v>1</v>
      </c>
      <c r="S42" s="34">
        <f t="shared" ca="1" si="15"/>
        <v>297.92296824796722</v>
      </c>
      <c r="T42" s="44">
        <f t="shared" ca="1" si="12"/>
        <v>0</v>
      </c>
      <c r="U42" s="34">
        <f t="shared" ca="1" si="13"/>
        <v>32.602457169110551</v>
      </c>
      <c r="V42" s="47">
        <f t="shared" ca="1" si="22"/>
        <v>1016.3672399044392</v>
      </c>
      <c r="W42" s="47">
        <f t="shared" ca="1" si="23"/>
        <v>0</v>
      </c>
      <c r="X42" s="48">
        <f t="shared" ca="1" si="14"/>
        <v>-1016.3672399044392</v>
      </c>
    </row>
    <row r="43" spans="1:31" x14ac:dyDescent="0.25">
      <c r="A43" s="2"/>
      <c r="B43" s="2">
        <v>42</v>
      </c>
      <c r="C43" s="2">
        <v>334.6</v>
      </c>
      <c r="D43" s="2">
        <f t="shared" si="8"/>
        <v>29.110199999999999</v>
      </c>
      <c r="E43" s="3"/>
      <c r="F43" s="3"/>
      <c r="G43" s="3"/>
      <c r="H43" s="29"/>
      <c r="I43" s="29">
        <v>42</v>
      </c>
      <c r="J43" s="29">
        <f t="shared" si="16"/>
        <v>347.31480000000005</v>
      </c>
      <c r="K43" s="9">
        <f t="shared" si="17"/>
        <v>30.216387600000001</v>
      </c>
      <c r="L43" s="34">
        <f t="shared" ca="1" si="2"/>
        <v>411.04782481590513</v>
      </c>
      <c r="M43" s="38">
        <f t="shared" ca="1" si="18"/>
        <v>1459.3769218402763</v>
      </c>
      <c r="N43" s="34">
        <f t="shared" ca="1" si="19"/>
        <v>940.62307815972372</v>
      </c>
      <c r="O43" s="34" t="b">
        <f t="shared" si="20"/>
        <v>1</v>
      </c>
      <c r="P43" s="34" t="b">
        <f t="shared" ca="1" si="21"/>
        <v>0</v>
      </c>
      <c r="Q43" s="34">
        <f t="shared" ca="1" si="24"/>
        <v>1308.6504498910317</v>
      </c>
      <c r="R43" s="42">
        <f t="shared" ca="1" si="25"/>
        <v>0</v>
      </c>
      <c r="S43" s="34">
        <f t="shared" ca="1" si="15"/>
        <v>1308.6504498910317</v>
      </c>
      <c r="T43" s="44">
        <f t="shared" ca="1" si="12"/>
        <v>411.04782481590513</v>
      </c>
      <c r="U43" s="34">
        <f t="shared" ca="1" si="13"/>
        <v>0</v>
      </c>
      <c r="V43" s="47">
        <f t="shared" ca="1" si="22"/>
        <v>454.6251662921444</v>
      </c>
      <c r="W43" s="47">
        <f t="shared" ca="1" si="23"/>
        <v>49325.738977908615</v>
      </c>
      <c r="X43" s="48">
        <f t="shared" ca="1" si="14"/>
        <v>48871.113811616473</v>
      </c>
    </row>
    <row r="44" spans="1:31" x14ac:dyDescent="0.25">
      <c r="A44" s="2"/>
      <c r="B44" s="2">
        <v>43</v>
      </c>
      <c r="C44" s="2">
        <v>334.6</v>
      </c>
      <c r="D44" s="2">
        <f t="shared" si="8"/>
        <v>29.110199999999999</v>
      </c>
      <c r="E44" s="3"/>
      <c r="F44" s="3"/>
      <c r="G44" s="3"/>
      <c r="H44" s="29"/>
      <c r="I44" s="29">
        <v>43</v>
      </c>
      <c r="J44" s="29">
        <f t="shared" si="16"/>
        <v>347.31480000000005</v>
      </c>
      <c r="K44" s="9">
        <f t="shared" si="17"/>
        <v>30.216387600000001</v>
      </c>
      <c r="L44" s="34">
        <f t="shared" ca="1" si="2"/>
        <v>306.65975928226629</v>
      </c>
      <c r="M44" s="38">
        <f t="shared" ca="1" si="18"/>
        <v>1260.5197340779714</v>
      </c>
      <c r="N44" s="34">
        <f t="shared" ca="1" si="19"/>
        <v>1139.4802659220286</v>
      </c>
      <c r="O44" s="34" t="b">
        <f t="shared" si="20"/>
        <v>0</v>
      </c>
      <c r="P44" s="34" t="b">
        <f t="shared" ca="1" si="21"/>
        <v>0</v>
      </c>
      <c r="Q44" s="34">
        <f t="shared" ca="1" si="24"/>
        <v>0</v>
      </c>
      <c r="R44" s="42">
        <f t="shared" ca="1" si="25"/>
        <v>0</v>
      </c>
      <c r="S44" s="34">
        <f t="shared" ca="1" si="15"/>
        <v>897.60262507512653</v>
      </c>
      <c r="T44" s="44">
        <f t="shared" ca="1" si="12"/>
        <v>306.65975928226629</v>
      </c>
      <c r="U44" s="34">
        <f t="shared" ca="1" si="13"/>
        <v>0</v>
      </c>
      <c r="V44" s="47">
        <f t="shared" ca="1" si="22"/>
        <v>311.82715195109893</v>
      </c>
      <c r="W44" s="47">
        <f t="shared" ca="1" si="23"/>
        <v>36799.171113871955</v>
      </c>
      <c r="X44" s="48">
        <f t="shared" ca="1" si="14"/>
        <v>36487.343961920858</v>
      </c>
    </row>
    <row r="45" spans="1:31" x14ac:dyDescent="0.25">
      <c r="A45" s="2"/>
      <c r="B45" s="2">
        <v>44</v>
      </c>
      <c r="C45" s="2">
        <v>334.6</v>
      </c>
      <c r="D45" s="2">
        <f t="shared" si="8"/>
        <v>29.110199999999999</v>
      </c>
      <c r="E45" s="3"/>
      <c r="F45" s="3"/>
      <c r="G45" s="3"/>
      <c r="H45" s="29"/>
      <c r="I45" s="29">
        <v>44</v>
      </c>
      <c r="J45" s="29">
        <f t="shared" si="16"/>
        <v>347.31480000000005</v>
      </c>
      <c r="K45" s="9">
        <f t="shared" si="17"/>
        <v>30.216387600000001</v>
      </c>
      <c r="L45" s="34">
        <f t="shared" ca="1" si="2"/>
        <v>347.48190646054218</v>
      </c>
      <c r="M45" s="38">
        <f t="shared" ca="1" si="18"/>
        <v>1341.7987926660242</v>
      </c>
      <c r="N45" s="34">
        <f t="shared" ca="1" si="19"/>
        <v>1058.2012073339758</v>
      </c>
      <c r="O45" s="34" t="b">
        <f t="shared" si="20"/>
        <v>1</v>
      </c>
      <c r="P45" s="34" t="b">
        <f t="shared" ca="1" si="21"/>
        <v>1</v>
      </c>
      <c r="Q45" s="34">
        <f t="shared" ca="1" si="24"/>
        <v>1341.7987926660242</v>
      </c>
      <c r="R45" s="42">
        <f t="shared" ca="1" si="25"/>
        <v>1</v>
      </c>
      <c r="S45" s="34">
        <f t="shared" ca="1" si="15"/>
        <v>590.94286579286018</v>
      </c>
      <c r="T45" s="44">
        <f t="shared" ca="1" si="12"/>
        <v>347.48190646054218</v>
      </c>
      <c r="U45" s="34">
        <f t="shared" ca="1" si="13"/>
        <v>0</v>
      </c>
      <c r="V45" s="47">
        <f t="shared" ca="1" si="22"/>
        <v>1105.2935515764395</v>
      </c>
      <c r="W45" s="47">
        <f t="shared" ca="1" si="23"/>
        <v>41697.828775265065</v>
      </c>
      <c r="X45" s="48">
        <f t="shared" ca="1" si="14"/>
        <v>40592.535223688625</v>
      </c>
    </row>
    <row r="46" spans="1:31" x14ac:dyDescent="0.25">
      <c r="A46" s="2"/>
      <c r="B46" s="2">
        <v>45</v>
      </c>
      <c r="C46" s="2">
        <v>334.6</v>
      </c>
      <c r="D46" s="2">
        <f t="shared" si="8"/>
        <v>29.110199999999999</v>
      </c>
      <c r="E46" s="3"/>
      <c r="F46" s="3"/>
      <c r="G46" s="3"/>
      <c r="H46" s="29"/>
      <c r="I46" s="29">
        <v>45</v>
      </c>
      <c r="J46" s="29">
        <f t="shared" si="16"/>
        <v>347.31480000000005</v>
      </c>
      <c r="K46" s="9">
        <f t="shared" si="17"/>
        <v>30.216387600000001</v>
      </c>
      <c r="L46" s="34">
        <f t="shared" ca="1" si="2"/>
        <v>373.40654680948575</v>
      </c>
      <c r="M46" s="38">
        <f t="shared" ca="1" si="18"/>
        <v>1390.9521918455716</v>
      </c>
      <c r="N46" s="34">
        <f t="shared" ca="1" si="19"/>
        <v>1009.0478081544284</v>
      </c>
      <c r="O46" s="34" t="b">
        <f t="shared" si="20"/>
        <v>0</v>
      </c>
      <c r="P46" s="34" t="b">
        <f t="shared" ca="1" si="21"/>
        <v>0</v>
      </c>
      <c r="Q46" s="34">
        <f t="shared" ca="1" si="24"/>
        <v>1341.7987926660242</v>
      </c>
      <c r="R46" s="42">
        <f t="shared" ca="1" si="25"/>
        <v>0</v>
      </c>
      <c r="S46" s="34">
        <f t="shared" ca="1" si="15"/>
        <v>1585.2597519983422</v>
      </c>
      <c r="T46" s="44">
        <f t="shared" ca="1" si="12"/>
        <v>373.40654680948575</v>
      </c>
      <c r="U46" s="34">
        <f t="shared" ca="1" si="13"/>
        <v>0</v>
      </c>
      <c r="V46" s="47">
        <f t="shared" ca="1" si="22"/>
        <v>550.71923784422404</v>
      </c>
      <c r="W46" s="47">
        <f t="shared" ca="1" si="23"/>
        <v>44808.785617138288</v>
      </c>
      <c r="X46" s="48">
        <f t="shared" ca="1" si="14"/>
        <v>44258.066379294061</v>
      </c>
    </row>
    <row r="47" spans="1:31" x14ac:dyDescent="0.25">
      <c r="A47" s="2"/>
      <c r="B47" s="2">
        <v>46</v>
      </c>
      <c r="C47" s="2">
        <v>334.6</v>
      </c>
      <c r="D47" s="2">
        <f t="shared" si="8"/>
        <v>29.110199999999999</v>
      </c>
      <c r="E47" s="3"/>
      <c r="F47" s="3"/>
      <c r="G47" s="3"/>
      <c r="H47" s="29"/>
      <c r="I47" s="29">
        <v>46</v>
      </c>
      <c r="J47" s="29">
        <f t="shared" si="16"/>
        <v>347.31480000000005</v>
      </c>
      <c r="K47" s="9">
        <f t="shared" si="17"/>
        <v>30.216387600000001</v>
      </c>
      <c r="L47" s="34">
        <f t="shared" ca="1" si="2"/>
        <v>334.44231626231362</v>
      </c>
      <c r="M47" s="38">
        <f t="shared" ca="1" si="18"/>
        <v>1316.3817835263446</v>
      </c>
      <c r="N47" s="34">
        <f t="shared" ca="1" si="19"/>
        <v>1083.6182164736554</v>
      </c>
      <c r="O47" s="34" t="b">
        <f t="shared" si="20"/>
        <v>1</v>
      </c>
      <c r="P47" s="34" t="b">
        <f t="shared" ca="1" si="21"/>
        <v>0</v>
      </c>
      <c r="Q47" s="34">
        <f t="shared" ca="1" si="24"/>
        <v>0</v>
      </c>
      <c r="R47" s="42">
        <f t="shared" ca="1" si="25"/>
        <v>0</v>
      </c>
      <c r="S47" s="34">
        <f t="shared" ca="1" si="15"/>
        <v>1211.8532051888565</v>
      </c>
      <c r="T47" s="44">
        <f t="shared" ca="1" si="12"/>
        <v>334.44231626231362</v>
      </c>
      <c r="U47" s="34">
        <f t="shared" ca="1" si="13"/>
        <v>0</v>
      </c>
      <c r="V47" s="47">
        <f t="shared" ca="1" si="22"/>
        <v>420.99780348260873</v>
      </c>
      <c r="W47" s="47">
        <f t="shared" ca="1" si="23"/>
        <v>40133.077951477637</v>
      </c>
      <c r="X47" s="48">
        <f t="shared" ca="1" si="14"/>
        <v>39712.080147995031</v>
      </c>
    </row>
    <row r="48" spans="1:31" x14ac:dyDescent="0.25">
      <c r="A48" s="2"/>
      <c r="B48" s="2">
        <v>47</v>
      </c>
      <c r="C48" s="2">
        <v>334.6</v>
      </c>
      <c r="D48" s="2">
        <f t="shared" si="8"/>
        <v>29.110199999999999</v>
      </c>
      <c r="E48" s="3"/>
      <c r="F48" s="3"/>
      <c r="G48" s="3"/>
      <c r="H48" s="29"/>
      <c r="I48" s="29">
        <v>47</v>
      </c>
      <c r="J48" s="29">
        <f t="shared" si="16"/>
        <v>347.31480000000005</v>
      </c>
      <c r="K48" s="9">
        <f t="shared" si="17"/>
        <v>30.216387600000001</v>
      </c>
      <c r="L48" s="34">
        <f t="shared" ca="1" si="2"/>
        <v>386.08984561174736</v>
      </c>
      <c r="M48" s="38">
        <f t="shared" ca="1" si="18"/>
        <v>1414.3779551449463</v>
      </c>
      <c r="N48" s="34">
        <f t="shared" ca="1" si="19"/>
        <v>985.62204485505367</v>
      </c>
      <c r="O48" s="34" t="b">
        <f t="shared" si="20"/>
        <v>0</v>
      </c>
      <c r="P48" s="34" t="b">
        <f t="shared" ca="1" si="21"/>
        <v>0</v>
      </c>
      <c r="Q48" s="34">
        <f t="shared" ca="1" si="24"/>
        <v>0</v>
      </c>
      <c r="R48" s="42">
        <f t="shared" ca="1" si="25"/>
        <v>0</v>
      </c>
      <c r="S48" s="34">
        <f t="shared" ca="1" si="15"/>
        <v>877.41088892654284</v>
      </c>
      <c r="T48" s="44">
        <f t="shared" ca="1" si="12"/>
        <v>386.08984561174736</v>
      </c>
      <c r="U48" s="34">
        <f t="shared" ca="1" si="13"/>
        <v>0</v>
      </c>
      <c r="V48" s="47">
        <f t="shared" ca="1" si="22"/>
        <v>304.812542813081</v>
      </c>
      <c r="W48" s="47">
        <f t="shared" ca="1" si="23"/>
        <v>46330.781473409683</v>
      </c>
      <c r="X48" s="48">
        <f t="shared" ca="1" si="14"/>
        <v>46025.968930596602</v>
      </c>
    </row>
    <row r="49" spans="1:24" x14ac:dyDescent="0.25">
      <c r="A49" s="2"/>
      <c r="B49" s="2">
        <v>48</v>
      </c>
      <c r="C49" s="2">
        <v>334.6</v>
      </c>
      <c r="D49" s="2">
        <f t="shared" si="8"/>
        <v>29.110199999999999</v>
      </c>
      <c r="E49" s="3"/>
      <c r="F49" s="3"/>
      <c r="G49" s="3"/>
      <c r="H49" s="29"/>
      <c r="I49" s="29">
        <v>48</v>
      </c>
      <c r="J49" s="29">
        <f t="shared" si="16"/>
        <v>347.31480000000005</v>
      </c>
      <c r="K49" s="9">
        <f t="shared" si="17"/>
        <v>30.216387600000001</v>
      </c>
      <c r="L49" s="34">
        <f t="shared" ca="1" si="2"/>
        <v>339.93541488084628</v>
      </c>
      <c r="M49" s="38">
        <f t="shared" ca="1" si="18"/>
        <v>1327.1484468589035</v>
      </c>
      <c r="N49" s="34">
        <f t="shared" ca="1" si="19"/>
        <v>1072.8515531410965</v>
      </c>
      <c r="O49" s="34" t="b">
        <f t="shared" si="20"/>
        <v>1</v>
      </c>
      <c r="P49" s="34" t="b">
        <f t="shared" ca="1" si="21"/>
        <v>1</v>
      </c>
      <c r="Q49" s="34">
        <f t="shared" ca="1" si="24"/>
        <v>0</v>
      </c>
      <c r="R49" s="42">
        <f t="shared" ca="1" si="25"/>
        <v>2</v>
      </c>
      <c r="S49" s="34">
        <f t="shared" ca="1" si="15"/>
        <v>491.32104331479547</v>
      </c>
      <c r="T49" s="44">
        <f t="shared" ca="1" si="12"/>
        <v>339.93541488084628</v>
      </c>
      <c r="U49" s="34">
        <f t="shared" ca="1" si="13"/>
        <v>0</v>
      </c>
      <c r="V49" s="47">
        <f t="shared" ca="1" si="22"/>
        <v>1070.68493044756</v>
      </c>
      <c r="W49" s="47">
        <f t="shared" ca="1" si="23"/>
        <v>40792.249785701555</v>
      </c>
      <c r="X49" s="48">
        <f t="shared" ca="1" si="14"/>
        <v>39721.564855253993</v>
      </c>
    </row>
    <row r="50" spans="1:24" x14ac:dyDescent="0.25">
      <c r="A50" s="2"/>
      <c r="B50" s="2">
        <v>49</v>
      </c>
      <c r="C50" s="2">
        <v>334.6</v>
      </c>
      <c r="D50" s="2">
        <f t="shared" si="8"/>
        <v>29.110199999999999</v>
      </c>
      <c r="E50" s="3"/>
      <c r="F50" s="3"/>
      <c r="G50" s="3"/>
      <c r="H50" s="29"/>
      <c r="I50" s="29">
        <v>49</v>
      </c>
      <c r="J50" s="29">
        <f t="shared" si="16"/>
        <v>347.31480000000005</v>
      </c>
      <c r="K50" s="9">
        <f t="shared" si="17"/>
        <v>30.216387600000001</v>
      </c>
      <c r="L50" s="34">
        <f t="shared" ca="1" si="2"/>
        <v>393.67390483364642</v>
      </c>
      <c r="M50" s="38">
        <f t="shared" ca="1" si="18"/>
        <v>1428.2020165228728</v>
      </c>
      <c r="N50" s="34">
        <f t="shared" ca="1" si="19"/>
        <v>971.79798347712722</v>
      </c>
      <c r="O50" s="34" t="b">
        <f t="shared" si="20"/>
        <v>0</v>
      </c>
      <c r="P50" s="34" t="b">
        <f t="shared" ca="1" si="21"/>
        <v>0</v>
      </c>
      <c r="Q50" s="34">
        <f t="shared" ca="1" si="24"/>
        <v>1428.2020165228728</v>
      </c>
      <c r="R50" s="42">
        <f t="shared" ca="1" si="25"/>
        <v>1</v>
      </c>
      <c r="S50" s="34">
        <f t="shared" ca="1" si="15"/>
        <v>151.38562843394919</v>
      </c>
      <c r="T50" s="44">
        <f t="shared" ca="1" si="12"/>
        <v>0</v>
      </c>
      <c r="U50" s="34">
        <f t="shared" ca="1" si="13"/>
        <v>242.28827639969722</v>
      </c>
      <c r="V50" s="47">
        <f t="shared" ca="1" si="22"/>
        <v>6836.6631065094762</v>
      </c>
      <c r="W50" s="47">
        <f t="shared" ca="1" si="23"/>
        <v>0</v>
      </c>
      <c r="X50" s="48">
        <f t="shared" ca="1" si="14"/>
        <v>-6836.6631065094762</v>
      </c>
    </row>
    <row r="51" spans="1:24" x14ac:dyDescent="0.25">
      <c r="A51" s="2"/>
      <c r="B51" s="2">
        <v>50</v>
      </c>
      <c r="C51" s="2">
        <v>334.6</v>
      </c>
      <c r="D51" s="2">
        <f t="shared" si="8"/>
        <v>29.110199999999999</v>
      </c>
      <c r="E51" s="3"/>
      <c r="F51" s="3"/>
      <c r="G51" s="3"/>
      <c r="H51" s="30"/>
      <c r="I51" s="30">
        <v>50</v>
      </c>
      <c r="J51" s="30">
        <f t="shared" si="16"/>
        <v>347.31480000000005</v>
      </c>
      <c r="K51" s="10">
        <f t="shared" si="17"/>
        <v>30.216387600000001</v>
      </c>
      <c r="L51" s="35">
        <f t="shared" ca="1" si="2"/>
        <v>285.32341178075694</v>
      </c>
      <c r="M51" s="39">
        <f t="shared" ca="1" si="18"/>
        <v>1215.8778721565748</v>
      </c>
      <c r="N51" s="35">
        <f t="shared" ca="1" si="19"/>
        <v>1184.1221278434252</v>
      </c>
      <c r="O51" s="35" t="b">
        <f t="shared" si="20"/>
        <v>1</v>
      </c>
      <c r="P51" s="35" t="b">
        <f t="shared" ca="1" si="21"/>
        <v>0</v>
      </c>
      <c r="Q51" s="35">
        <f t="shared" ca="1" si="24"/>
        <v>1428.2020165228728</v>
      </c>
      <c r="R51" s="43">
        <f t="shared" ca="1" si="25"/>
        <v>0</v>
      </c>
      <c r="S51" s="35">
        <f t="shared" ca="1" si="15"/>
        <v>1428.2020165228728</v>
      </c>
      <c r="T51" s="45">
        <f t="shared" ca="1" si="12"/>
        <v>285.32341178075694</v>
      </c>
      <c r="U51" s="35">
        <f t="shared" ca="1" si="13"/>
        <v>0</v>
      </c>
      <c r="V51" s="49">
        <f t="shared" ca="1" si="22"/>
        <v>496.15738054004601</v>
      </c>
      <c r="W51" s="49">
        <f t="shared" ca="1" si="23"/>
        <v>34238.809413690833</v>
      </c>
      <c r="X51" s="50">
        <f t="shared" ca="1" si="14"/>
        <v>33742.652033150785</v>
      </c>
    </row>
    <row r="52" spans="1:24" x14ac:dyDescent="0.25">
      <c r="H52" s="5"/>
      <c r="I52" s="5"/>
      <c r="J52" s="5"/>
      <c r="K52" s="7" t="s">
        <v>31</v>
      </c>
      <c r="L52" s="8">
        <f ca="1">AVERAGE(L2:L51)</f>
        <v>433.20721370792523</v>
      </c>
      <c r="M52" s="5"/>
      <c r="N52" s="5"/>
      <c r="O52" s="5"/>
      <c r="P52" s="5"/>
      <c r="Q52" s="5"/>
      <c r="R52" s="5"/>
      <c r="S52" s="5"/>
      <c r="T52" s="6"/>
      <c r="U52" s="5"/>
      <c r="V52" s="5"/>
      <c r="W52" s="5"/>
      <c r="X52" s="5">
        <f ca="1">COUNTIF(X2:X51, "&lt;0")</f>
        <v>12</v>
      </c>
    </row>
  </sheetData>
  <conditionalFormatting sqref="U2:U51">
    <cfRule type="cellIs" dxfId="1" priority="2" operator="greaterThan">
      <formula>0</formula>
    </cfRule>
  </conditionalFormatting>
  <conditionalFormatting sqref="X2:X5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Monteiro</dc:creator>
  <cp:lastModifiedBy>Filipe Monteiro</cp:lastModifiedBy>
  <dcterms:created xsi:type="dcterms:W3CDTF">2019-04-10T13:21:24Z</dcterms:created>
  <dcterms:modified xsi:type="dcterms:W3CDTF">2019-05-12T22:13:47Z</dcterms:modified>
</cp:coreProperties>
</file>