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FAE2090B-1BA1-416B-8EEE-C60D75C64070}" xr6:coauthVersionLast="46" xr6:coauthVersionMax="46" xr10:uidLastSave="{00000000-0000-0000-0000-000000000000}"/>
  <bookViews>
    <workbookView xWindow="0" yWindow="570" windowWidth="24480" windowHeight="10080" activeTab="4" xr2:uid="{0342F312-4DE5-442D-8282-6B7D8F998C3E}"/>
  </bookViews>
  <sheets>
    <sheet name="Input_and_prep" sheetId="1" r:id="rId1"/>
    <sheet name="Random seeds" sheetId="14" r:id="rId2"/>
    <sheet name="Model_data_1" sheetId="2" r:id="rId3"/>
    <sheet name="Dataset_1" sheetId="5" r:id="rId4"/>
    <sheet name="Discussion_table" sheetId="15" r:id="rId5"/>
    <sheet name="Text_table_sample_cons" sheetId="7" r:id="rId6"/>
    <sheet name="Table_summary_stats" sheetId="8" r:id="rId7"/>
    <sheet name="Text_table_AUCs" sheetId="10" r:id="rId8"/>
    <sheet name="Tables_quantiles" sheetId="13" r:id="rId9"/>
    <sheet name="Unweighted results table" sheetId="11" r:id="rId10"/>
    <sheet name="Text_table_sumstats" sheetId="9" r:id="rId11"/>
    <sheet name="Text_table_sumstats_L" sheetId="12" r:id="rId12"/>
    <sheet name="Dataset_2" sheetId="6" r:id="rId13"/>
    <sheet name="Model_data_2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0" i="13" l="1"/>
  <c r="AR19" i="13"/>
  <c r="AR18" i="13"/>
  <c r="AP20" i="13"/>
  <c r="AP19" i="13"/>
  <c r="AP18" i="13"/>
  <c r="AN20" i="13"/>
  <c r="AN19" i="13"/>
  <c r="AN18" i="13"/>
  <c r="AL20" i="13"/>
  <c r="AL19" i="13"/>
  <c r="AL18" i="13"/>
  <c r="AJ20" i="13"/>
  <c r="AJ19" i="13"/>
  <c r="AJ18" i="13"/>
  <c r="AH18" i="13"/>
  <c r="AH20" i="13"/>
  <c r="AH19" i="13"/>
  <c r="AF20" i="13"/>
  <c r="AF19" i="13"/>
  <c r="AF18" i="13"/>
  <c r="AD20" i="13"/>
  <c r="AD19" i="13"/>
  <c r="AD18" i="13"/>
  <c r="AB20" i="13"/>
  <c r="AB19" i="13"/>
  <c r="AB18" i="13"/>
  <c r="W20" i="13"/>
  <c r="W19" i="13"/>
  <c r="W18" i="13"/>
  <c r="U20" i="13"/>
  <c r="U19" i="13"/>
  <c r="U18" i="13"/>
  <c r="S20" i="13"/>
  <c r="S19" i="13"/>
  <c r="S18" i="13"/>
  <c r="Q20" i="13"/>
  <c r="Q19" i="13"/>
  <c r="Q18" i="13"/>
  <c r="O20" i="13"/>
  <c r="O19" i="13"/>
  <c r="O18" i="13"/>
  <c r="M20" i="13"/>
  <c r="M19" i="13"/>
  <c r="M18" i="13"/>
  <c r="K20" i="13"/>
  <c r="K19" i="13"/>
  <c r="K18" i="13"/>
  <c r="I20" i="13"/>
  <c r="I19" i="13"/>
  <c r="I18" i="13"/>
  <c r="G20" i="13"/>
  <c r="G19" i="13"/>
  <c r="G18" i="13"/>
  <c r="AB4" i="12"/>
  <c r="Z30" i="12"/>
  <c r="T30" i="12"/>
  <c r="N30" i="12"/>
  <c r="H30" i="12"/>
  <c r="Z29" i="12"/>
  <c r="T29" i="12"/>
  <c r="N29" i="12"/>
  <c r="H29" i="12"/>
  <c r="Z28" i="12"/>
  <c r="T28" i="12"/>
  <c r="N28" i="12"/>
  <c r="H28" i="12"/>
  <c r="Z27" i="12"/>
  <c r="T27" i="12"/>
  <c r="N27" i="12"/>
  <c r="H27" i="12"/>
  <c r="Z26" i="12"/>
  <c r="T26" i="12"/>
  <c r="N26" i="12"/>
  <c r="H26" i="12"/>
  <c r="Z25" i="12"/>
  <c r="T25" i="12"/>
  <c r="N25" i="12"/>
  <c r="H25" i="12"/>
  <c r="Z24" i="12"/>
  <c r="T24" i="12"/>
  <c r="N24" i="12"/>
  <c r="H24" i="12"/>
  <c r="Z23" i="12"/>
  <c r="T23" i="12"/>
  <c r="N23" i="12"/>
  <c r="H23" i="12"/>
  <c r="Z22" i="12"/>
  <c r="T22" i="12"/>
  <c r="N22" i="12"/>
  <c r="H22" i="12"/>
  <c r="Z21" i="12"/>
  <c r="T21" i="12"/>
  <c r="N21" i="12"/>
  <c r="H21" i="12"/>
  <c r="I21" i="12" s="1"/>
  <c r="Z20" i="12"/>
  <c r="T20" i="12"/>
  <c r="N20" i="12"/>
  <c r="H20" i="12"/>
  <c r="Z19" i="12"/>
  <c r="T19" i="12"/>
  <c r="N19" i="12"/>
  <c r="H19" i="12"/>
  <c r="Z18" i="12"/>
  <c r="T18" i="12"/>
  <c r="N18" i="12"/>
  <c r="H18" i="12"/>
  <c r="Y17" i="12"/>
  <c r="S17" i="12"/>
  <c r="M17" i="12"/>
  <c r="G17" i="12"/>
  <c r="AB4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J8" i="7"/>
  <c r="J9" i="7"/>
  <c r="J10" i="7"/>
  <c r="J11" i="7"/>
  <c r="J12" i="7"/>
  <c r="J7" i="7"/>
  <c r="I12" i="7"/>
  <c r="I7" i="7"/>
  <c r="I8" i="7"/>
  <c r="I9" i="7"/>
  <c r="I10" i="7"/>
  <c r="I11" i="7"/>
  <c r="H11" i="7"/>
  <c r="H10" i="7"/>
  <c r="H9" i="7"/>
  <c r="H8" i="7"/>
  <c r="H12" i="7"/>
  <c r="E12" i="7"/>
  <c r="E11" i="7"/>
  <c r="E10" i="7"/>
  <c r="E9" i="7"/>
  <c r="E8" i="7"/>
  <c r="H7" i="7"/>
  <c r="E7" i="7"/>
  <c r="G8" i="7"/>
  <c r="G9" i="7"/>
  <c r="G10" i="7"/>
  <c r="G11" i="7"/>
  <c r="G12" i="7"/>
  <c r="G7" i="7"/>
  <c r="F7" i="7"/>
  <c r="F8" i="7"/>
  <c r="F12" i="7" s="1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U30" i="12" l="1"/>
  <c r="AA30" i="12"/>
  <c r="O30" i="12"/>
  <c r="I22" i="12"/>
  <c r="I23" i="12"/>
  <c r="I25" i="12"/>
  <c r="I24" i="12"/>
  <c r="I26" i="12"/>
  <c r="I28" i="12"/>
  <c r="I27" i="12"/>
  <c r="I29" i="12"/>
  <c r="I30" i="12"/>
  <c r="O21" i="12"/>
  <c r="O22" i="12"/>
  <c r="O23" i="12"/>
  <c r="O24" i="12"/>
  <c r="O25" i="12"/>
  <c r="O26" i="12"/>
  <c r="O27" i="12"/>
  <c r="O28" i="12"/>
  <c r="O29" i="12"/>
  <c r="U21" i="12"/>
  <c r="U22" i="12"/>
  <c r="U23" i="12"/>
  <c r="U24" i="12"/>
  <c r="U25" i="12"/>
  <c r="U26" i="12"/>
  <c r="U27" i="12"/>
  <c r="U28" i="12"/>
  <c r="U29" i="12"/>
  <c r="AA21" i="12"/>
  <c r="AA22" i="12"/>
  <c r="AA23" i="12"/>
  <c r="AA24" i="12"/>
  <c r="AA25" i="12"/>
  <c r="AA26" i="12"/>
  <c r="AA27" i="12"/>
  <c r="AA28" i="12"/>
  <c r="AA29" i="12"/>
  <c r="U27" i="9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<sst xmlns="http://schemas.openxmlformats.org/spreadsheetml/2006/main" count="917" uniqueCount="370">
  <si>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</si>
  <si>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</si>
  <si>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</si>
  <si>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</si>
  <si>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</si>
  <si>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</si>
  <si>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</si>
  <si>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</si>
  <si>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</si>
  <si>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</si>
  <si>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</si>
  <si>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</si>
  <si>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</si>
  <si>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</si>
  <si>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</si>
  <si>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</si>
  <si>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</si>
  <si>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</si>
  <si>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</si>
  <si>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</si>
  <si>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</si>
  <si>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</si>
  <si>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</si>
  <si>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</si>
  <si>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</si>
  <si>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</si>
  <si>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</si>
  <si>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</si>
  <si>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</si>
  <si>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</si>
  <si>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</si>
  <si>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</si>
  <si>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</si>
  <si>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</si>
  <si>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</si>
  <si>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</si>
  <si>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</si>
  <si>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</si>
  <si>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</si>
  <si>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</si>
  <si>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</si>
  <si>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</si>
  <si>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</si>
  <si>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</si>
  <si>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</si>
  <si>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</si>
  <si>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</si>
  <si>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</si>
  <si>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</si>
  <si>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</si>
  <si>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</si>
  <si>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</si>
  <si>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</si>
  <si>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</si>
  <si>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</si>
  <si>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</si>
  <si>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</si>
  <si>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</si>
  <si>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</si>
  <si>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</si>
  <si>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</si>
  <si>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</si>
  <si>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</si>
  <si>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</si>
  <si>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</si>
  <si>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</si>
  <si>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</si>
  <si>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</si>
  <si>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</si>
  <si>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</si>
  <si>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</si>
  <si>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</si>
  <si>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</si>
  <si>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</si>
  <si>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</si>
  <si>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</si>
  <si>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</si>
  <si>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</si>
  <si>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</si>
  <si>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</si>
  <si>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</si>
  <si>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</si>
  <si>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</si>
  <si>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</si>
  <si>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</si>
  <si>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</si>
  <si>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</si>
  <si>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</si>
  <si>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</si>
  <si>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</si>
  <si>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</si>
  <si>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</si>
  <si>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</si>
  <si>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</si>
  <si>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</si>
  <si>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</si>
  <si>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</si>
  <si>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</si>
  <si>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</si>
  <si>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</si>
  <si>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</si>
  <si>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</si>
  <si>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</si>
  <si>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</si>
  <si>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</si>
  <si>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</si>
  <si>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</si>
  <si>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</si>
  <si>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</si>
  <si>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</si>
  <si>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</si>
  <si>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</si>
  <si>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</si>
  <si>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</si>
  <si>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</si>
  <si>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</si>
  <si>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</si>
  <si>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</si>
  <si>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</si>
  <si>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</si>
  <si>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</si>
  <si>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</si>
  <si>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</si>
  <si>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</si>
  <si>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</si>
  <si>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</si>
  <si>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</si>
  <si>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</si>
  <si>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</si>
  <si>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</si>
  <si>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</si>
  <si>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</si>
  <si>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</si>
  <si>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</si>
  <si>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</si>
  <si>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</si>
  <si>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</si>
  <si>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</si>
  <si>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</si>
  <si>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</si>
  <si>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</si>
  <si>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</si>
  <si>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</si>
  <si>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</si>
  <si>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</si>
  <si>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</si>
  <si>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</si>
  <si>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</si>
  <si>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</si>
  <si>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</si>
  <si>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</si>
  <si>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</si>
  <si>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</si>
  <si>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</si>
  <si>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</si>
  <si>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</si>
  <si>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</si>
  <si>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</si>
  <si>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</si>
  <si>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</si>
  <si>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</si>
  <si>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</si>
  <si>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</si>
  <si>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</si>
  <si>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</si>
  <si>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</si>
  <si>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</si>
  <si>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</si>
  <si>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</si>
  <si>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</si>
  <si>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</si>
  <si>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</si>
  <si>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</si>
  <si>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</si>
  <si>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</si>
  <si>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</si>
  <si>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</si>
  <si>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</si>
  <si>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</si>
  <si>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</si>
  <si>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</si>
  <si>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</si>
  <si>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</si>
  <si>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</si>
  <si>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</si>
  <si>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</si>
  <si>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</si>
  <si>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</si>
  <si>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</si>
  <si>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</si>
  <si>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</si>
  <si>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</si>
  <si>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</si>
  <si>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</si>
  <si>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</si>
  <si>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</si>
  <si>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</si>
  <si>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</si>
  <si>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</si>
  <si>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</si>
  <si>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</si>
  <si>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</si>
  <si>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</si>
  <si>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</si>
  <si>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</si>
  <si>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</si>
  <si>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</si>
  <si>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</si>
  <si>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</si>
  <si>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</si>
  <si>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</si>
  <si>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</si>
  <si>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</si>
  <si>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</si>
  <si>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</si>
  <si>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</si>
  <si>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</si>
  <si>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</si>
  <si>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</si>
  <si>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</si>
  <si>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</si>
  <si>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</si>
  <si>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</si>
  <si>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</si>
  <si>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</si>
  <si>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</si>
  <si>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</si>
  <si>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</si>
  <si>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</si>
  <si>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</si>
  <si>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</si>
  <si>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</si>
  <si>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</si>
  <si>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</si>
  <si>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</si>
  <si>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</si>
  <si>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</si>
  <si>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</si>
  <si>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</si>
  <si>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</si>
  <si>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</si>
  <si>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</si>
  <si>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</si>
  <si>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</si>
  <si>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</si>
  <si>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</si>
  <si>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</si>
  <si>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</si>
  <si>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</si>
  <si>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</si>
  <si>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</si>
  <si>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</si>
  <si>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</si>
  <si>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</si>
  <si>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</si>
  <si>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</si>
  <si>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</si>
  <si>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</si>
  <si>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</si>
  <si>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</si>
  <si>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</si>
  <si>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</si>
  <si>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</si>
  <si>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</si>
  <si>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</si>
  <si>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</si>
  <si>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</si>
  <si>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</si>
  <si>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</si>
  <si>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</si>
  <si>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</si>
  <si>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</si>
  <si>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</si>
  <si>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</si>
  <si>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</si>
  <si>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</si>
  <si>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</si>
  <si>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</si>
  <si>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</si>
  <si>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</si>
  <si>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</si>
  <si>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</si>
  <si>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</si>
  <si>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</si>
  <si>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</si>
  <si>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</si>
  <si>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</si>
  <si>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</si>
  <si>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</si>
  <si>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</si>
  <si>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</si>
  <si>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</si>
  <si>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</si>
  <si>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</si>
  <si>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</si>
  <si>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</si>
  <si>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</si>
  <si>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</si>
  <si>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</si>
  <si>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</si>
  <si>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</si>
  <si>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</si>
  <si>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</si>
  <si>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</si>
  <si>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</si>
  <si>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</si>
  <si>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</si>
  <si>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</si>
  <si>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</si>
  <si>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</si>
  <si>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</si>
  <si>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</si>
  <si>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</si>
  <si>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</si>
  <si>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</si>
  <si>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</si>
  <si>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</si>
  <si>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</si>
  <si>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</si>
  <si>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</si>
  <si>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</si>
  <si>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</si>
  <si>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</si>
  <si>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</si>
  <si>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</si>
  <si>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</si>
  <si>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</si>
  <si>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</si>
  <si>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</si>
  <si>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</si>
  <si>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</si>
  <si>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</si>
  <si>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</si>
  <si>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</si>
  <si>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</si>
  <si>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</si>
  <si>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</si>
  <si>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</si>
  <si>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</si>
  <si>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</si>
  <si>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</si>
  <si>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</si>
  <si>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</si>
  <si>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</si>
  <si>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</si>
  <si>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</si>
  <si>
    <t>Cardio-metabolic risk markers (change)</t>
  </si>
  <si>
    <t>Moderator variables</t>
  </si>
  <si>
    <t xml:space="preserve">Moderator variables </t>
  </si>
  <si>
    <t>Top 10\%</t>
  </si>
  <si>
    <t>Mid 80\%</t>
  </si>
  <si>
    <t>Bot 10\%</t>
  </si>
  <si>
    <t>Weighted Cross Sectional Sample</t>
  </si>
  <si>
    <t>ITE</t>
  </si>
  <si>
    <t>Treatment Effect size</t>
  </si>
  <si>
    <t>Weighted Longitudinal Sample</t>
  </si>
  <si>
    <t>Share (\%)</t>
  </si>
  <si>
    <t xml:space="preserve">#Seeds were manually changed each iterations. Starting with both seeds at 30121997 for the first run, then 13022021 to 31022021 for the other 18. </t>
  </si>
  <si>
    <t>Seed</t>
  </si>
  <si>
    <t>Batch number</t>
  </si>
  <si>
    <t>Analysis</t>
  </si>
  <si>
    <t>Cross sectional</t>
  </si>
  <si>
    <t>Longitudinal</t>
  </si>
  <si>
    <t>Times seen doctor</t>
  </si>
  <si>
    <t>Dominant hand grip strength</t>
  </si>
  <si>
    <t>Median</t>
  </si>
  <si>
    <t>S.d.</t>
  </si>
  <si>
    <t>White/caucasian</t>
  </si>
  <si>
    <t>Black/african american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</si>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</sst>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E+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88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Border="1"/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  <xf numFmtId="0" fontId="0" fillId="0" borderId="2" xfId="0" applyBorder="1"/>
    <xf numFmtId="0" fontId="10" fillId="0" borderId="0" xfId="0" applyFont="1"/>
    <xf numFmtId="0" fontId="0" fillId="0" borderId="0" xfId="0"/>
    <xf numFmtId="0" fontId="11" fillId="0" borderId="0" xfId="0" applyFont="1"/>
    <xf numFmtId="2" fontId="11" fillId="0" borderId="0" xfId="0" applyNumberFormat="1" applyFont="1"/>
    <xf numFmtId="165" fontId="1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3" fillId="0" borderId="0" xfId="2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/>
    <xf numFmtId="0" fontId="3" fillId="0" borderId="0" xfId="2" applyNumberFormat="1" applyFont="1"/>
    <xf numFmtId="0" fontId="0" fillId="0" borderId="0" xfId="0" applyNumberFormat="1"/>
    <xf numFmtId="168" fontId="3" fillId="0" borderId="0" xfId="0" applyNumberFormat="1" applyFont="1"/>
    <xf numFmtId="11" fontId="3" fillId="0" borderId="0" xfId="0" applyNumberFormat="1" applyFont="1"/>
    <xf numFmtId="0" fontId="0" fillId="0" borderId="0" xfId="0"/>
    <xf numFmtId="0" fontId="0" fillId="0" borderId="3" xfId="0" applyFont="1" applyBorder="1"/>
    <xf numFmtId="164" fontId="11" fillId="0" borderId="0" xfId="0" applyNumberFormat="1" applyFont="1"/>
    <xf numFmtId="1" fontId="11" fillId="0" borderId="0" xfId="0" applyNumberFormat="1" applyFont="1"/>
    <xf numFmtId="164" fontId="11" fillId="0" borderId="0" xfId="2" applyNumberFormat="1" applyFont="1"/>
    <xf numFmtId="0" fontId="3" fillId="0" borderId="2" xfId="0" applyFont="1" applyBorder="1"/>
    <xf numFmtId="2" fontId="3" fillId="0" borderId="0" xfId="2" applyNumberFormat="1" applyFont="1"/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Font="1"/>
    <xf numFmtId="0" fontId="0" fillId="0" borderId="0" xfId="0"/>
    <xf numFmtId="0" fontId="0" fillId="0" borderId="4" xfId="0" applyBorder="1" applyAlignment="1">
      <alignment horizont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H39" sqref="C2:H39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331</v>
      </c>
    </row>
    <row r="2" spans="3:23" x14ac:dyDescent="0.25">
      <c r="F2" t="s">
        <v>19</v>
      </c>
      <c r="I2" t="s">
        <v>55</v>
      </c>
      <c r="K2" t="s">
        <v>334</v>
      </c>
      <c r="N2" t="s">
        <v>335</v>
      </c>
    </row>
    <row r="3" spans="3:23" x14ac:dyDescent="0.25">
      <c r="C3" t="s">
        <v>341</v>
      </c>
      <c r="D3" t="s">
        <v>342</v>
      </c>
      <c r="E3" t="s">
        <v>343</v>
      </c>
      <c r="F3" t="s">
        <v>270</v>
      </c>
      <c r="G3" t="s">
        <v>271</v>
      </c>
      <c r="H3" t="s">
        <v>272</v>
      </c>
      <c r="I3" t="s">
        <v>332</v>
      </c>
      <c r="J3" t="s">
        <v>333</v>
      </c>
      <c r="K3" t="s">
        <v>336</v>
      </c>
      <c r="L3" t="s">
        <v>337</v>
      </c>
      <c r="M3" t="s">
        <v>338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329</v>
      </c>
      <c r="E4" s="36">
        <v>-0.18870000000000001</v>
      </c>
    </row>
    <row r="5" spans="3:23" x14ac:dyDescent="0.25">
      <c r="D5" t="s">
        <v>339</v>
      </c>
      <c r="E5" s="36">
        <v>0.57339390000000001</v>
      </c>
    </row>
    <row r="6" spans="3:23" s="41" customFormat="1" x14ac:dyDescent="0.25">
      <c r="D6" s="41" t="s">
        <v>340</v>
      </c>
      <c r="E6" s="36">
        <v>-1.032214</v>
      </c>
    </row>
    <row r="7" spans="3:23" s="25" customFormat="1" x14ac:dyDescent="0.25">
      <c r="D7" s="25" t="s">
        <v>330</v>
      </c>
      <c r="E7" s="36">
        <v>0.36380000000000001</v>
      </c>
    </row>
    <row r="8" spans="3:23" x14ac:dyDescent="0.25">
      <c r="C8" t="s">
        <v>164</v>
      </c>
      <c r="D8" s="25" t="s">
        <v>329</v>
      </c>
      <c r="E8" s="36">
        <v>4.1099999999999998E-2</v>
      </c>
    </row>
    <row r="9" spans="3:23" x14ac:dyDescent="0.25">
      <c r="D9" s="25" t="s">
        <v>339</v>
      </c>
      <c r="E9" s="36">
        <v>0.49000709999999997</v>
      </c>
    </row>
    <row r="10" spans="3:23" s="41" customFormat="1" x14ac:dyDescent="0.25">
      <c r="D10" s="41" t="s">
        <v>340</v>
      </c>
      <c r="E10" s="36">
        <v>-0.440552</v>
      </c>
    </row>
    <row r="11" spans="3:23" x14ac:dyDescent="0.25">
      <c r="D11" s="25" t="s">
        <v>330</v>
      </c>
      <c r="E11" s="36">
        <v>0.57040000000000002</v>
      </c>
    </row>
    <row r="12" spans="3:23" x14ac:dyDescent="0.25">
      <c r="C12" t="s">
        <v>18</v>
      </c>
      <c r="D12" s="25" t="s">
        <v>329</v>
      </c>
      <c r="E12" s="36">
        <v>-1.9599999999999999E-2</v>
      </c>
    </row>
    <row r="13" spans="3:23" x14ac:dyDescent="0.25">
      <c r="D13" s="41" t="s">
        <v>339</v>
      </c>
      <c r="E13" s="36">
        <v>0.29692429999999997</v>
      </c>
    </row>
    <row r="14" spans="3:23" s="41" customFormat="1" x14ac:dyDescent="0.25">
      <c r="D14" s="41" t="s">
        <v>340</v>
      </c>
      <c r="E14" s="36">
        <v>-0.3664499</v>
      </c>
    </row>
    <row r="15" spans="3:23" x14ac:dyDescent="0.25">
      <c r="D15" s="25" t="s">
        <v>330</v>
      </c>
      <c r="E15" s="36">
        <v>0.47920000000000001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zoomScale="70" zoomScaleNormal="70" workbookViewId="0">
      <selection activeCell="O30" sqref="D2:P30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82" t="s">
        <v>253</v>
      </c>
      <c r="H3" s="82"/>
      <c r="I3" s="82"/>
      <c r="J3" s="82"/>
      <c r="K3" s="82"/>
      <c r="L3" s="82"/>
      <c r="M3" s="82"/>
      <c r="N3" s="82"/>
      <c r="O3" s="82"/>
      <c r="P3" s="82"/>
      <c r="Q3" s="35"/>
      <c r="S3" s="82" t="s">
        <v>258</v>
      </c>
      <c r="T3" s="82"/>
      <c r="U3" s="82"/>
      <c r="V3" s="82"/>
      <c r="W3" s="82"/>
      <c r="X3" s="82"/>
      <c r="Y3" s="82"/>
      <c r="Z3" s="82"/>
      <c r="AA3" s="82"/>
      <c r="AB3" s="82"/>
    </row>
    <row r="4" spans="4:28" x14ac:dyDescent="0.25">
      <c r="F4" s="13"/>
      <c r="G4" s="24" t="s">
        <v>312</v>
      </c>
      <c r="H4" t="s">
        <v>261</v>
      </c>
      <c r="I4" s="24">
        <v>3918</v>
      </c>
      <c r="L4" s="24"/>
      <c r="M4" s="24" t="s">
        <v>311</v>
      </c>
      <c r="N4" s="24" t="s">
        <v>318</v>
      </c>
      <c r="O4" s="24">
        <v>611</v>
      </c>
      <c r="Q4" s="24"/>
      <c r="R4" s="13"/>
      <c r="S4" s="24" t="s">
        <v>312</v>
      </c>
      <c r="T4" s="41" t="s">
        <v>261</v>
      </c>
      <c r="U4" s="24">
        <v>23047018</v>
      </c>
      <c r="V4" s="41"/>
      <c r="W4" s="41"/>
      <c r="X4" s="24"/>
      <c r="Y4" s="24" t="s">
        <v>311</v>
      </c>
      <c r="Z4" s="24" t="s">
        <v>318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254</v>
      </c>
      <c r="H5" s="33" t="s">
        <v>255</v>
      </c>
      <c r="I5" s="31"/>
      <c r="K5" s="34" t="s">
        <v>314</v>
      </c>
      <c r="L5" s="24"/>
      <c r="M5" s="33" t="s">
        <v>254</v>
      </c>
      <c r="N5" s="33" t="s">
        <v>255</v>
      </c>
      <c r="O5" s="31"/>
      <c r="R5" s="24"/>
      <c r="S5" s="33" t="s">
        <v>254</v>
      </c>
      <c r="T5" s="33" t="s">
        <v>255</v>
      </c>
      <c r="U5" s="40"/>
      <c r="V5" s="41"/>
      <c r="W5" s="34" t="s">
        <v>314</v>
      </c>
      <c r="X5" s="24"/>
      <c r="Y5" s="33" t="s">
        <v>254</v>
      </c>
      <c r="Z5" s="33" t="s">
        <v>255</v>
      </c>
      <c r="AA5" s="40"/>
      <c r="AB5" s="41"/>
    </row>
    <row r="6" spans="4:28" x14ac:dyDescent="0.25">
      <c r="D6" s="84" t="s">
        <v>257</v>
      </c>
      <c r="E6" s="84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86" t="s">
        <v>319</v>
      </c>
      <c r="E7" s="86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86" t="s">
        <v>18</v>
      </c>
      <c r="E9" s="86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316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84" t="s">
        <v>315</v>
      </c>
      <c r="E16" s="84"/>
      <c r="G16" s="33" t="s">
        <v>313</v>
      </c>
      <c r="H16" s="33" t="s">
        <v>256</v>
      </c>
      <c r="I16" s="31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40" t="s">
        <v>314</v>
      </c>
      <c r="V16" s="41"/>
      <c r="W16" s="41"/>
      <c r="X16" s="41"/>
      <c r="Y16" s="33" t="s">
        <v>313</v>
      </c>
      <c r="Z16" s="33" t="s">
        <v>256</v>
      </c>
      <c r="AA16" s="38" t="s">
        <v>314</v>
      </c>
      <c r="AB16" s="41"/>
    </row>
    <row r="17" spans="4:28" x14ac:dyDescent="0.25">
      <c r="D17" s="24" t="s">
        <v>55</v>
      </c>
      <c r="E17" s="24" t="s">
        <v>273</v>
      </c>
      <c r="G17">
        <f>H17*I4</f>
        <v>1578.9540000000002</v>
      </c>
      <c r="H17" s="26">
        <v>0.40300000000000002</v>
      </c>
      <c r="I17" s="26" t="s">
        <v>317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317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269</v>
      </c>
      <c r="E18" s="24" t="s">
        <v>270</v>
      </c>
      <c r="G18">
        <v>3246</v>
      </c>
      <c r="H18" s="23">
        <f t="shared" ref="H18:H30" si="0">G18/$I$4</f>
        <v>0.82848392036753449</v>
      </c>
      <c r="I18" s="23" t="s">
        <v>317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317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271</v>
      </c>
      <c r="G19">
        <v>445</v>
      </c>
      <c r="H19" s="23">
        <f t="shared" si="0"/>
        <v>0.11357835630423685</v>
      </c>
      <c r="I19" s="23" t="s">
        <v>317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317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272</v>
      </c>
      <c r="G20">
        <v>227</v>
      </c>
      <c r="H20" s="23">
        <f t="shared" si="0"/>
        <v>5.7937723328228691E-2</v>
      </c>
      <c r="I20" s="23" t="s">
        <v>317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317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274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B84-34FD-493D-A4ED-2F71A840B086}">
  <dimension ref="D3:AB32"/>
  <sheetViews>
    <sheetView showGridLines="0" topLeftCell="G1" zoomScale="115" zoomScaleNormal="115" workbookViewId="0">
      <selection activeCell="Y21" sqref="Y21"/>
    </sheetView>
  </sheetViews>
  <sheetFormatPr defaultRowHeight="15" x14ac:dyDescent="0.25"/>
  <cols>
    <col min="1" max="3" width="9.140625" style="52"/>
    <col min="4" max="4" width="13.42578125" style="52" customWidth="1"/>
    <col min="5" max="5" width="23.85546875" style="52" bestFit="1" customWidth="1"/>
    <col min="6" max="9" width="9.140625" style="52"/>
    <col min="10" max="10" width="12" style="52" bestFit="1" customWidth="1"/>
    <col min="11" max="18" width="9.140625" style="52"/>
    <col min="19" max="19" width="13.42578125" style="52" bestFit="1" customWidth="1"/>
    <col min="20" max="25" width="9.140625" style="52"/>
    <col min="26" max="26" width="14.28515625" style="52" bestFit="1" customWidth="1"/>
    <col min="27" max="27" width="14.85546875" style="52" bestFit="1" customWidth="1"/>
    <col min="28" max="16384" width="9.140625" style="52"/>
  </cols>
  <sheetData>
    <row r="3" spans="4:28" x14ac:dyDescent="0.25">
      <c r="G3" s="82" t="s">
        <v>253</v>
      </c>
      <c r="H3" s="82"/>
      <c r="I3" s="82"/>
      <c r="J3" s="82"/>
      <c r="K3" s="82"/>
      <c r="L3" s="82"/>
      <c r="M3" s="82"/>
      <c r="N3" s="82"/>
      <c r="O3" s="82"/>
      <c r="P3" s="82"/>
      <c r="Q3" s="35"/>
      <c r="S3" s="82" t="s">
        <v>258</v>
      </c>
      <c r="T3" s="82"/>
      <c r="U3" s="82"/>
      <c r="V3" s="82"/>
      <c r="W3" s="82"/>
      <c r="X3" s="82"/>
      <c r="Y3" s="82"/>
      <c r="Z3" s="82"/>
      <c r="AA3" s="82"/>
      <c r="AB3" s="82"/>
    </row>
    <row r="4" spans="4:28" x14ac:dyDescent="0.25">
      <c r="F4" s="13"/>
      <c r="G4" s="24" t="s">
        <v>312</v>
      </c>
      <c r="H4" s="52" t="s">
        <v>261</v>
      </c>
      <c r="I4" s="11">
        <v>3521</v>
      </c>
      <c r="L4" s="24"/>
      <c r="M4" s="24" t="s">
        <v>311</v>
      </c>
      <c r="N4" s="24" t="s">
        <v>318</v>
      </c>
      <c r="O4" s="11">
        <v>536</v>
      </c>
      <c r="Q4" s="24"/>
      <c r="R4" s="13"/>
      <c r="S4" s="24" t="s">
        <v>312</v>
      </c>
      <c r="T4" s="52" t="s">
        <v>261</v>
      </c>
      <c r="U4" s="11">
        <v>20856866</v>
      </c>
      <c r="X4" s="24"/>
      <c r="Y4" s="24" t="s">
        <v>311</v>
      </c>
      <c r="Z4" s="24" t="s">
        <v>318</v>
      </c>
      <c r="AA4" s="11">
        <v>2088210</v>
      </c>
      <c r="AB4" s="23">
        <f>AA4/SUM(U4,AA4)</f>
        <v>9.1009068786697414E-2</v>
      </c>
    </row>
    <row r="5" spans="4:28" x14ac:dyDescent="0.25">
      <c r="F5" s="24"/>
      <c r="G5" s="33" t="s">
        <v>254</v>
      </c>
      <c r="H5" s="33" t="s">
        <v>255</v>
      </c>
      <c r="I5" s="50"/>
      <c r="K5" s="34" t="s">
        <v>314</v>
      </c>
      <c r="L5" s="24"/>
      <c r="M5" s="33" t="s">
        <v>254</v>
      </c>
      <c r="N5" s="33" t="s">
        <v>255</v>
      </c>
      <c r="O5" s="50"/>
      <c r="R5" s="24"/>
      <c r="S5" s="33" t="s">
        <v>254</v>
      </c>
      <c r="T5" s="33" t="s">
        <v>255</v>
      </c>
      <c r="U5" s="50"/>
      <c r="W5" s="34" t="s">
        <v>314</v>
      </c>
      <c r="X5" s="24"/>
      <c r="Y5" s="33" t="s">
        <v>254</v>
      </c>
      <c r="Z5" s="33" t="s">
        <v>255</v>
      </c>
      <c r="AA5" s="50"/>
    </row>
    <row r="6" spans="4:28" x14ac:dyDescent="0.25">
      <c r="D6" s="84" t="s">
        <v>346</v>
      </c>
      <c r="E6" s="84"/>
    </row>
    <row r="7" spans="4:28" x14ac:dyDescent="0.25">
      <c r="D7" s="86" t="s">
        <v>319</v>
      </c>
      <c r="E7" s="86"/>
      <c r="G7" s="70">
        <v>-0.13370000000000001</v>
      </c>
      <c r="H7" s="65">
        <v>18.590910000000001</v>
      </c>
      <c r="I7" s="58"/>
      <c r="J7" s="58"/>
      <c r="K7" s="58"/>
      <c r="L7" s="58"/>
      <c r="M7" s="70">
        <v>-0.31540000000000001</v>
      </c>
      <c r="N7" s="65">
        <v>19.523710000000001</v>
      </c>
      <c r="O7" s="58"/>
      <c r="P7" s="58"/>
      <c r="Q7" s="58"/>
      <c r="R7" s="58"/>
      <c r="S7" s="70">
        <v>0.52728123199999999</v>
      </c>
      <c r="T7" s="65">
        <v>17.906265770000001</v>
      </c>
      <c r="U7" s="58"/>
      <c r="V7" s="58"/>
      <c r="W7" s="58"/>
      <c r="X7" s="58"/>
      <c r="Y7" s="70">
        <v>-9.7058546999999995E-2</v>
      </c>
      <c r="Z7" s="65">
        <v>17.747307200000002</v>
      </c>
      <c r="AA7" s="58"/>
      <c r="AB7" s="58"/>
    </row>
    <row r="8" spans="4:28" x14ac:dyDescent="0.25">
      <c r="D8" s="52" t="s">
        <v>164</v>
      </c>
      <c r="G8" s="70">
        <v>-0.10290000000000001</v>
      </c>
      <c r="H8" s="65">
        <v>2.9492189999999998</v>
      </c>
      <c r="I8" s="58"/>
      <c r="J8" s="58"/>
      <c r="K8" s="58"/>
      <c r="L8" s="58"/>
      <c r="M8" s="70">
        <v>-1.9890000000000001E-2</v>
      </c>
      <c r="N8" s="65">
        <v>3.2508530000000002</v>
      </c>
      <c r="O8" s="58"/>
      <c r="P8" s="58"/>
      <c r="Q8" s="58"/>
      <c r="R8" s="58"/>
      <c r="S8" s="70">
        <v>-9.6131410000000004E-3</v>
      </c>
      <c r="T8" s="65">
        <v>2.9238787999999998</v>
      </c>
      <c r="U8" s="58"/>
      <c r="V8" s="58"/>
      <c r="W8" s="58"/>
      <c r="X8" s="58"/>
      <c r="Y8" s="70">
        <v>-5.0169170999999999E-2</v>
      </c>
      <c r="Z8" s="65">
        <v>2.7173759</v>
      </c>
      <c r="AA8" s="58"/>
      <c r="AB8" s="58"/>
    </row>
    <row r="9" spans="4:28" x14ac:dyDescent="0.25">
      <c r="D9" s="86" t="s">
        <v>18</v>
      </c>
      <c r="E9" s="86"/>
      <c r="G9" s="70">
        <v>0.46750000000000003</v>
      </c>
      <c r="H9" s="65">
        <v>3.121013</v>
      </c>
      <c r="I9" s="58"/>
      <c r="J9" s="58"/>
      <c r="K9" s="58"/>
      <c r="L9" s="58"/>
      <c r="M9" s="70">
        <v>0.29670000000000002</v>
      </c>
      <c r="N9" s="65">
        <v>2.9945520000000001</v>
      </c>
      <c r="O9" s="58"/>
      <c r="P9" s="58"/>
      <c r="Q9" s="58"/>
      <c r="R9" s="58"/>
      <c r="S9" s="70">
        <v>0.62268060999999997</v>
      </c>
      <c r="T9" s="65">
        <v>3.1024815000000001</v>
      </c>
      <c r="U9" s="58"/>
      <c r="V9" s="58"/>
      <c r="W9" s="58"/>
      <c r="X9" s="58"/>
      <c r="Y9" s="70">
        <v>2.0048094799999999E-2</v>
      </c>
      <c r="Z9" s="65">
        <v>2.7435390000000002</v>
      </c>
      <c r="AA9" s="58"/>
      <c r="AB9" s="58"/>
    </row>
    <row r="10" spans="4:28" x14ac:dyDescent="0.25">
      <c r="G10" s="11"/>
      <c r="H10" s="1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  <c r="U10" s="58"/>
      <c r="V10" s="58"/>
      <c r="W10" s="58"/>
      <c r="X10" s="58"/>
      <c r="Y10" s="58"/>
      <c r="Z10" s="60"/>
      <c r="AA10" s="58"/>
      <c r="AB10" s="58"/>
    </row>
    <row r="11" spans="4:28" x14ac:dyDescent="0.25">
      <c r="D11" s="51" t="s">
        <v>316</v>
      </c>
      <c r="G11" s="11"/>
      <c r="H11" s="1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9"/>
      <c r="U11" s="58"/>
      <c r="V11" s="58"/>
      <c r="W11" s="58"/>
      <c r="X11" s="58"/>
      <c r="Y11" s="58"/>
      <c r="Z11" s="60"/>
      <c r="AA11" s="58"/>
      <c r="AB11" s="58"/>
    </row>
    <row r="12" spans="4:28" x14ac:dyDescent="0.25">
      <c r="D12" s="24" t="s">
        <v>25</v>
      </c>
      <c r="G12" s="61">
        <v>70.23</v>
      </c>
      <c r="H12" s="61">
        <v>9.7927110000000006</v>
      </c>
      <c r="I12" s="58"/>
      <c r="J12" s="58"/>
      <c r="K12" s="58"/>
      <c r="L12" s="58"/>
      <c r="M12" s="61">
        <v>65.400000000000006</v>
      </c>
      <c r="N12" s="61">
        <v>8.4884939999999993</v>
      </c>
      <c r="O12" s="58"/>
      <c r="P12" s="58"/>
      <c r="Q12" s="58"/>
      <c r="R12" s="58"/>
      <c r="S12" s="61">
        <v>67.976400960999996</v>
      </c>
      <c r="T12" s="61">
        <v>9.2971120000000003</v>
      </c>
      <c r="U12" s="58"/>
      <c r="V12" s="58"/>
      <c r="W12" s="58"/>
      <c r="X12" s="58"/>
      <c r="Y12" s="61">
        <v>64.862389569000001</v>
      </c>
      <c r="Z12" s="61">
        <v>8.3990585000000006</v>
      </c>
      <c r="AA12" s="58"/>
      <c r="AB12" s="58"/>
    </row>
    <row r="13" spans="4:28" x14ac:dyDescent="0.25">
      <c r="D13" s="24"/>
      <c r="H13" s="11"/>
      <c r="T13" s="36"/>
      <c r="Z13" s="37"/>
    </row>
    <row r="14" spans="4:28" x14ac:dyDescent="0.25">
      <c r="D14" s="24"/>
    </row>
    <row r="15" spans="4:28" x14ac:dyDescent="0.25">
      <c r="D15" s="24"/>
      <c r="G15" s="30"/>
      <c r="H15" s="30"/>
      <c r="I15" s="30"/>
      <c r="S15" s="30"/>
      <c r="T15" s="30"/>
      <c r="U15" s="30"/>
    </row>
    <row r="16" spans="4:28" x14ac:dyDescent="0.25">
      <c r="D16" s="84" t="s">
        <v>315</v>
      </c>
      <c r="E16" s="84"/>
      <c r="G16" s="33" t="s">
        <v>313</v>
      </c>
      <c r="H16" s="33" t="s">
        <v>256</v>
      </c>
      <c r="I16" s="50" t="s">
        <v>314</v>
      </c>
      <c r="M16" s="33" t="s">
        <v>313</v>
      </c>
      <c r="N16" s="33" t="s">
        <v>256</v>
      </c>
      <c r="O16" s="38" t="s">
        <v>314</v>
      </c>
      <c r="S16" s="33" t="s">
        <v>313</v>
      </c>
      <c r="T16" s="33" t="s">
        <v>256</v>
      </c>
      <c r="U16" s="50" t="s">
        <v>314</v>
      </c>
      <c r="Y16" s="33" t="s">
        <v>313</v>
      </c>
      <c r="Z16" s="33" t="s">
        <v>256</v>
      </c>
      <c r="AA16" s="38" t="s">
        <v>314</v>
      </c>
    </row>
    <row r="17" spans="4:27" x14ac:dyDescent="0.25">
      <c r="D17" s="24" t="s">
        <v>55</v>
      </c>
      <c r="E17" s="24" t="s">
        <v>273</v>
      </c>
      <c r="G17" s="64">
        <f>H17*I4</f>
        <v>1435.8638000000001</v>
      </c>
      <c r="H17" s="62">
        <v>0.4078</v>
      </c>
      <c r="I17" s="62" t="s">
        <v>317</v>
      </c>
      <c r="J17" s="58"/>
      <c r="K17" s="58"/>
      <c r="L17" s="58"/>
      <c r="M17" s="64">
        <f>N17*O4</f>
        <v>232.14159999999998</v>
      </c>
      <c r="N17" s="63">
        <v>0.43309999999999998</v>
      </c>
      <c r="O17" s="58"/>
      <c r="P17" s="58"/>
      <c r="Q17" s="58"/>
      <c r="R17" s="58"/>
      <c r="S17" s="66">
        <f>T17*U4</f>
        <v>9103604.9968211949</v>
      </c>
      <c r="T17" s="62">
        <v>0.43648000599999998</v>
      </c>
      <c r="U17" s="62" t="s">
        <v>317</v>
      </c>
      <c r="V17" s="58"/>
      <c r="W17" s="58"/>
      <c r="X17" s="58"/>
      <c r="Y17" s="71">
        <f>Z17*AA4</f>
        <v>1017229.47418554</v>
      </c>
      <c r="Z17" s="63">
        <v>0.48712987400000002</v>
      </c>
      <c r="AA17" s="62" t="s">
        <v>317</v>
      </c>
    </row>
    <row r="18" spans="4:27" x14ac:dyDescent="0.25">
      <c r="D18" s="24" t="s">
        <v>269</v>
      </c>
      <c r="E18" s="24" t="s">
        <v>270</v>
      </c>
      <c r="G18" s="11">
        <v>2939</v>
      </c>
      <c r="H18" s="63">
        <f t="shared" ref="H18:H30" si="0">G18/$I$4</f>
        <v>0.83470604941777904</v>
      </c>
      <c r="I18" s="63" t="s">
        <v>317</v>
      </c>
      <c r="J18" s="58"/>
      <c r="K18" s="58"/>
      <c r="L18" s="58"/>
      <c r="M18" s="11">
        <v>173</v>
      </c>
      <c r="N18" s="63">
        <f>M18/$O$4</f>
        <v>0.32276119402985076</v>
      </c>
      <c r="O18" s="58"/>
      <c r="P18" s="58"/>
      <c r="Q18" s="58"/>
      <c r="R18" s="58"/>
      <c r="S18" s="71">
        <v>19069752</v>
      </c>
      <c r="T18" s="63">
        <f t="shared" ref="T18:T30" si="1">S18/$U$4</f>
        <v>0.91431531467862914</v>
      </c>
      <c r="U18" s="63" t="s">
        <v>317</v>
      </c>
      <c r="V18" s="58"/>
      <c r="W18" s="58"/>
      <c r="X18" s="58"/>
      <c r="Y18" s="71">
        <v>974813</v>
      </c>
      <c r="Z18" s="67">
        <f t="shared" ref="Z18:Z30" si="2">Y18/$AA$4</f>
        <v>0.46681751356424883</v>
      </c>
      <c r="AA18" s="63" t="s">
        <v>317</v>
      </c>
    </row>
    <row r="19" spans="4:27" x14ac:dyDescent="0.25">
      <c r="D19" s="51"/>
      <c r="E19" s="24" t="s">
        <v>271</v>
      </c>
      <c r="G19" s="11">
        <v>387</v>
      </c>
      <c r="H19" s="63">
        <f t="shared" si="0"/>
        <v>0.1099119568304459</v>
      </c>
      <c r="I19" s="63" t="s">
        <v>317</v>
      </c>
      <c r="J19" s="58"/>
      <c r="K19" s="58"/>
      <c r="L19" s="58"/>
      <c r="M19" s="11">
        <v>277</v>
      </c>
      <c r="N19" s="63">
        <f t="shared" ref="N19:N30" si="3">M19/$O$4</f>
        <v>0.51679104477611937</v>
      </c>
      <c r="O19" s="58"/>
      <c r="P19" s="58"/>
      <c r="Q19" s="58"/>
      <c r="R19" s="58"/>
      <c r="S19" s="66">
        <v>958019</v>
      </c>
      <c r="T19" s="63">
        <f t="shared" si="1"/>
        <v>4.5933027521968067E-2</v>
      </c>
      <c r="U19" s="63" t="s">
        <v>317</v>
      </c>
      <c r="V19" s="58"/>
      <c r="W19" s="58"/>
      <c r="X19" s="58"/>
      <c r="Y19" s="71">
        <v>743978</v>
      </c>
      <c r="Z19" s="63">
        <f t="shared" si="2"/>
        <v>0.35627547037893698</v>
      </c>
      <c r="AA19" s="63" t="s">
        <v>317</v>
      </c>
    </row>
    <row r="20" spans="4:27" x14ac:dyDescent="0.25">
      <c r="D20" s="51"/>
      <c r="E20" s="24" t="s">
        <v>272</v>
      </c>
      <c r="G20" s="11">
        <v>195</v>
      </c>
      <c r="H20" s="63">
        <f t="shared" si="0"/>
        <v>5.5381993751775063E-2</v>
      </c>
      <c r="I20" s="63" t="s">
        <v>317</v>
      </c>
      <c r="J20" s="58"/>
      <c r="K20" s="58"/>
      <c r="L20" s="58"/>
      <c r="M20" s="11">
        <v>88</v>
      </c>
      <c r="N20" s="63">
        <f t="shared" si="3"/>
        <v>0.16417910447761194</v>
      </c>
      <c r="O20" s="58"/>
      <c r="P20" s="58"/>
      <c r="Q20" s="58"/>
      <c r="R20" s="58"/>
      <c r="S20" s="66">
        <v>829095</v>
      </c>
      <c r="T20" s="63">
        <f t="shared" si="1"/>
        <v>3.9751657799402845E-2</v>
      </c>
      <c r="U20" s="63" t="s">
        <v>317</v>
      </c>
      <c r="V20" s="58"/>
      <c r="W20" s="58"/>
      <c r="X20" s="58"/>
      <c r="Y20" s="71">
        <v>369689</v>
      </c>
      <c r="Z20" s="63">
        <f t="shared" si="2"/>
        <v>0.1770363133975989</v>
      </c>
      <c r="AA20" s="63" t="s">
        <v>317</v>
      </c>
    </row>
    <row r="21" spans="4:27" x14ac:dyDescent="0.25">
      <c r="D21" s="24" t="s">
        <v>274</v>
      </c>
      <c r="E21" s="52">
        <v>1</v>
      </c>
      <c r="G21" s="11">
        <v>298</v>
      </c>
      <c r="H21" s="63">
        <f t="shared" si="0"/>
        <v>8.4635046861687019E-2</v>
      </c>
      <c r="I21" s="62">
        <f>SUM($H$21)</f>
        <v>8.4635046861687019E-2</v>
      </c>
      <c r="J21" s="58"/>
      <c r="K21" s="58"/>
      <c r="L21" s="58"/>
      <c r="M21" s="11">
        <v>91</v>
      </c>
      <c r="N21" s="63">
        <f t="shared" si="3"/>
        <v>0.16977611940298507</v>
      </c>
      <c r="O21" s="62">
        <f>N21</f>
        <v>0.16977611940298507</v>
      </c>
      <c r="P21" s="58"/>
      <c r="Q21" s="58"/>
      <c r="R21" s="58"/>
      <c r="S21" s="66">
        <v>1367144</v>
      </c>
      <c r="T21" s="63">
        <f t="shared" si="1"/>
        <v>6.5548870093905767E-2</v>
      </c>
      <c r="U21" s="62">
        <f>SUM($T$21)</f>
        <v>6.5548870093905767E-2</v>
      </c>
      <c r="V21" s="58"/>
      <c r="W21" s="58"/>
      <c r="X21" s="58"/>
      <c r="Y21" s="71">
        <v>341824</v>
      </c>
      <c r="Z21" s="63">
        <f t="shared" si="2"/>
        <v>0.16369234894957882</v>
      </c>
      <c r="AA21" s="63">
        <f>Z21</f>
        <v>0.16369234894957882</v>
      </c>
    </row>
    <row r="22" spans="4:27" x14ac:dyDescent="0.25">
      <c r="D22" s="24"/>
      <c r="E22" s="52">
        <v>2</v>
      </c>
      <c r="G22" s="11">
        <v>284</v>
      </c>
      <c r="H22" s="63">
        <f t="shared" si="0"/>
        <v>8.0658903720533942E-2</v>
      </c>
      <c r="I22" s="62">
        <f>SUM($H$21:$H22)</f>
        <v>0.16529395058222096</v>
      </c>
      <c r="J22" s="58"/>
      <c r="K22" s="58"/>
      <c r="L22" s="58"/>
      <c r="M22" s="11">
        <v>81</v>
      </c>
      <c r="N22" s="63">
        <f t="shared" si="3"/>
        <v>0.15111940298507462</v>
      </c>
      <c r="O22" s="62">
        <f>SUM($N$21:N22)</f>
        <v>0.32089552238805968</v>
      </c>
      <c r="P22" s="58"/>
      <c r="Q22" s="58"/>
      <c r="R22" s="58"/>
      <c r="S22" s="66">
        <v>1205251</v>
      </c>
      <c r="T22" s="63">
        <f t="shared" si="1"/>
        <v>5.778677390936874E-2</v>
      </c>
      <c r="U22" s="62">
        <f>SUM($T$21:$T22)</f>
        <v>0.12333564400327451</v>
      </c>
      <c r="V22" s="58"/>
      <c r="W22" s="58"/>
      <c r="X22" s="58"/>
      <c r="Y22" s="71">
        <v>225332</v>
      </c>
      <c r="Z22" s="63">
        <f t="shared" si="2"/>
        <v>0.10790677182850383</v>
      </c>
      <c r="AA22" s="63">
        <f>SUM($Z$21:Z22)</f>
        <v>0.27159912077808268</v>
      </c>
    </row>
    <row r="23" spans="4:27" x14ac:dyDescent="0.25">
      <c r="D23" s="24"/>
      <c r="E23" s="52">
        <v>3</v>
      </c>
      <c r="G23" s="11">
        <v>310</v>
      </c>
      <c r="H23" s="63">
        <f t="shared" si="0"/>
        <v>8.8043169554103948E-2</v>
      </c>
      <c r="I23" s="62">
        <f>SUM($H$21:$H23)</f>
        <v>0.25333712013632492</v>
      </c>
      <c r="J23" s="58"/>
      <c r="K23" s="58"/>
      <c r="L23" s="58"/>
      <c r="M23" s="11">
        <v>80</v>
      </c>
      <c r="N23" s="63">
        <f t="shared" si="3"/>
        <v>0.14925373134328357</v>
      </c>
      <c r="O23" s="62">
        <f>SUM($N$21:N23)</f>
        <v>0.47014925373134325</v>
      </c>
      <c r="P23" s="58"/>
      <c r="Q23" s="58"/>
      <c r="R23" s="58"/>
      <c r="S23" s="66">
        <v>1791053</v>
      </c>
      <c r="T23" s="63">
        <f t="shared" si="1"/>
        <v>8.5873543992659299E-2</v>
      </c>
      <c r="U23" s="62">
        <f>SUM($T$21:$T23)</f>
        <v>0.2092091879959338</v>
      </c>
      <c r="V23" s="58"/>
      <c r="W23" s="58"/>
      <c r="X23" s="58"/>
      <c r="Y23" s="71">
        <v>319647</v>
      </c>
      <c r="Z23" s="63">
        <f t="shared" si="2"/>
        <v>0.15307224848075623</v>
      </c>
      <c r="AA23" s="63">
        <f>SUM($Z$21:Z23)</f>
        <v>0.42467136925883892</v>
      </c>
    </row>
    <row r="24" spans="4:27" x14ac:dyDescent="0.25">
      <c r="D24" s="24"/>
      <c r="E24" s="52">
        <v>4</v>
      </c>
      <c r="G24" s="11">
        <v>335</v>
      </c>
      <c r="H24" s="63">
        <f t="shared" si="0"/>
        <v>9.5143425163305873E-2</v>
      </c>
      <c r="I24" s="62">
        <f>SUM($H$21:$H24)</f>
        <v>0.3484805452996308</v>
      </c>
      <c r="J24" s="58"/>
      <c r="K24" s="58"/>
      <c r="L24" s="58"/>
      <c r="M24" s="11">
        <v>71</v>
      </c>
      <c r="N24" s="63">
        <f t="shared" si="3"/>
        <v>0.13246268656716417</v>
      </c>
      <c r="O24" s="62">
        <f>SUM($N$21:N24)</f>
        <v>0.6026119402985074</v>
      </c>
      <c r="P24" s="58"/>
      <c r="Q24" s="58"/>
      <c r="R24" s="58"/>
      <c r="S24" s="66">
        <v>1799998</v>
      </c>
      <c r="T24" s="63">
        <f t="shared" si="1"/>
        <v>8.6302419548555373E-2</v>
      </c>
      <c r="U24" s="62">
        <f>SUM($T$21:$T24)</f>
        <v>0.29551160754448919</v>
      </c>
      <c r="V24" s="58"/>
      <c r="W24" s="58"/>
      <c r="X24" s="58"/>
      <c r="Y24" s="71">
        <v>265664</v>
      </c>
      <c r="Z24" s="63">
        <f t="shared" si="2"/>
        <v>0.12722092126749704</v>
      </c>
      <c r="AA24" s="63">
        <f>SUM($Z$21:Z24)</f>
        <v>0.55189229052633593</v>
      </c>
    </row>
    <row r="25" spans="4:27" x14ac:dyDescent="0.25">
      <c r="D25" s="24"/>
      <c r="E25" s="52">
        <v>5</v>
      </c>
      <c r="G25" s="11">
        <v>360</v>
      </c>
      <c r="H25" s="63">
        <f t="shared" si="0"/>
        <v>0.10224368077250781</v>
      </c>
      <c r="I25" s="62">
        <f>SUM($H$21:$H25)</f>
        <v>0.45072422607213858</v>
      </c>
      <c r="J25" s="58"/>
      <c r="K25" s="58"/>
      <c r="L25" s="58"/>
      <c r="M25" s="11">
        <v>56</v>
      </c>
      <c r="N25" s="63">
        <f t="shared" si="3"/>
        <v>0.1044776119402985</v>
      </c>
      <c r="O25" s="62">
        <f>SUM($N$21:N25)</f>
        <v>0.70708955223880587</v>
      </c>
      <c r="P25" s="58"/>
      <c r="Q25" s="58"/>
      <c r="R25" s="58"/>
      <c r="S25" s="66">
        <v>2093126</v>
      </c>
      <c r="T25" s="63">
        <f t="shared" si="1"/>
        <v>0.10035668829631451</v>
      </c>
      <c r="U25" s="62">
        <f>SUM($T$21:$T25)</f>
        <v>0.39586829584080369</v>
      </c>
      <c r="V25" s="58"/>
      <c r="W25" s="58"/>
      <c r="X25" s="58"/>
      <c r="Y25" s="71">
        <v>152178</v>
      </c>
      <c r="Z25" s="63">
        <f t="shared" si="2"/>
        <v>7.2874854540491613E-2</v>
      </c>
      <c r="AA25" s="63">
        <f>SUM($Z$21:Z25)</f>
        <v>0.62476714506682751</v>
      </c>
    </row>
    <row r="26" spans="4:27" x14ac:dyDescent="0.25">
      <c r="D26" s="24"/>
      <c r="E26" s="52">
        <v>6</v>
      </c>
      <c r="G26" s="11">
        <v>377</v>
      </c>
      <c r="H26" s="63">
        <f t="shared" si="0"/>
        <v>0.10707185458676512</v>
      </c>
      <c r="I26" s="62">
        <f>SUM($H$21:$H26)</f>
        <v>0.55779608065890374</v>
      </c>
      <c r="J26" s="58"/>
      <c r="K26" s="58"/>
      <c r="L26" s="58"/>
      <c r="M26" s="11">
        <v>38</v>
      </c>
      <c r="N26" s="63">
        <f t="shared" si="3"/>
        <v>7.0895522388059698E-2</v>
      </c>
      <c r="O26" s="62">
        <f>SUM($N$21:N26)</f>
        <v>0.77798507462686561</v>
      </c>
      <c r="P26" s="58"/>
      <c r="Q26" s="58"/>
      <c r="R26" s="58"/>
      <c r="S26" s="66">
        <v>2227717</v>
      </c>
      <c r="T26" s="63">
        <f t="shared" si="1"/>
        <v>0.10680976710499075</v>
      </c>
      <c r="U26" s="62">
        <f>SUM($T$21:$T26)</f>
        <v>0.50267806294579442</v>
      </c>
      <c r="V26" s="58"/>
      <c r="W26" s="58"/>
      <c r="X26" s="58"/>
      <c r="Y26" s="71">
        <v>147308</v>
      </c>
      <c r="Z26" s="63">
        <f t="shared" si="2"/>
        <v>7.0542713615967742E-2</v>
      </c>
      <c r="AA26" s="63">
        <f>SUM($Z$21:Z26)</f>
        <v>0.69530985868279527</v>
      </c>
    </row>
    <row r="27" spans="4:27" x14ac:dyDescent="0.25">
      <c r="D27" s="24"/>
      <c r="E27" s="52">
        <v>7</v>
      </c>
      <c r="G27" s="11">
        <v>383</v>
      </c>
      <c r="H27" s="63">
        <f t="shared" si="0"/>
        <v>0.10877591593297359</v>
      </c>
      <c r="I27" s="62">
        <f>SUM($H$21:$H27)</f>
        <v>0.66657199659187727</v>
      </c>
      <c r="J27" s="58"/>
      <c r="K27" s="58"/>
      <c r="L27" s="58"/>
      <c r="M27" s="11">
        <v>36</v>
      </c>
      <c r="N27" s="63">
        <f t="shared" si="3"/>
        <v>6.7164179104477612E-2</v>
      </c>
      <c r="O27" s="62">
        <f>SUM($N$21:N27)</f>
        <v>0.8451492537313432</v>
      </c>
      <c r="P27" s="58"/>
      <c r="Q27" s="58"/>
      <c r="R27" s="58"/>
      <c r="S27" s="66">
        <v>2380952</v>
      </c>
      <c r="T27" s="63">
        <f t="shared" si="1"/>
        <v>0.11415674819026023</v>
      </c>
      <c r="U27" s="62">
        <f>SUM($T$21:$T27)</f>
        <v>0.61683481113605465</v>
      </c>
      <c r="V27" s="58"/>
      <c r="W27" s="58"/>
      <c r="X27" s="58"/>
      <c r="Y27" s="71">
        <v>145770</v>
      </c>
      <c r="Z27" s="63">
        <f t="shared" si="2"/>
        <v>6.9806197652534943E-2</v>
      </c>
      <c r="AA27" s="63">
        <f>SUM($Z$21:Z27)</f>
        <v>0.7651160563353302</v>
      </c>
    </row>
    <row r="28" spans="4:27" x14ac:dyDescent="0.25">
      <c r="D28" s="24"/>
      <c r="E28" s="52">
        <v>8</v>
      </c>
      <c r="G28" s="11">
        <v>388</v>
      </c>
      <c r="H28" s="63">
        <f t="shared" si="0"/>
        <v>0.11019596705481398</v>
      </c>
      <c r="I28" s="62">
        <f>SUM($H$21:$H28)</f>
        <v>0.77676796364669121</v>
      </c>
      <c r="J28" s="58"/>
      <c r="K28" s="58"/>
      <c r="L28" s="58"/>
      <c r="M28" s="11">
        <v>24</v>
      </c>
      <c r="N28" s="63">
        <f t="shared" si="3"/>
        <v>4.4776119402985072E-2</v>
      </c>
      <c r="O28" s="62">
        <f>SUM($N$21:N28)</f>
        <v>0.88992537313432829</v>
      </c>
      <c r="P28" s="58"/>
      <c r="Q28" s="58"/>
      <c r="R28" s="58"/>
      <c r="S28" s="66">
        <v>2592761</v>
      </c>
      <c r="T28" s="63">
        <f t="shared" si="1"/>
        <v>0.12431210901963891</v>
      </c>
      <c r="U28" s="62">
        <f>SUM($T$21:$T28)</f>
        <v>0.7411469201556935</v>
      </c>
      <c r="V28" s="58"/>
      <c r="W28" s="58"/>
      <c r="X28" s="58"/>
      <c r="Y28" s="71">
        <v>92991</v>
      </c>
      <c r="Z28" s="63">
        <f t="shared" si="2"/>
        <v>4.4531440803367475E-2</v>
      </c>
      <c r="AA28" s="63">
        <f>SUM($Z$21:Z28)</f>
        <v>0.80964749713869766</v>
      </c>
    </row>
    <row r="29" spans="4:27" x14ac:dyDescent="0.25">
      <c r="D29" s="24"/>
      <c r="E29" s="52">
        <v>9</v>
      </c>
      <c r="G29" s="11">
        <v>388</v>
      </c>
      <c r="H29" s="63">
        <f t="shared" si="0"/>
        <v>0.11019596705481398</v>
      </c>
      <c r="I29" s="62">
        <f>SUM($H$21:$H29)</f>
        <v>0.88696393070150514</v>
      </c>
      <c r="J29" s="58"/>
      <c r="K29" s="58"/>
      <c r="L29" s="58"/>
      <c r="M29" s="11">
        <v>36</v>
      </c>
      <c r="N29" s="63">
        <f t="shared" si="3"/>
        <v>6.7164179104477612E-2</v>
      </c>
      <c r="O29" s="62">
        <f>SUM($N$21:N29)</f>
        <v>0.95708955223880587</v>
      </c>
      <c r="P29" s="58"/>
      <c r="Q29" s="58"/>
      <c r="R29" s="58"/>
      <c r="S29" s="66">
        <v>2538282</v>
      </c>
      <c r="T29" s="63">
        <f t="shared" si="1"/>
        <v>0.12170006749815625</v>
      </c>
      <c r="U29" s="62">
        <f>SUM($T$21:$T29)</f>
        <v>0.86284698765384971</v>
      </c>
      <c r="V29" s="58"/>
      <c r="W29" s="58"/>
      <c r="X29" s="58"/>
      <c r="Y29" s="71">
        <v>258692</v>
      </c>
      <c r="Z29" s="63">
        <f t="shared" si="2"/>
        <v>0.12388217660101235</v>
      </c>
      <c r="AA29" s="63">
        <f>SUM($Z$21:Z29)</f>
        <v>0.93352967373970996</v>
      </c>
    </row>
    <row r="30" spans="4:27" x14ac:dyDescent="0.25">
      <c r="D30" s="24"/>
      <c r="E30" s="52">
        <v>10</v>
      </c>
      <c r="G30" s="11">
        <v>398</v>
      </c>
      <c r="H30" s="63">
        <f t="shared" si="0"/>
        <v>0.11303606929849475</v>
      </c>
      <c r="I30" s="62">
        <f>SUM($H$21:$H30)</f>
        <v>0.99999999999999989</v>
      </c>
      <c r="J30" s="58"/>
      <c r="K30" s="58"/>
      <c r="L30" s="58"/>
      <c r="M30" s="11">
        <v>23</v>
      </c>
      <c r="N30" s="63">
        <f t="shared" si="3"/>
        <v>4.2910447761194029E-2</v>
      </c>
      <c r="O30" s="62">
        <f>SUM($N$21:N30)</f>
        <v>0.99999999999999989</v>
      </c>
      <c r="P30" s="58"/>
      <c r="Q30" s="58"/>
      <c r="R30" s="58"/>
      <c r="S30" s="66">
        <v>2860582</v>
      </c>
      <c r="T30" s="63">
        <f t="shared" si="1"/>
        <v>0.13715301234615018</v>
      </c>
      <c r="U30" s="62">
        <f>SUM($T$21:$T30)</f>
        <v>0.99999999999999989</v>
      </c>
      <c r="V30" s="58"/>
      <c r="W30" s="58"/>
      <c r="X30" s="58"/>
      <c r="Y30" s="71">
        <v>138804</v>
      </c>
      <c r="Z30" s="63">
        <f t="shared" si="2"/>
        <v>6.6470326260289911E-2</v>
      </c>
      <c r="AA30" s="63">
        <f>SUM($Z$21:Z30)</f>
        <v>0.99999999999999989</v>
      </c>
    </row>
    <row r="32" spans="4:27" x14ac:dyDescent="0.25">
      <c r="S32" s="69"/>
      <c r="Z32" s="68"/>
    </row>
  </sheetData>
  <mergeCells count="6">
    <mergeCell ref="D16:E16"/>
    <mergeCell ref="G3:P3"/>
    <mergeCell ref="S3:AB3"/>
    <mergeCell ref="D6:E6"/>
    <mergeCell ref="D7:E7"/>
    <mergeCell ref="D9:E9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workbookViewId="0">
      <selection activeCell="E4" sqref="E4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04DF-1D9A-4131-9442-DC1AD08BDDA5}">
  <dimension ref="C4:E27"/>
  <sheetViews>
    <sheetView topLeftCell="A4" workbookViewId="0">
      <selection activeCell="C6" sqref="C6:E27"/>
    </sheetView>
  </sheetViews>
  <sheetFormatPr defaultRowHeight="15" x14ac:dyDescent="0.25"/>
  <cols>
    <col min="5" max="5" width="14.28515625" bestFit="1" customWidth="1"/>
  </cols>
  <sheetData>
    <row r="4" spans="3:5" x14ac:dyDescent="0.25">
      <c r="D4" t="s">
        <v>357</v>
      </c>
    </row>
    <row r="6" spans="3:5" x14ac:dyDescent="0.25">
      <c r="C6" t="s">
        <v>359</v>
      </c>
      <c r="D6" t="s">
        <v>358</v>
      </c>
      <c r="E6" t="s">
        <v>360</v>
      </c>
    </row>
    <row r="8" spans="3:5" x14ac:dyDescent="0.25">
      <c r="C8">
        <v>1</v>
      </c>
      <c r="D8">
        <v>30121997</v>
      </c>
      <c r="E8" t="s">
        <v>361</v>
      </c>
    </row>
    <row r="9" spans="3:5" x14ac:dyDescent="0.25">
      <c r="C9">
        <v>2</v>
      </c>
      <c r="D9">
        <v>13022021</v>
      </c>
      <c r="E9" s="72" t="s">
        <v>361</v>
      </c>
    </row>
    <row r="10" spans="3:5" x14ac:dyDescent="0.25">
      <c r="C10">
        <v>3</v>
      </c>
      <c r="D10">
        <v>14022021</v>
      </c>
      <c r="E10" s="72" t="s">
        <v>361</v>
      </c>
    </row>
    <row r="11" spans="3:5" x14ac:dyDescent="0.25">
      <c r="C11">
        <v>4</v>
      </c>
      <c r="D11">
        <v>15022021</v>
      </c>
      <c r="E11" s="72" t="s">
        <v>361</v>
      </c>
    </row>
    <row r="12" spans="3:5" x14ac:dyDescent="0.25">
      <c r="C12">
        <v>5</v>
      </c>
      <c r="D12" s="72">
        <v>16022021</v>
      </c>
      <c r="E12" s="72" t="s">
        <v>361</v>
      </c>
    </row>
    <row r="13" spans="3:5" x14ac:dyDescent="0.25">
      <c r="C13">
        <v>6</v>
      </c>
      <c r="D13" s="72">
        <v>17022021</v>
      </c>
      <c r="E13" s="72" t="s">
        <v>361</v>
      </c>
    </row>
    <row r="14" spans="3:5" x14ac:dyDescent="0.25">
      <c r="C14">
        <v>7</v>
      </c>
      <c r="D14" s="72">
        <v>18022021</v>
      </c>
      <c r="E14" s="72" t="s">
        <v>361</v>
      </c>
    </row>
    <row r="15" spans="3:5" x14ac:dyDescent="0.25">
      <c r="C15" s="72">
        <v>8</v>
      </c>
      <c r="D15" s="72">
        <v>19022021</v>
      </c>
      <c r="E15" s="72" t="s">
        <v>361</v>
      </c>
    </row>
    <row r="16" spans="3:5" x14ac:dyDescent="0.25">
      <c r="C16" s="72">
        <v>9</v>
      </c>
      <c r="D16" s="72">
        <v>20022021</v>
      </c>
      <c r="E16" s="72" t="s">
        <v>361</v>
      </c>
    </row>
    <row r="17" spans="3:5" x14ac:dyDescent="0.25">
      <c r="C17" s="72">
        <v>10</v>
      </c>
      <c r="D17" s="72">
        <v>21022021</v>
      </c>
      <c r="E17" s="72" t="s">
        <v>361</v>
      </c>
    </row>
    <row r="18" spans="3:5" x14ac:dyDescent="0.25">
      <c r="C18" s="72">
        <v>11</v>
      </c>
      <c r="D18" s="72">
        <v>22022021</v>
      </c>
      <c r="E18" t="s">
        <v>362</v>
      </c>
    </row>
    <row r="19" spans="3:5" x14ac:dyDescent="0.25">
      <c r="C19" s="72">
        <v>12</v>
      </c>
      <c r="D19" s="72">
        <v>23022021</v>
      </c>
      <c r="E19" s="72" t="s">
        <v>362</v>
      </c>
    </row>
    <row r="20" spans="3:5" x14ac:dyDescent="0.25">
      <c r="C20" s="72">
        <v>13</v>
      </c>
      <c r="D20" s="72">
        <v>24022021</v>
      </c>
      <c r="E20" s="72" t="s">
        <v>362</v>
      </c>
    </row>
    <row r="21" spans="3:5" x14ac:dyDescent="0.25">
      <c r="C21" s="72">
        <v>14</v>
      </c>
      <c r="D21" s="72">
        <v>25022021</v>
      </c>
      <c r="E21" s="72" t="s">
        <v>362</v>
      </c>
    </row>
    <row r="22" spans="3:5" x14ac:dyDescent="0.25">
      <c r="C22" s="72">
        <v>15</v>
      </c>
      <c r="D22" s="72">
        <v>26022021</v>
      </c>
      <c r="E22" s="72" t="s">
        <v>362</v>
      </c>
    </row>
    <row r="23" spans="3:5" x14ac:dyDescent="0.25">
      <c r="C23" s="72">
        <v>16</v>
      </c>
      <c r="D23" s="72">
        <v>27022021</v>
      </c>
      <c r="E23" s="72" t="s">
        <v>362</v>
      </c>
    </row>
    <row r="24" spans="3:5" x14ac:dyDescent="0.25">
      <c r="C24" s="72">
        <v>17</v>
      </c>
      <c r="D24" s="72">
        <v>28022021</v>
      </c>
      <c r="E24" s="72" t="s">
        <v>362</v>
      </c>
    </row>
    <row r="25" spans="3:5" x14ac:dyDescent="0.25">
      <c r="C25" s="72">
        <v>18</v>
      </c>
      <c r="D25" s="72">
        <v>29022021</v>
      </c>
      <c r="E25" s="72" t="s">
        <v>362</v>
      </c>
    </row>
    <row r="26" spans="3:5" x14ac:dyDescent="0.25">
      <c r="C26" s="72">
        <v>19</v>
      </c>
      <c r="D26" s="72">
        <v>30022021</v>
      </c>
      <c r="E26" s="72" t="s">
        <v>362</v>
      </c>
    </row>
    <row r="27" spans="3:5" x14ac:dyDescent="0.25">
      <c r="C27" s="72">
        <v>20</v>
      </c>
      <c r="D27" s="72">
        <v>31022021</v>
      </c>
      <c r="E27" s="72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3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E38" sqref="E38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76B9-4EC5-46CF-B1E5-E124814149F5}">
  <dimension ref="A2:K13"/>
  <sheetViews>
    <sheetView showGridLines="0" tabSelected="1" topLeftCell="C1" workbookViewId="0">
      <selection activeCell="I22" sqref="I22"/>
    </sheetView>
  </sheetViews>
  <sheetFormatPr defaultRowHeight="15" x14ac:dyDescent="0.25"/>
  <cols>
    <col min="2" max="2" width="21.42578125" bestFit="1" customWidth="1"/>
  </cols>
  <sheetData>
    <row r="2" spans="1:11" x14ac:dyDescent="0.25">
      <c r="C2" s="13" t="s">
        <v>363</v>
      </c>
      <c r="I2" s="13" t="s">
        <v>364</v>
      </c>
    </row>
    <row r="3" spans="1:11" x14ac:dyDescent="0.25">
      <c r="B3" s="13"/>
    </row>
    <row r="4" spans="1:11" x14ac:dyDescent="0.25">
      <c r="C4" t="s">
        <v>254</v>
      </c>
      <c r="D4" t="s">
        <v>365</v>
      </c>
      <c r="E4" t="s">
        <v>366</v>
      </c>
      <c r="I4" s="79" t="s">
        <v>254</v>
      </c>
      <c r="J4" s="79" t="s">
        <v>365</v>
      </c>
      <c r="K4" s="79" t="s">
        <v>366</v>
      </c>
    </row>
    <row r="5" spans="1:11" x14ac:dyDescent="0.25">
      <c r="A5" t="s">
        <v>8</v>
      </c>
      <c r="B5" t="s">
        <v>312</v>
      </c>
      <c r="C5">
        <v>9.61</v>
      </c>
      <c r="D5">
        <v>6</v>
      </c>
      <c r="E5">
        <v>16.28</v>
      </c>
      <c r="G5" s="79" t="s">
        <v>8</v>
      </c>
      <c r="H5" s="79" t="s">
        <v>312</v>
      </c>
      <c r="I5">
        <v>29.95</v>
      </c>
      <c r="J5">
        <v>28.25</v>
      </c>
      <c r="K5">
        <v>10.44</v>
      </c>
    </row>
    <row r="6" spans="1:11" x14ac:dyDescent="0.25">
      <c r="B6" t="s">
        <v>311</v>
      </c>
      <c r="C6">
        <v>8.7469999999999999</v>
      </c>
      <c r="D6">
        <v>5</v>
      </c>
      <c r="E6">
        <v>15.94</v>
      </c>
      <c r="G6" s="79"/>
      <c r="H6" s="79" t="s">
        <v>311</v>
      </c>
      <c r="I6">
        <v>29.58</v>
      </c>
      <c r="J6">
        <v>27.5</v>
      </c>
      <c r="K6">
        <v>11.04</v>
      </c>
    </row>
    <row r="7" spans="1:11" x14ac:dyDescent="0.25">
      <c r="G7" s="79"/>
      <c r="H7" s="79"/>
    </row>
    <row r="8" spans="1:11" x14ac:dyDescent="0.25">
      <c r="A8" t="s">
        <v>19</v>
      </c>
      <c r="B8" t="s">
        <v>367</v>
      </c>
      <c r="C8">
        <v>9.6</v>
      </c>
      <c r="D8">
        <v>6</v>
      </c>
      <c r="E8">
        <v>16.350000000000001</v>
      </c>
      <c r="G8" s="79" t="s">
        <v>19</v>
      </c>
      <c r="H8" s="79" t="s">
        <v>367</v>
      </c>
      <c r="I8">
        <v>29.76</v>
      </c>
      <c r="J8">
        <v>27.75</v>
      </c>
      <c r="K8">
        <v>11.14</v>
      </c>
    </row>
    <row r="9" spans="1:11" x14ac:dyDescent="0.25">
      <c r="B9" t="s">
        <v>368</v>
      </c>
      <c r="C9">
        <v>9.6</v>
      </c>
      <c r="D9">
        <v>5</v>
      </c>
      <c r="E9">
        <v>16.850000000000001</v>
      </c>
      <c r="G9" s="79"/>
      <c r="H9" s="79" t="s">
        <v>368</v>
      </c>
      <c r="I9">
        <v>29.12</v>
      </c>
      <c r="J9">
        <v>27.75</v>
      </c>
      <c r="K9">
        <v>9.89</v>
      </c>
    </row>
    <row r="10" spans="1:11" x14ac:dyDescent="0.25">
      <c r="B10" t="s">
        <v>369</v>
      </c>
      <c r="C10">
        <v>8.4</v>
      </c>
      <c r="D10">
        <v>5</v>
      </c>
      <c r="E10">
        <v>13.49</v>
      </c>
      <c r="G10" s="79"/>
      <c r="H10" s="79" t="s">
        <v>369</v>
      </c>
      <c r="I10">
        <v>27.84</v>
      </c>
      <c r="J10">
        <v>26</v>
      </c>
      <c r="K10">
        <v>9.58</v>
      </c>
    </row>
    <row r="11" spans="1:11" x14ac:dyDescent="0.25">
      <c r="G11" s="79"/>
      <c r="H11" s="79"/>
    </row>
    <row r="12" spans="1:11" x14ac:dyDescent="0.25">
      <c r="A12" t="s">
        <v>55</v>
      </c>
      <c r="B12" t="s">
        <v>332</v>
      </c>
      <c r="C12">
        <v>8.83</v>
      </c>
      <c r="D12">
        <v>6</v>
      </c>
      <c r="E12">
        <v>13.34</v>
      </c>
      <c r="G12" s="79" t="s">
        <v>55</v>
      </c>
      <c r="H12" s="79" t="s">
        <v>332</v>
      </c>
      <c r="I12">
        <v>37.93</v>
      </c>
      <c r="J12">
        <v>38</v>
      </c>
      <c r="K12">
        <v>9.1</v>
      </c>
    </row>
    <row r="13" spans="1:11" x14ac:dyDescent="0.25">
      <c r="B13" t="s">
        <v>273</v>
      </c>
      <c r="C13">
        <v>10.1</v>
      </c>
      <c r="D13">
        <v>6</v>
      </c>
      <c r="E13">
        <v>18.23</v>
      </c>
      <c r="G13" s="79"/>
      <c r="H13" s="79" t="s">
        <v>273</v>
      </c>
      <c r="I13">
        <v>23.05</v>
      </c>
      <c r="J13">
        <v>23.25</v>
      </c>
      <c r="K13">
        <v>7.23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O12"/>
  <sheetViews>
    <sheetView showGridLines="0" workbookViewId="0">
      <selection activeCell="F39" sqref="F39"/>
    </sheetView>
  </sheetViews>
  <sheetFormatPr defaultRowHeight="15" x14ac:dyDescent="0.25"/>
  <cols>
    <col min="4" max="4" width="39.5703125" bestFit="1" customWidth="1"/>
    <col min="5" max="5" width="9.7109375" bestFit="1" customWidth="1"/>
    <col min="6" max="6" width="22.5703125" bestFit="1" customWidth="1"/>
    <col min="9" max="9" width="22.5703125" bestFit="1" customWidth="1"/>
  </cols>
  <sheetData>
    <row r="4" spans="4:15" ht="15.75" thickBot="1" x14ac:dyDescent="0.3">
      <c r="E4" s="80" t="s">
        <v>244</v>
      </c>
      <c r="F4" s="80"/>
      <c r="G4" s="80"/>
      <c r="H4" s="80" t="s">
        <v>243</v>
      </c>
      <c r="I4" s="80"/>
      <c r="J4" s="80"/>
    </row>
    <row r="5" spans="4:15" x14ac:dyDescent="0.25">
      <c r="F5" s="81" t="s">
        <v>245</v>
      </c>
      <c r="G5" s="81"/>
      <c r="I5" s="81" t="s">
        <v>245</v>
      </c>
      <c r="J5" s="81"/>
    </row>
    <row r="6" spans="4:15" x14ac:dyDescent="0.25">
      <c r="E6" t="s">
        <v>241</v>
      </c>
      <c r="F6" t="s">
        <v>242</v>
      </c>
      <c r="G6" t="s">
        <v>246</v>
      </c>
      <c r="H6" t="s">
        <v>241</v>
      </c>
      <c r="I6" t="s">
        <v>242</v>
      </c>
      <c r="J6" t="s">
        <v>246</v>
      </c>
    </row>
    <row r="7" spans="4:15" x14ac:dyDescent="0.25">
      <c r="D7" t="s">
        <v>247</v>
      </c>
      <c r="E7">
        <f>Dataset_1!C3</f>
        <v>20912</v>
      </c>
      <c r="F7">
        <f>Dataset_1!D3</f>
        <v>110313247</v>
      </c>
      <c r="G7" s="23">
        <f>F7/$F$7</f>
        <v>1</v>
      </c>
      <c r="H7">
        <f>Dataset_2!C3</f>
        <v>20912</v>
      </c>
      <c r="I7">
        <f>Dataset_2!D3</f>
        <v>110313247</v>
      </c>
      <c r="J7" s="23">
        <f>I7/$I$7</f>
        <v>1</v>
      </c>
      <c r="K7" s="23"/>
      <c r="O7" s="11"/>
    </row>
    <row r="8" spans="4:15" x14ac:dyDescent="0.25">
      <c r="D8" t="s">
        <v>248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>
        <f>Dataset_2!C5-Dataset_2!C3</f>
        <v>-16715</v>
      </c>
      <c r="I8">
        <f>Dataset_2!D5-Dataset_2!D3</f>
        <v>-86931543</v>
      </c>
      <c r="J8" s="23">
        <f t="shared" ref="J8:J12" si="1">I8/$I$7</f>
        <v>-0.78804264550385317</v>
      </c>
      <c r="K8" s="23"/>
    </row>
    <row r="9" spans="4:15" x14ac:dyDescent="0.25">
      <c r="D9" t="s">
        <v>249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>
        <f>Dataset_2!C6-Dataset_2!C5</f>
        <v>-94</v>
      </c>
      <c r="I9">
        <f>Dataset_2!D6-Dataset_2!D5</f>
        <v>-199299</v>
      </c>
      <c r="J9" s="23">
        <f t="shared" si="1"/>
        <v>-1.806664253115494E-3</v>
      </c>
      <c r="K9" s="23"/>
    </row>
    <row r="10" spans="4:15" x14ac:dyDescent="0.25">
      <c r="D10" t="s">
        <v>251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>
        <f>Dataset_2!C9-Dataset_2!C6</f>
        <v>-30</v>
      </c>
      <c r="I10">
        <f>Dataset_2!D9-Dataset_2!D6</f>
        <v>-169538</v>
      </c>
      <c r="J10" s="23">
        <f t="shared" si="1"/>
        <v>-1.5368779780364908E-3</v>
      </c>
      <c r="K10" s="23"/>
    </row>
    <row r="11" spans="4:15" x14ac:dyDescent="0.25">
      <c r="D11" t="s">
        <v>250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>
        <f>Dataset_2!C11-Dataset_2!C9</f>
        <v>-14</v>
      </c>
      <c r="I11">
        <f>Dataset_2!D11-Dataset_2!D9</f>
        <v>-67521</v>
      </c>
      <c r="J11" s="23">
        <f t="shared" si="1"/>
        <v>-6.1208424043578374E-4</v>
      </c>
      <c r="K11" s="23"/>
    </row>
    <row r="12" spans="4:15" x14ac:dyDescent="0.25">
      <c r="D12" t="s">
        <v>252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>
        <f>SUM(H7:H11)</f>
        <v>4059</v>
      </c>
      <c r="I12">
        <f>SUM(I7:I11)</f>
        <v>22945346</v>
      </c>
      <c r="J12" s="23">
        <f t="shared" si="1"/>
        <v>0.20800172802455902</v>
      </c>
      <c r="K12" s="23"/>
    </row>
  </sheetData>
  <mergeCells count="4">
    <mergeCell ref="E4:G4"/>
    <mergeCell ref="H4:J4"/>
    <mergeCell ref="F5:G5"/>
    <mergeCell ref="I5:J5"/>
  </mergeCells>
  <pageMargins left="0.7" right="0.7" top="0.75" bottom="0.75" header="0.3" footer="0.3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253</v>
      </c>
      <c r="C1" s="13"/>
      <c r="D1" s="24"/>
      <c r="E1" s="24"/>
      <c r="F1" s="24"/>
      <c r="G1" s="13" t="s">
        <v>258</v>
      </c>
      <c r="H1" s="24"/>
      <c r="I1" s="24"/>
      <c r="J1" s="24"/>
      <c r="K1" s="13" t="s">
        <v>260</v>
      </c>
      <c r="L1" s="24"/>
      <c r="M1" s="24"/>
      <c r="N1" s="24"/>
      <c r="O1" s="24"/>
      <c r="P1" s="13" t="s">
        <v>259</v>
      </c>
      <c r="Q1" s="24"/>
      <c r="R1" s="24"/>
      <c r="S1" s="13" t="s">
        <v>260</v>
      </c>
      <c r="T1" s="24"/>
      <c r="U1" s="24"/>
      <c r="V1" s="24"/>
      <c r="W1" s="13" t="s">
        <v>259</v>
      </c>
      <c r="X1" s="24"/>
      <c r="Y1" s="24"/>
      <c r="Z1" s="24"/>
    </row>
    <row r="2" spans="2:26" x14ac:dyDescent="0.25">
      <c r="B2" s="24" t="s">
        <v>263</v>
      </c>
      <c r="C2" s="24"/>
      <c r="D2" s="24" t="s">
        <v>254</v>
      </c>
      <c r="E2" s="24" t="s">
        <v>255</v>
      </c>
      <c r="F2" s="24" t="s">
        <v>256</v>
      </c>
      <c r="G2" s="32" t="s">
        <v>262</v>
      </c>
      <c r="H2" s="33" t="s">
        <v>254</v>
      </c>
      <c r="I2" s="33" t="s">
        <v>255</v>
      </c>
      <c r="J2" s="33" t="s">
        <v>256</v>
      </c>
      <c r="K2" s="24"/>
      <c r="L2" s="33" t="s">
        <v>254</v>
      </c>
      <c r="M2" s="33" t="s">
        <v>255</v>
      </c>
      <c r="N2" s="33" t="s">
        <v>256</v>
      </c>
      <c r="O2" s="24"/>
      <c r="P2" s="33" t="s">
        <v>254</v>
      </c>
      <c r="Q2" s="33" t="s">
        <v>255</v>
      </c>
      <c r="R2" s="33" t="s">
        <v>256</v>
      </c>
      <c r="S2" s="24"/>
      <c r="T2" s="33" t="s">
        <v>254</v>
      </c>
      <c r="U2" s="33" t="s">
        <v>255</v>
      </c>
      <c r="V2" s="33" t="s">
        <v>256</v>
      </c>
      <c r="W2" s="24"/>
      <c r="X2" s="33" t="s">
        <v>254</v>
      </c>
      <c r="Y2" s="33" t="s">
        <v>255</v>
      </c>
      <c r="Z2" s="33" t="s">
        <v>256</v>
      </c>
    </row>
    <row r="3" spans="2:26" x14ac:dyDescent="0.25">
      <c r="B3" s="27" t="s">
        <v>257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264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265</v>
      </c>
      <c r="C8" s="27"/>
    </row>
    <row r="10" spans="2:26" x14ac:dyDescent="0.25">
      <c r="B10" s="27" t="s">
        <v>266</v>
      </c>
      <c r="C10" s="27"/>
    </row>
    <row r="11" spans="2:26" x14ac:dyDescent="0.25">
      <c r="B11" s="27" t="s">
        <v>268</v>
      </c>
      <c r="C11" s="27"/>
    </row>
    <row r="12" spans="2:26" x14ac:dyDescent="0.25">
      <c r="B12" s="24" t="s">
        <v>55</v>
      </c>
      <c r="C12" s="24" t="s">
        <v>273</v>
      </c>
    </row>
    <row r="13" spans="2:26" x14ac:dyDescent="0.25">
      <c r="B13" s="24" t="s">
        <v>269</v>
      </c>
      <c r="C13" s="24" t="s">
        <v>270</v>
      </c>
    </row>
    <row r="14" spans="2:26" x14ac:dyDescent="0.25">
      <c r="B14" s="27"/>
      <c r="C14" s="24" t="s">
        <v>271</v>
      </c>
    </row>
    <row r="15" spans="2:26" x14ac:dyDescent="0.25">
      <c r="B15" s="27"/>
      <c r="C15" s="24" t="s">
        <v>272</v>
      </c>
    </row>
    <row r="16" spans="2:26" x14ac:dyDescent="0.25">
      <c r="B16" s="24" t="s">
        <v>274</v>
      </c>
    </row>
    <row r="17" spans="2:3" x14ac:dyDescent="0.25">
      <c r="B17" s="24" t="s">
        <v>25</v>
      </c>
    </row>
    <row r="18" spans="2:3" x14ac:dyDescent="0.25">
      <c r="B18" s="27" t="s">
        <v>267</v>
      </c>
    </row>
    <row r="19" spans="2:3" x14ac:dyDescent="0.25">
      <c r="B19" s="24" t="s">
        <v>275</v>
      </c>
    </row>
    <row r="20" spans="2:3" x14ac:dyDescent="0.25">
      <c r="B20" s="24" t="s">
        <v>276</v>
      </c>
    </row>
    <row r="21" spans="2:3" x14ac:dyDescent="0.25">
      <c r="B21" s="24" t="s">
        <v>277</v>
      </c>
      <c r="C21" t="s">
        <v>278</v>
      </c>
    </row>
    <row r="22" spans="2:3" x14ac:dyDescent="0.25">
      <c r="C22" t="s">
        <v>279</v>
      </c>
    </row>
    <row r="23" spans="2:3" x14ac:dyDescent="0.25">
      <c r="C23" t="s">
        <v>280</v>
      </c>
    </row>
    <row r="24" spans="2:3" x14ac:dyDescent="0.25">
      <c r="C24" s="24" t="s">
        <v>281</v>
      </c>
    </row>
    <row r="25" spans="2:3" x14ac:dyDescent="0.25">
      <c r="C25" t="s">
        <v>282</v>
      </c>
    </row>
    <row r="26" spans="2:3" x14ac:dyDescent="0.25">
      <c r="B26" t="s">
        <v>283</v>
      </c>
    </row>
    <row r="27" spans="2:3" x14ac:dyDescent="0.25">
      <c r="B27" s="24" t="s">
        <v>284</v>
      </c>
    </row>
    <row r="28" spans="2:3" x14ac:dyDescent="0.25">
      <c r="B28" t="s">
        <v>285</v>
      </c>
    </row>
    <row r="29" spans="2:3" x14ac:dyDescent="0.25">
      <c r="B29" s="27" t="s">
        <v>173</v>
      </c>
    </row>
    <row r="30" spans="2:3" x14ac:dyDescent="0.25">
      <c r="B30" s="24" t="s">
        <v>286</v>
      </c>
    </row>
    <row r="31" spans="2:3" x14ac:dyDescent="0.25">
      <c r="B31" s="24" t="s">
        <v>287</v>
      </c>
    </row>
    <row r="32" spans="2:3" x14ac:dyDescent="0.25">
      <c r="B32" s="24" t="s">
        <v>289</v>
      </c>
    </row>
    <row r="33" spans="2:3" x14ac:dyDescent="0.25">
      <c r="B33" s="24" t="s">
        <v>288</v>
      </c>
    </row>
    <row r="34" spans="2:3" x14ac:dyDescent="0.25">
      <c r="B34" s="24" t="s">
        <v>290</v>
      </c>
    </row>
    <row r="35" spans="2:3" x14ac:dyDescent="0.25">
      <c r="B35" s="24" t="s">
        <v>291</v>
      </c>
    </row>
    <row r="36" spans="2:3" x14ac:dyDescent="0.25">
      <c r="B36" s="24" t="s">
        <v>293</v>
      </c>
    </row>
    <row r="37" spans="2:3" x14ac:dyDescent="0.25">
      <c r="B37" s="24" t="s">
        <v>292</v>
      </c>
    </row>
    <row r="38" spans="2:3" x14ac:dyDescent="0.25">
      <c r="B38" s="24" t="s">
        <v>294</v>
      </c>
    </row>
    <row r="39" spans="2:3" x14ac:dyDescent="0.25">
      <c r="B39" s="24" t="s">
        <v>295</v>
      </c>
    </row>
    <row r="40" spans="2:3" x14ac:dyDescent="0.25">
      <c r="B40" s="24" t="s">
        <v>296</v>
      </c>
      <c r="C40" t="s">
        <v>297</v>
      </c>
    </row>
    <row r="41" spans="2:3" x14ac:dyDescent="0.25">
      <c r="B41" s="24"/>
      <c r="C41" t="s">
        <v>298</v>
      </c>
    </row>
    <row r="42" spans="2:3" x14ac:dyDescent="0.25">
      <c r="B42" s="24"/>
      <c r="C42" t="s">
        <v>299</v>
      </c>
    </row>
    <row r="43" spans="2:3" x14ac:dyDescent="0.25">
      <c r="B43" s="24"/>
      <c r="C43" t="s">
        <v>300</v>
      </c>
    </row>
    <row r="44" spans="2:3" x14ac:dyDescent="0.25">
      <c r="B44" s="24" t="s">
        <v>301</v>
      </c>
      <c r="C44" t="s">
        <v>297</v>
      </c>
    </row>
    <row r="45" spans="2:3" x14ac:dyDescent="0.25">
      <c r="B45" s="24"/>
      <c r="C45" t="s">
        <v>298</v>
      </c>
    </row>
    <row r="46" spans="2:3" x14ac:dyDescent="0.25">
      <c r="B46" s="24"/>
      <c r="C46" t="s">
        <v>299</v>
      </c>
    </row>
    <row r="47" spans="2:3" x14ac:dyDescent="0.25">
      <c r="B47" s="24"/>
      <c r="C47" t="s">
        <v>300</v>
      </c>
    </row>
    <row r="48" spans="2:3" x14ac:dyDescent="0.25">
      <c r="B48" s="24" t="s">
        <v>302</v>
      </c>
      <c r="C48" t="s">
        <v>297</v>
      </c>
    </row>
    <row r="49" spans="2:3" x14ac:dyDescent="0.25">
      <c r="B49" s="24"/>
      <c r="C49" t="s">
        <v>298</v>
      </c>
    </row>
    <row r="50" spans="2:3" x14ac:dyDescent="0.25">
      <c r="B50" s="24"/>
      <c r="C50" t="s">
        <v>299</v>
      </c>
    </row>
    <row r="51" spans="2:3" x14ac:dyDescent="0.25">
      <c r="B51" s="24"/>
      <c r="C51" t="s">
        <v>300</v>
      </c>
    </row>
    <row r="52" spans="2:3" x14ac:dyDescent="0.25">
      <c r="B52" s="27" t="s">
        <v>53</v>
      </c>
    </row>
    <row r="53" spans="2:3" x14ac:dyDescent="0.25">
      <c r="B53" t="s">
        <v>303</v>
      </c>
    </row>
    <row r="54" spans="2:3" x14ac:dyDescent="0.25">
      <c r="B54" t="s">
        <v>304</v>
      </c>
    </row>
    <row r="55" spans="2:3" x14ac:dyDescent="0.25">
      <c r="B55" t="s">
        <v>305</v>
      </c>
    </row>
    <row r="56" spans="2:3" x14ac:dyDescent="0.25">
      <c r="B56" t="s">
        <v>306</v>
      </c>
    </row>
    <row r="57" spans="2:3" x14ac:dyDescent="0.25">
      <c r="B57" t="s">
        <v>307</v>
      </c>
    </row>
    <row r="58" spans="2:3" x14ac:dyDescent="0.25">
      <c r="B58" t="s">
        <v>308</v>
      </c>
    </row>
    <row r="59" spans="2:3" x14ac:dyDescent="0.25">
      <c r="B59" t="s">
        <v>309</v>
      </c>
    </row>
    <row r="60" spans="2:3" x14ac:dyDescent="0.25">
      <c r="B60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344</v>
      </c>
      <c r="E2" s="83" t="s">
        <v>244</v>
      </c>
      <c r="F2" s="83"/>
      <c r="G2" s="83"/>
      <c r="H2" s="83"/>
      <c r="I2" s="83"/>
      <c r="J2" s="83"/>
      <c r="K2" s="83"/>
      <c r="M2" s="83" t="s">
        <v>243</v>
      </c>
      <c r="N2" s="83"/>
      <c r="O2" s="83"/>
      <c r="P2" s="83"/>
      <c r="Q2" s="83"/>
      <c r="R2" s="83"/>
      <c r="S2" s="83"/>
    </row>
    <row r="3" spans="3:19" x14ac:dyDescent="0.25">
      <c r="C3" s="13"/>
      <c r="E3" s="82" t="s">
        <v>327</v>
      </c>
      <c r="F3" s="82"/>
      <c r="G3" s="82"/>
      <c r="I3" s="82" t="s">
        <v>328</v>
      </c>
      <c r="J3" s="82"/>
      <c r="K3" s="82"/>
      <c r="M3" s="82" t="s">
        <v>327</v>
      </c>
      <c r="N3" s="82"/>
      <c r="O3" s="82"/>
      <c r="P3" s="45"/>
      <c r="Q3" s="82" t="s">
        <v>328</v>
      </c>
      <c r="R3" s="82"/>
      <c r="S3" s="82"/>
    </row>
    <row r="4" spans="3:19" x14ac:dyDescent="0.25">
      <c r="E4" s="31" t="s">
        <v>323</v>
      </c>
      <c r="F4" s="31" t="s">
        <v>324</v>
      </c>
      <c r="G4" s="31" t="s">
        <v>325</v>
      </c>
      <c r="H4" s="31"/>
      <c r="I4" s="31" t="s">
        <v>323</v>
      </c>
      <c r="J4" s="31" t="s">
        <v>324</v>
      </c>
      <c r="K4" s="42" t="s">
        <v>326</v>
      </c>
      <c r="M4" s="44" t="s">
        <v>323</v>
      </c>
      <c r="N4" s="44" t="s">
        <v>324</v>
      </c>
      <c r="O4" s="44" t="s">
        <v>325</v>
      </c>
      <c r="P4" s="44"/>
      <c r="Q4" s="44" t="s">
        <v>323</v>
      </c>
      <c r="R4" s="44" t="s">
        <v>324</v>
      </c>
      <c r="S4" s="42" t="s">
        <v>326</v>
      </c>
    </row>
    <row r="5" spans="3:19" x14ac:dyDescent="0.25">
      <c r="D5" t="s">
        <v>320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321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322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345</v>
      </c>
    </row>
    <row r="10" spans="3:19" x14ac:dyDescent="0.25">
      <c r="E10" s="43"/>
    </row>
    <row r="11" spans="3:19" x14ac:dyDescent="0.25">
      <c r="E11" s="83" t="s">
        <v>244</v>
      </c>
      <c r="F11" s="83"/>
      <c r="G11" s="83"/>
      <c r="H11" s="83"/>
      <c r="I11" s="83"/>
      <c r="J11" s="83"/>
      <c r="K11" s="83"/>
      <c r="L11" s="49"/>
      <c r="M11" s="83" t="s">
        <v>243</v>
      </c>
      <c r="N11" s="83"/>
      <c r="O11" s="83"/>
      <c r="P11" s="83"/>
      <c r="Q11" s="83"/>
      <c r="R11" s="83"/>
      <c r="S11" s="83"/>
    </row>
    <row r="12" spans="3:19" x14ac:dyDescent="0.25">
      <c r="D12" s="49"/>
      <c r="E12" s="82" t="s">
        <v>327</v>
      </c>
      <c r="F12" s="82"/>
      <c r="G12" s="82"/>
      <c r="H12" s="49"/>
      <c r="I12" s="82" t="s">
        <v>328</v>
      </c>
      <c r="J12" s="82"/>
      <c r="K12" s="82"/>
      <c r="L12" s="49"/>
      <c r="M12" s="82" t="s">
        <v>327</v>
      </c>
      <c r="N12" s="82"/>
      <c r="O12" s="82"/>
      <c r="P12" s="49"/>
      <c r="Q12" s="82" t="s">
        <v>328</v>
      </c>
      <c r="R12" s="82"/>
      <c r="S12" s="82"/>
    </row>
    <row r="13" spans="3:19" x14ac:dyDescent="0.25">
      <c r="D13" s="49"/>
      <c r="E13" s="48" t="s">
        <v>323</v>
      </c>
      <c r="F13" s="48" t="s">
        <v>324</v>
      </c>
      <c r="G13" s="48" t="s">
        <v>325</v>
      </c>
      <c r="H13" s="48"/>
      <c r="I13" s="48" t="s">
        <v>323</v>
      </c>
      <c r="J13" s="48" t="s">
        <v>324</v>
      </c>
      <c r="K13" s="42" t="s">
        <v>326</v>
      </c>
      <c r="L13" s="49"/>
      <c r="M13" s="48" t="s">
        <v>323</v>
      </c>
      <c r="N13" s="48" t="s">
        <v>324</v>
      </c>
      <c r="O13" s="48" t="s">
        <v>325</v>
      </c>
      <c r="P13" s="48"/>
      <c r="Q13" s="48" t="s">
        <v>323</v>
      </c>
      <c r="R13" s="48" t="s">
        <v>324</v>
      </c>
      <c r="S13" s="42" t="s">
        <v>326</v>
      </c>
    </row>
    <row r="14" spans="3:19" x14ac:dyDescent="0.25">
      <c r="D14" s="49" t="s">
        <v>320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321</v>
      </c>
      <c r="E15" s="53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4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3">
        <v>0.85503340000000005</v>
      </c>
    </row>
    <row r="16" spans="3:19" x14ac:dyDescent="0.25">
      <c r="D16" s="49" t="s">
        <v>322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3:G3"/>
    <mergeCell ref="I3:K3"/>
    <mergeCell ref="M3:O3"/>
    <mergeCell ref="Q3:S3"/>
    <mergeCell ref="E2:K2"/>
    <mergeCell ref="M2:S2"/>
    <mergeCell ref="E12:G12"/>
    <mergeCell ref="I12:K12"/>
    <mergeCell ref="M12:O12"/>
    <mergeCell ref="Q12:S12"/>
    <mergeCell ref="E11:K11"/>
    <mergeCell ref="M11:S1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C8D0-92F2-48FB-9F5D-D6BDDD3DDCD3}">
  <dimension ref="D5:BN30"/>
  <sheetViews>
    <sheetView showGridLines="0" topLeftCell="AG1" workbookViewId="0">
      <selection activeCell="AJ33" sqref="AJ33"/>
    </sheetView>
  </sheetViews>
  <sheetFormatPr defaultRowHeight="15" x14ac:dyDescent="0.25"/>
  <cols>
    <col min="4" max="4" width="17.5703125" bestFit="1" customWidth="1"/>
    <col min="12" max="12" width="9.140625" style="57"/>
    <col min="14" max="14" width="9.140625" style="57"/>
    <col min="16" max="16" width="9.140625" style="57"/>
    <col min="18" max="18" width="9.140625" style="57"/>
  </cols>
  <sheetData>
    <row r="5" spans="4:66" x14ac:dyDescent="0.25">
      <c r="D5" s="57"/>
      <c r="E5" s="57"/>
      <c r="F5" s="57"/>
      <c r="G5" s="57"/>
      <c r="H5" s="57"/>
      <c r="I5" s="57"/>
      <c r="J5" s="57"/>
      <c r="K5" s="57"/>
      <c r="O5" s="57"/>
      <c r="Q5" s="57"/>
      <c r="S5" s="57"/>
      <c r="T5" s="57"/>
      <c r="U5" s="57"/>
    </row>
    <row r="6" spans="4:66" x14ac:dyDescent="0.25">
      <c r="D6" s="57"/>
      <c r="E6" s="57"/>
      <c r="F6" s="57"/>
      <c r="G6" s="82" t="s">
        <v>352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Y6" s="57"/>
      <c r="Z6" s="57"/>
      <c r="AA6" s="57"/>
      <c r="AB6" s="82" t="s">
        <v>355</v>
      </c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BA6" s="57"/>
      <c r="BB6" s="57"/>
      <c r="BC6" s="57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</row>
    <row r="7" spans="4:66" s="57" customFormat="1" x14ac:dyDescent="0.25">
      <c r="G7" s="87" t="s">
        <v>264</v>
      </c>
      <c r="H7" s="87"/>
      <c r="I7" s="87"/>
      <c r="J7" s="87"/>
      <c r="K7" s="87"/>
      <c r="L7" s="35"/>
      <c r="M7" s="87" t="s">
        <v>164</v>
      </c>
      <c r="N7" s="87"/>
      <c r="O7" s="87"/>
      <c r="P7" s="87"/>
      <c r="Q7" s="87"/>
      <c r="R7" s="35"/>
      <c r="S7" s="87" t="s">
        <v>18</v>
      </c>
      <c r="T7" s="87"/>
      <c r="U7" s="87"/>
      <c r="V7" s="87"/>
      <c r="W7" s="87"/>
      <c r="AB7" s="87" t="s">
        <v>264</v>
      </c>
      <c r="AC7" s="87"/>
      <c r="AD7" s="87"/>
      <c r="AE7" s="87"/>
      <c r="AF7" s="87"/>
      <c r="AG7" s="35"/>
      <c r="AH7" s="87" t="s">
        <v>164</v>
      </c>
      <c r="AI7" s="87"/>
      <c r="AJ7" s="87"/>
      <c r="AK7" s="87"/>
      <c r="AL7" s="87"/>
      <c r="AM7" s="35"/>
      <c r="AN7" s="87" t="s">
        <v>18</v>
      </c>
      <c r="AO7" s="87"/>
      <c r="AP7" s="87"/>
      <c r="AQ7" s="87"/>
      <c r="AR7" s="87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4:66" x14ac:dyDescent="0.25">
      <c r="D8" s="57"/>
      <c r="E8" s="57"/>
      <c r="F8" s="13"/>
      <c r="G8" s="24" t="s">
        <v>349</v>
      </c>
      <c r="H8" s="57"/>
      <c r="I8" s="24" t="s">
        <v>350</v>
      </c>
      <c r="J8" s="57"/>
      <c r="K8" s="24" t="s">
        <v>351</v>
      </c>
      <c r="L8" s="32"/>
      <c r="M8" s="73" t="s">
        <v>349</v>
      </c>
      <c r="N8" s="73"/>
      <c r="O8" s="73" t="s">
        <v>350</v>
      </c>
      <c r="P8" s="73"/>
      <c r="Q8" s="73" t="s">
        <v>351</v>
      </c>
      <c r="R8" s="24"/>
      <c r="S8" s="73" t="s">
        <v>349</v>
      </c>
      <c r="T8" s="28"/>
      <c r="U8" s="73" t="s">
        <v>350</v>
      </c>
      <c r="V8" s="28"/>
      <c r="W8" s="73" t="s">
        <v>351</v>
      </c>
      <c r="Y8" s="57"/>
      <c r="Z8" s="57"/>
      <c r="AA8" s="13"/>
      <c r="AB8" s="24" t="s">
        <v>349</v>
      </c>
      <c r="AC8" s="57"/>
      <c r="AD8" s="24" t="s">
        <v>350</v>
      </c>
      <c r="AE8" s="57"/>
      <c r="AF8" s="24" t="s">
        <v>351</v>
      </c>
      <c r="AG8" s="32"/>
      <c r="AH8" s="73" t="s">
        <v>349</v>
      </c>
      <c r="AI8" s="73"/>
      <c r="AJ8" s="73" t="s">
        <v>350</v>
      </c>
      <c r="AK8" s="73"/>
      <c r="AL8" s="73" t="s">
        <v>351</v>
      </c>
      <c r="AM8" s="24"/>
      <c r="AN8" s="73" t="s">
        <v>349</v>
      </c>
      <c r="AO8" s="28"/>
      <c r="AP8" s="73" t="s">
        <v>350</v>
      </c>
      <c r="AQ8" s="28"/>
      <c r="AR8" s="73" t="s">
        <v>351</v>
      </c>
      <c r="BA8" s="57"/>
      <c r="BB8" s="57"/>
      <c r="BC8" s="13"/>
      <c r="BD8" s="24"/>
      <c r="BE8" s="57"/>
      <c r="BF8" s="24"/>
      <c r="BG8" s="57"/>
      <c r="BH8" s="24"/>
      <c r="BI8" s="24"/>
      <c r="BJ8" s="24"/>
      <c r="BK8" s="57"/>
      <c r="BL8" s="24"/>
      <c r="BM8" s="24"/>
      <c r="BN8" s="73"/>
    </row>
    <row r="9" spans="4:66" x14ac:dyDescent="0.25">
      <c r="D9" s="57"/>
      <c r="E9" s="57"/>
      <c r="F9" s="24"/>
      <c r="G9" s="33" t="s">
        <v>254</v>
      </c>
      <c r="H9" s="55"/>
      <c r="I9" s="33" t="s">
        <v>254</v>
      </c>
      <c r="J9" s="55"/>
      <c r="K9" s="33" t="s">
        <v>254</v>
      </c>
      <c r="L9" s="55"/>
      <c r="M9" s="33" t="s">
        <v>254</v>
      </c>
      <c r="N9" s="33"/>
      <c r="O9" s="33" t="s">
        <v>254</v>
      </c>
      <c r="P9" s="33"/>
      <c r="Q9" s="33" t="s">
        <v>254</v>
      </c>
      <c r="R9" s="33"/>
      <c r="S9" s="33" t="s">
        <v>254</v>
      </c>
      <c r="T9" s="55"/>
      <c r="U9" s="33" t="s">
        <v>254</v>
      </c>
      <c r="V9" s="55"/>
      <c r="W9" s="33" t="s">
        <v>254</v>
      </c>
      <c r="Y9" s="57"/>
      <c r="Z9" s="57"/>
      <c r="AA9" s="24"/>
      <c r="AB9" s="33" t="s">
        <v>254</v>
      </c>
      <c r="AC9" s="55"/>
      <c r="AD9" s="33" t="s">
        <v>254</v>
      </c>
      <c r="AE9" s="55"/>
      <c r="AF9" s="33" t="s">
        <v>254</v>
      </c>
      <c r="AG9" s="55"/>
      <c r="AH9" s="33" t="s">
        <v>254</v>
      </c>
      <c r="AI9" s="33"/>
      <c r="AJ9" s="33" t="s">
        <v>254</v>
      </c>
      <c r="AK9" s="33"/>
      <c r="AL9" s="33" t="s">
        <v>254</v>
      </c>
      <c r="AM9" s="33"/>
      <c r="AN9" s="33" t="s">
        <v>254</v>
      </c>
      <c r="AO9" s="55"/>
      <c r="AP9" s="33" t="s">
        <v>254</v>
      </c>
      <c r="AQ9" s="55"/>
      <c r="AR9" s="33" t="s">
        <v>254</v>
      </c>
      <c r="BA9" s="57"/>
      <c r="BB9" s="57"/>
      <c r="BC9" s="24"/>
      <c r="BD9" s="33"/>
      <c r="BE9" s="33"/>
      <c r="BF9" s="55"/>
      <c r="BG9" s="57"/>
      <c r="BH9" s="33"/>
      <c r="BI9" s="33"/>
      <c r="BJ9" s="55"/>
      <c r="BK9" s="57"/>
      <c r="BL9" s="33"/>
      <c r="BM9" s="33"/>
      <c r="BN9" s="55"/>
    </row>
    <row r="10" spans="4:66" x14ac:dyDescent="0.25">
      <c r="D10" s="84" t="s">
        <v>354</v>
      </c>
      <c r="E10" s="85"/>
      <c r="F10" s="57"/>
      <c r="G10" s="57"/>
      <c r="H10" s="57"/>
      <c r="I10" s="57"/>
      <c r="J10" s="57"/>
      <c r="K10" s="57"/>
      <c r="M10" s="57"/>
      <c r="O10" s="57"/>
      <c r="Q10" s="57"/>
      <c r="S10" s="57"/>
      <c r="T10" s="57"/>
      <c r="U10" s="57"/>
      <c r="V10" s="57"/>
      <c r="W10" s="57"/>
      <c r="Y10" s="84" t="s">
        <v>354</v>
      </c>
      <c r="Z10" s="85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BA10" s="84"/>
      <c r="BB10" s="84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4:66" x14ac:dyDescent="0.25">
      <c r="D11" s="86" t="s">
        <v>353</v>
      </c>
      <c r="E11" s="86"/>
      <c r="F11" s="57"/>
      <c r="G11" s="11">
        <v>0.27</v>
      </c>
      <c r="H11" s="11"/>
      <c r="I11" s="11">
        <v>-0.72</v>
      </c>
      <c r="J11" s="58"/>
      <c r="K11" s="11">
        <v>-1.2</v>
      </c>
      <c r="M11" s="11">
        <v>1.44</v>
      </c>
      <c r="N11" s="11"/>
      <c r="O11" s="11">
        <v>-0.08</v>
      </c>
      <c r="P11" s="58"/>
      <c r="Q11" s="11">
        <v>-1.2</v>
      </c>
      <c r="R11" s="11"/>
      <c r="S11" s="11">
        <v>0.28000000000000003</v>
      </c>
      <c r="T11" s="11"/>
      <c r="U11" s="11">
        <v>-0.22</v>
      </c>
      <c r="V11" s="58"/>
      <c r="W11" s="11">
        <v>-0.63</v>
      </c>
      <c r="Y11" s="86" t="s">
        <v>353</v>
      </c>
      <c r="Z11" s="86"/>
      <c r="AA11" s="57"/>
      <c r="AB11" s="11">
        <v>1.51</v>
      </c>
      <c r="AC11" s="11"/>
      <c r="AD11" s="11">
        <v>0.19</v>
      </c>
      <c r="AE11" s="58"/>
      <c r="AF11" s="11">
        <v>-1.38</v>
      </c>
      <c r="AG11" s="57"/>
      <c r="AH11" s="11">
        <v>1.34</v>
      </c>
      <c r="AI11" s="11"/>
      <c r="AJ11" s="11">
        <v>-0.02</v>
      </c>
      <c r="AK11" s="58"/>
      <c r="AL11" s="11">
        <v>-1.5</v>
      </c>
      <c r="AM11" s="11"/>
      <c r="AN11" s="11">
        <v>-0.24</v>
      </c>
      <c r="AO11" s="11"/>
      <c r="AP11" s="11">
        <v>-0.34</v>
      </c>
      <c r="AQ11" s="58"/>
      <c r="AR11" s="11">
        <v>-0.5</v>
      </c>
      <c r="BA11" s="86"/>
      <c r="BB11" s="86"/>
      <c r="BC11" s="57"/>
      <c r="BD11" s="11"/>
      <c r="BE11" s="65"/>
      <c r="BF11" s="11"/>
      <c r="BG11" s="11"/>
      <c r="BH11" s="11"/>
      <c r="BI11" s="65"/>
      <c r="BJ11" s="58"/>
      <c r="BK11" s="58"/>
      <c r="BL11" s="11"/>
      <c r="BM11" s="59"/>
      <c r="BN11" s="57"/>
    </row>
    <row r="12" spans="4:66" s="57" customFormat="1" x14ac:dyDescent="0.25">
      <c r="G12" s="11"/>
      <c r="H12" s="11"/>
      <c r="I12" s="11"/>
      <c r="J12" s="58"/>
      <c r="K12" s="11"/>
      <c r="M12" s="11"/>
      <c r="N12" s="11"/>
      <c r="O12" s="11"/>
      <c r="P12" s="58"/>
      <c r="Q12" s="11"/>
      <c r="R12" s="11"/>
      <c r="S12" s="11"/>
      <c r="T12" s="11"/>
      <c r="U12" s="11"/>
      <c r="V12" s="58"/>
      <c r="W12" s="11"/>
      <c r="AB12" s="11"/>
      <c r="AC12" s="11"/>
      <c r="AD12" s="11"/>
      <c r="AE12" s="58"/>
      <c r="AF12" s="11"/>
      <c r="AH12" s="11"/>
      <c r="AI12" s="11"/>
      <c r="AJ12" s="11"/>
      <c r="AK12" s="58"/>
      <c r="AL12" s="11"/>
      <c r="AM12" s="11"/>
      <c r="AN12" s="11"/>
      <c r="AO12" s="11"/>
      <c r="AP12" s="11"/>
      <c r="AQ12" s="58"/>
      <c r="AR12" s="11"/>
      <c r="BD12" s="11"/>
      <c r="BE12" s="65"/>
      <c r="BF12" s="11"/>
      <c r="BG12" s="11"/>
      <c r="BH12" s="11"/>
      <c r="BI12" s="65"/>
      <c r="BJ12" s="58"/>
      <c r="BK12" s="58"/>
      <c r="BL12" s="11"/>
      <c r="BM12" s="59"/>
    </row>
    <row r="13" spans="4:66" x14ac:dyDescent="0.25">
      <c r="D13" s="56" t="s">
        <v>347</v>
      </c>
      <c r="E13" s="57"/>
      <c r="F13" s="57"/>
      <c r="G13" s="58"/>
      <c r="H13" s="58"/>
      <c r="I13" s="58"/>
      <c r="J13" s="58"/>
      <c r="K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Y13" s="56" t="s">
        <v>347</v>
      </c>
      <c r="Z13" s="57"/>
      <c r="AA13" s="57"/>
      <c r="AB13" s="58"/>
      <c r="AC13" s="58"/>
      <c r="AD13" s="58"/>
      <c r="AE13" s="58"/>
      <c r="AF13" s="58"/>
      <c r="AG13" s="57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BA13" s="56"/>
      <c r="BB13" s="57"/>
      <c r="BC13" s="57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7"/>
    </row>
    <row r="14" spans="4:66" x14ac:dyDescent="0.25">
      <c r="D14" s="24" t="s">
        <v>25</v>
      </c>
      <c r="E14" s="57"/>
      <c r="F14" s="57"/>
      <c r="G14" s="61">
        <v>67.7</v>
      </c>
      <c r="H14" s="11"/>
      <c r="I14" s="61">
        <v>69.400000000000006</v>
      </c>
      <c r="J14" s="11"/>
      <c r="K14" s="61">
        <v>71.8</v>
      </c>
      <c r="L14" s="11"/>
      <c r="M14" s="61">
        <v>65.3</v>
      </c>
      <c r="N14" s="61"/>
      <c r="O14" s="61">
        <v>69.599999999999994</v>
      </c>
      <c r="P14" s="61"/>
      <c r="Q14" s="61">
        <v>72</v>
      </c>
      <c r="R14" s="61"/>
      <c r="S14" s="61">
        <v>67</v>
      </c>
      <c r="T14" s="11"/>
      <c r="U14" s="61">
        <v>69.599999999999994</v>
      </c>
      <c r="V14" s="11"/>
      <c r="W14" s="61">
        <v>70.900000000000006</v>
      </c>
      <c r="Y14" s="24" t="s">
        <v>25</v>
      </c>
      <c r="Z14" s="57"/>
      <c r="AA14" s="57"/>
      <c r="AB14" s="61">
        <v>67.7</v>
      </c>
      <c r="AC14" s="11"/>
      <c r="AD14" s="61">
        <v>69.2</v>
      </c>
      <c r="AE14" s="11"/>
      <c r="AF14" s="61">
        <v>74.7</v>
      </c>
      <c r="AG14" s="11"/>
      <c r="AH14" s="61">
        <v>66.400000000000006</v>
      </c>
      <c r="AI14" s="61"/>
      <c r="AJ14" s="61">
        <v>69.599999999999994</v>
      </c>
      <c r="AK14" s="61"/>
      <c r="AL14" s="61">
        <v>72.8</v>
      </c>
      <c r="AM14" s="61"/>
      <c r="AN14" s="61">
        <v>65.900000000000006</v>
      </c>
      <c r="AO14" s="11"/>
      <c r="AP14" s="61">
        <v>69.599999999999994</v>
      </c>
      <c r="AQ14" s="11"/>
      <c r="AR14" s="61">
        <v>73.25</v>
      </c>
      <c r="BA14" s="24"/>
      <c r="BB14" s="57"/>
      <c r="BC14" s="57"/>
      <c r="BD14" s="60"/>
      <c r="BE14" s="60"/>
      <c r="BF14" s="58"/>
      <c r="BG14" s="58"/>
      <c r="BH14" s="60"/>
      <c r="BI14" s="60"/>
      <c r="BJ14" s="58"/>
      <c r="BK14" s="58"/>
      <c r="BL14" s="60"/>
      <c r="BM14" s="60"/>
      <c r="BN14" s="57"/>
    </row>
    <row r="15" spans="4:66" x14ac:dyDescent="0.25">
      <c r="D15" s="24"/>
      <c r="E15" s="57"/>
      <c r="F15" s="57"/>
      <c r="G15" s="58"/>
      <c r="H15" s="58"/>
      <c r="I15" s="58"/>
      <c r="J15" s="58"/>
      <c r="K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Y15" s="24"/>
      <c r="Z15" s="57"/>
      <c r="AA15" s="57"/>
      <c r="AB15" s="58"/>
      <c r="AC15" s="58"/>
      <c r="AD15" s="58"/>
      <c r="AE15" s="58"/>
      <c r="AF15" s="58"/>
      <c r="AG15" s="57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BA15" s="24"/>
      <c r="BB15" s="57"/>
      <c r="BC15" s="57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7"/>
    </row>
    <row r="16" spans="4:66" x14ac:dyDescent="0.25">
      <c r="D16" s="84" t="s">
        <v>348</v>
      </c>
      <c r="E16" s="84"/>
      <c r="F16" s="57"/>
      <c r="G16" s="33" t="s">
        <v>356</v>
      </c>
      <c r="H16" s="55"/>
      <c r="I16" s="33" t="s">
        <v>356</v>
      </c>
      <c r="J16" s="55"/>
      <c r="K16" s="33" t="s">
        <v>356</v>
      </c>
      <c r="L16" s="33"/>
      <c r="M16" s="33" t="s">
        <v>356</v>
      </c>
      <c r="N16" s="77"/>
      <c r="O16" s="33" t="s">
        <v>356</v>
      </c>
      <c r="P16" s="77"/>
      <c r="Q16" s="33" t="s">
        <v>356</v>
      </c>
      <c r="R16" s="33"/>
      <c r="S16" s="33" t="s">
        <v>356</v>
      </c>
      <c r="T16" s="55"/>
      <c r="U16" s="33" t="s">
        <v>356</v>
      </c>
      <c r="V16" s="55"/>
      <c r="W16" s="33" t="s">
        <v>356</v>
      </c>
      <c r="Y16" s="84" t="s">
        <v>348</v>
      </c>
      <c r="Z16" s="84"/>
      <c r="AA16" s="57"/>
      <c r="AB16" s="33" t="s">
        <v>356</v>
      </c>
      <c r="AC16" s="55"/>
      <c r="AD16" s="33" t="s">
        <v>356</v>
      </c>
      <c r="AE16" s="55"/>
      <c r="AF16" s="33" t="s">
        <v>356</v>
      </c>
      <c r="AG16" s="33"/>
      <c r="AH16" s="33" t="s">
        <v>356</v>
      </c>
      <c r="AI16" s="33"/>
      <c r="AJ16" s="33" t="s">
        <v>356</v>
      </c>
      <c r="AK16" s="33"/>
      <c r="AL16" s="33" t="s">
        <v>356</v>
      </c>
      <c r="AM16" s="33"/>
      <c r="AN16" s="33" t="s">
        <v>356</v>
      </c>
      <c r="AO16" s="55"/>
      <c r="AP16" s="33" t="s">
        <v>356</v>
      </c>
      <c r="AQ16" s="55"/>
      <c r="AR16" s="33" t="s">
        <v>356</v>
      </c>
      <c r="BA16" s="84"/>
      <c r="BB16" s="84"/>
      <c r="BC16" s="57"/>
      <c r="BD16" s="33"/>
      <c r="BE16" s="33"/>
      <c r="BF16" s="55"/>
      <c r="BG16" s="57"/>
      <c r="BH16" s="33"/>
      <c r="BI16" s="33"/>
      <c r="BJ16" s="38"/>
      <c r="BK16" s="57"/>
      <c r="BL16" s="33"/>
      <c r="BM16" s="33"/>
      <c r="BN16" s="38"/>
    </row>
    <row r="17" spans="4:66" x14ac:dyDescent="0.25">
      <c r="D17" s="24" t="s">
        <v>55</v>
      </c>
      <c r="E17" s="24" t="s">
        <v>332</v>
      </c>
      <c r="F17" s="57"/>
      <c r="G17" s="78">
        <v>0.31</v>
      </c>
      <c r="H17" s="78"/>
      <c r="I17" s="78">
        <v>0.41</v>
      </c>
      <c r="J17" s="78"/>
      <c r="K17" s="78">
        <v>0.48</v>
      </c>
      <c r="L17" s="78"/>
      <c r="M17" s="78">
        <v>0.32</v>
      </c>
      <c r="N17" s="78"/>
      <c r="O17" s="78">
        <v>0.42</v>
      </c>
      <c r="P17" s="78"/>
      <c r="Q17" s="78">
        <v>0.44</v>
      </c>
      <c r="R17" s="78"/>
      <c r="S17" s="78">
        <v>0.44</v>
      </c>
      <c r="T17" s="78"/>
      <c r="U17" s="78">
        <v>0.42</v>
      </c>
      <c r="V17" s="78"/>
      <c r="W17" s="78">
        <v>0.3</v>
      </c>
      <c r="Y17" s="24" t="s">
        <v>55</v>
      </c>
      <c r="Z17" s="24" t="s">
        <v>332</v>
      </c>
      <c r="AA17" s="57"/>
      <c r="AB17" s="63">
        <v>0.28000000000000003</v>
      </c>
      <c r="AC17" s="63"/>
      <c r="AD17" s="63">
        <v>0.42</v>
      </c>
      <c r="AE17" s="63"/>
      <c r="AF17" s="63">
        <v>0.51</v>
      </c>
      <c r="AG17" s="63"/>
      <c r="AH17" s="63">
        <v>0.2</v>
      </c>
      <c r="AI17" s="63"/>
      <c r="AJ17" s="63">
        <v>0.42</v>
      </c>
      <c r="AK17" s="63"/>
      <c r="AL17" s="63">
        <v>0.52</v>
      </c>
      <c r="AM17" s="63"/>
      <c r="AN17" s="63">
        <v>0.42</v>
      </c>
      <c r="AO17" s="63"/>
      <c r="AP17" s="63">
        <v>0.41</v>
      </c>
      <c r="AQ17" s="63"/>
      <c r="AR17" s="63">
        <v>0.4</v>
      </c>
      <c r="BA17" s="24"/>
      <c r="BB17" s="24"/>
      <c r="BC17" s="57"/>
      <c r="BD17" s="58"/>
      <c r="BE17" s="74"/>
      <c r="BF17" s="74"/>
      <c r="BG17" s="58"/>
      <c r="BH17" s="75"/>
      <c r="BI17" s="76"/>
      <c r="BJ17" s="58"/>
      <c r="BK17" s="58"/>
      <c r="BL17" s="75"/>
      <c r="BM17" s="76"/>
      <c r="BN17" s="58"/>
    </row>
    <row r="18" spans="4:66" x14ac:dyDescent="0.25">
      <c r="D18" s="24" t="s">
        <v>269</v>
      </c>
      <c r="E18" s="24" t="s">
        <v>270</v>
      </c>
      <c r="F18" s="57"/>
      <c r="G18" s="78">
        <f>230691/(230691+191767+30442)</f>
        <v>0.50936409803488625</v>
      </c>
      <c r="H18" s="78"/>
      <c r="I18" s="78">
        <f>2820893/(2820893+545171+257136)</f>
        <v>0.77856397659527488</v>
      </c>
      <c r="J18" s="78"/>
      <c r="K18" s="78">
        <f>381554/(381554+30884+40462)</f>
        <v>0.84246853610068451</v>
      </c>
      <c r="L18" s="78"/>
      <c r="M18" s="78">
        <f>104107/(104107+333270+15522)</f>
        <v>0.22986802797091627</v>
      </c>
      <c r="N18" s="78"/>
      <c r="O18" s="78">
        <f>2953008/(2953008+425467+244724)</f>
        <v>0.81502782485864012</v>
      </c>
      <c r="P18" s="78"/>
      <c r="Q18" s="78">
        <f>376023/(376023+9083+57794)</f>
        <v>0.84900203206141345</v>
      </c>
      <c r="R18" s="78"/>
      <c r="S18" s="78">
        <f>163116/(163116+266388+23396)</f>
        <v>0.36015897549127845</v>
      </c>
      <c r="T18" s="78"/>
      <c r="U18" s="78">
        <f>2875086/(2875086+492074+256039)</f>
        <v>0.79352141574338042</v>
      </c>
      <c r="V18" s="78"/>
      <c r="W18" s="78">
        <f>394932/(394932+9360+48605)</f>
        <v>0.87201284177197025</v>
      </c>
      <c r="Y18" s="24" t="s">
        <v>269</v>
      </c>
      <c r="Z18" s="24" t="s">
        <v>270</v>
      </c>
      <c r="AA18" s="57"/>
      <c r="AB18" s="63">
        <f>357045/(357045+28843+20012)</f>
        <v>0.87963784183296378</v>
      </c>
      <c r="AC18" s="63"/>
      <c r="AD18" s="63">
        <f>2532808/(2532808+488079+226312)</f>
        <v>0.77999777654526259</v>
      </c>
      <c r="AE18" s="63"/>
      <c r="AF18" s="63">
        <f>221306/(221306+148205+36388)</f>
        <v>0.54522430456837789</v>
      </c>
      <c r="AG18" s="63"/>
      <c r="AH18" s="63">
        <f>360168/(360168+19310+26419)</f>
        <v>0.88733841343986286</v>
      </c>
      <c r="AI18" s="63"/>
      <c r="AJ18" s="63">
        <f>2489301/(2489301+533558+224340)</f>
        <v>0.76659946002693402</v>
      </c>
      <c r="AK18" s="63"/>
      <c r="AL18" s="63">
        <f>261688/(261688+112259+31953)</f>
        <v>0.64471051983247107</v>
      </c>
      <c r="AM18" s="63"/>
      <c r="AN18" s="63">
        <f>191926/(191926+150827+63147)</f>
        <v>0.47284060113328408</v>
      </c>
      <c r="AO18" s="63"/>
      <c r="AP18" s="63">
        <f>2557198/(2557198+484316+205686)</f>
        <v>0.78750862281350087</v>
      </c>
      <c r="AQ18" s="63"/>
      <c r="AR18" s="63">
        <f>362037/(362037+29984+13879)</f>
        <v>0.89193643754619367</v>
      </c>
      <c r="BA18" s="24"/>
      <c r="BB18" s="24"/>
      <c r="BC18" s="57"/>
      <c r="BD18" s="58"/>
      <c r="BE18" s="76"/>
      <c r="BF18" s="76"/>
      <c r="BG18" s="58"/>
      <c r="BH18" s="58"/>
      <c r="BI18" s="76"/>
      <c r="BJ18" s="58"/>
      <c r="BK18" s="58"/>
      <c r="BL18" s="58"/>
      <c r="BM18" s="76"/>
      <c r="BN18" s="58"/>
    </row>
    <row r="19" spans="4:66" x14ac:dyDescent="0.25">
      <c r="D19" s="56"/>
      <c r="E19" s="24" t="s">
        <v>271</v>
      </c>
      <c r="F19" s="57"/>
      <c r="G19" s="78">
        <f>191767/(230691+191767+30442)</f>
        <v>0.42342018105542062</v>
      </c>
      <c r="H19" s="78"/>
      <c r="I19" s="78">
        <f>545171/(2820893+545171+257136)</f>
        <v>0.15046671450651358</v>
      </c>
      <c r="J19" s="78"/>
      <c r="K19" s="78">
        <f>30884/(381554+30884+40462)</f>
        <v>6.8191653786707884E-2</v>
      </c>
      <c r="L19" s="78"/>
      <c r="M19" s="78">
        <f>333270/(104107+333270+15522)</f>
        <v>0.73585943002744536</v>
      </c>
      <c r="N19" s="78"/>
      <c r="O19" s="78">
        <f>425467/(2953008+425467+244724)</f>
        <v>0.11742854863892378</v>
      </c>
      <c r="P19" s="78"/>
      <c r="Q19" s="78">
        <f>9083/(376023+9083+57794)</f>
        <v>2.05080153533529E-2</v>
      </c>
      <c r="R19" s="78"/>
      <c r="S19" s="78">
        <f>266388/(163116+266388+23396)</f>
        <v>0.58818282181497017</v>
      </c>
      <c r="T19" s="78"/>
      <c r="U19" s="78">
        <f>492074/(2875086+492074+256039)</f>
        <v>0.13581202688563337</v>
      </c>
      <c r="V19" s="78"/>
      <c r="W19" s="78">
        <f>9360/(394932+9360+48605)</f>
        <v>2.0666950763639415E-2</v>
      </c>
      <c r="Y19" s="56"/>
      <c r="Z19" s="24" t="s">
        <v>271</v>
      </c>
      <c r="AA19" s="57"/>
      <c r="AB19" s="63">
        <f>28843/(357045+28843+20012)</f>
        <v>7.1059374230105943E-2</v>
      </c>
      <c r="AC19" s="63"/>
      <c r="AD19" s="63">
        <f>488079/(2532808+488079+226312)</f>
        <v>0.15030769595580684</v>
      </c>
      <c r="AE19" s="63"/>
      <c r="AF19" s="63">
        <f>148205/(221306+148205+36388)</f>
        <v>0.36512777809257968</v>
      </c>
      <c r="AG19" s="63"/>
      <c r="AH19" s="63">
        <f>19310/(360168+19310+26419)</f>
        <v>4.757364553076273E-2</v>
      </c>
      <c r="AI19" s="63"/>
      <c r="AJ19" s="63">
        <f>533558/(2489301+533558+224340)</f>
        <v>0.16431330509771652</v>
      </c>
      <c r="AK19" s="63"/>
      <c r="AL19" s="63">
        <f>112259/(261688+112259+31953)</f>
        <v>0.27656812022665683</v>
      </c>
      <c r="AM19" s="63"/>
      <c r="AN19" s="63">
        <f>150827/(191926+150827+63147)</f>
        <v>0.37158659768415864</v>
      </c>
      <c r="AO19" s="63"/>
      <c r="AP19" s="63">
        <f>484316/(2557198+484316+205686)</f>
        <v>0.14914880512441489</v>
      </c>
      <c r="AQ19" s="63"/>
      <c r="AR19" s="63">
        <f>29984/(362037+29984+13879)</f>
        <v>7.3870411431387048E-2</v>
      </c>
      <c r="BA19" s="56"/>
      <c r="BB19" s="24"/>
      <c r="BC19" s="57"/>
      <c r="BD19" s="58"/>
      <c r="BE19" s="76"/>
      <c r="BF19" s="76"/>
      <c r="BG19" s="58"/>
      <c r="BH19" s="58"/>
      <c r="BI19" s="76"/>
      <c r="BJ19" s="58"/>
      <c r="BK19" s="58"/>
      <c r="BL19" s="58"/>
      <c r="BM19" s="76"/>
      <c r="BN19" s="58"/>
    </row>
    <row r="20" spans="4:66" x14ac:dyDescent="0.25">
      <c r="D20" s="56"/>
      <c r="E20" s="24" t="s">
        <v>272</v>
      </c>
      <c r="F20" s="57"/>
      <c r="G20" s="78">
        <f>30442/(230691+191767+30442)</f>
        <v>6.7215720909693091E-2</v>
      </c>
      <c r="H20" s="78"/>
      <c r="I20" s="78">
        <f>257136/(2820893+545171+257136)</f>
        <v>7.0969308898211528E-2</v>
      </c>
      <c r="J20" s="78"/>
      <c r="K20" s="78">
        <f>40462/(381554+30884+40462)</f>
        <v>8.9339810112607637E-2</v>
      </c>
      <c r="L20" s="78"/>
      <c r="M20" s="78">
        <f>15522/(104107+333270+15522)</f>
        <v>3.4272542001638331E-2</v>
      </c>
      <c r="N20" s="78"/>
      <c r="O20" s="78">
        <f>244724/(2953008+425467+244724)</f>
        <v>6.7543626502436102E-2</v>
      </c>
      <c r="P20" s="78"/>
      <c r="Q20" s="78">
        <f>67794/(376023+9083+57794)</f>
        <v>0.15306841273425154</v>
      </c>
      <c r="R20" s="78"/>
      <c r="S20" s="78">
        <f>23396/(163116+266388+23396)</f>
        <v>5.1658202693751383E-2</v>
      </c>
      <c r="T20" s="78"/>
      <c r="U20" s="78">
        <f>256039/(2875086+492074+256039)</f>
        <v>7.0666557370986247E-2</v>
      </c>
      <c r="V20" s="78"/>
      <c r="W20" s="78">
        <f>48605/(394932+9360+48605)</f>
        <v>0.10732020746439036</v>
      </c>
      <c r="Y20" s="56"/>
      <c r="Z20" s="24" t="s">
        <v>272</v>
      </c>
      <c r="AA20" s="57"/>
      <c r="AB20" s="63">
        <f>20012/(357045+28843+20012)</f>
        <v>4.9302783936930279E-2</v>
      </c>
      <c r="AC20" s="63"/>
      <c r="AD20" s="63">
        <f>226312/(2532808+488079+226312)</f>
        <v>6.9694527498930611E-2</v>
      </c>
      <c r="AE20" s="63"/>
      <c r="AF20" s="63">
        <f>36388/(221306+148205+36388)</f>
        <v>8.9647917339042468E-2</v>
      </c>
      <c r="AG20" s="63"/>
      <c r="AH20" s="63">
        <f>26419/(360168+19310+26419)</f>
        <v>6.5087941029374444E-2</v>
      </c>
      <c r="AI20" s="63"/>
      <c r="AJ20" s="63">
        <f>224340/(2489301+533558+224340)</f>
        <v>6.9087234875349499E-2</v>
      </c>
      <c r="AK20" s="63"/>
      <c r="AL20" s="63">
        <f>31953/(261688+112259+31953)</f>
        <v>7.8721359940872135E-2</v>
      </c>
      <c r="AM20" s="63"/>
      <c r="AN20" s="63">
        <f>63147/(191926+150827+63147)</f>
        <v>0.15557280118255729</v>
      </c>
      <c r="AO20" s="63"/>
      <c r="AP20" s="63">
        <f>205686/(2557198+484316+205686)</f>
        <v>6.3342572062084254E-2</v>
      </c>
      <c r="AQ20" s="63"/>
      <c r="AR20" s="63">
        <f>13879/(362037+29984+13879)</f>
        <v>3.4193151022419314E-2</v>
      </c>
      <c r="BA20" s="56"/>
      <c r="BB20" s="24"/>
      <c r="BC20" s="57"/>
      <c r="BD20" s="58"/>
      <c r="BE20" s="76"/>
      <c r="BF20" s="76"/>
      <c r="BG20" s="58"/>
      <c r="BH20" s="58"/>
      <c r="BI20" s="76"/>
      <c r="BJ20" s="58"/>
      <c r="BK20" s="58"/>
      <c r="BL20" s="58"/>
      <c r="BM20" s="76"/>
      <c r="BN20" s="58"/>
    </row>
    <row r="21" spans="4:66" x14ac:dyDescent="0.25">
      <c r="D21" s="24" t="s">
        <v>274</v>
      </c>
      <c r="E21" s="57">
        <v>1</v>
      </c>
      <c r="F21" s="57"/>
      <c r="G21" s="65">
        <v>0.16</v>
      </c>
      <c r="H21" s="65"/>
      <c r="I21" s="65">
        <v>0.1</v>
      </c>
      <c r="J21" s="65"/>
      <c r="K21" s="65">
        <v>0.06</v>
      </c>
      <c r="L21" s="59"/>
      <c r="M21" s="65">
        <v>0.22</v>
      </c>
      <c r="N21" s="65"/>
      <c r="O21" s="65">
        <v>0.09</v>
      </c>
      <c r="P21" s="65"/>
      <c r="Q21" s="65">
        <v>0.05</v>
      </c>
      <c r="R21" s="59"/>
      <c r="S21" s="65">
        <v>0.18</v>
      </c>
      <c r="T21" s="59"/>
      <c r="U21" s="65">
        <v>0.09</v>
      </c>
      <c r="V21" s="65"/>
      <c r="W21" s="65">
        <v>0.06</v>
      </c>
      <c r="Y21" s="24" t="s">
        <v>274</v>
      </c>
      <c r="Z21" s="57">
        <v>1</v>
      </c>
      <c r="AA21" s="57"/>
      <c r="AB21" s="11">
        <v>0.17</v>
      </c>
      <c r="AC21" s="11"/>
      <c r="AD21" s="11">
        <v>0.09</v>
      </c>
      <c r="AE21" s="11"/>
      <c r="AF21" s="11">
        <v>0.08</v>
      </c>
      <c r="AG21" s="62"/>
      <c r="AH21" s="11">
        <v>0.18</v>
      </c>
      <c r="AI21" s="11"/>
      <c r="AJ21" s="11">
        <v>0.09</v>
      </c>
      <c r="AK21" s="11"/>
      <c r="AL21" s="11">
        <v>7.0000000000000007E-2</v>
      </c>
      <c r="AM21" s="11"/>
      <c r="AN21" s="11">
        <v>0.19</v>
      </c>
      <c r="AO21" s="11"/>
      <c r="AP21" s="11">
        <v>0.09</v>
      </c>
      <c r="AQ21" s="11"/>
      <c r="AR21" s="11">
        <v>0.03</v>
      </c>
      <c r="BA21" s="24"/>
      <c r="BB21" s="57"/>
      <c r="BC21" s="57"/>
      <c r="BD21" s="58"/>
      <c r="BE21" s="76"/>
      <c r="BF21" s="74"/>
      <c r="BG21" s="58"/>
      <c r="BH21" s="58"/>
      <c r="BI21" s="76"/>
      <c r="BJ21" s="74"/>
      <c r="BK21" s="58"/>
      <c r="BL21" s="58"/>
      <c r="BM21" s="76"/>
      <c r="BN21" s="74"/>
    </row>
    <row r="22" spans="4:66" x14ac:dyDescent="0.25">
      <c r="D22" s="24"/>
      <c r="E22" s="57">
        <v>2</v>
      </c>
      <c r="F22" s="57"/>
      <c r="G22" s="65">
        <v>0.15</v>
      </c>
      <c r="H22" s="65"/>
      <c r="I22" s="65">
        <v>0.09</v>
      </c>
      <c r="J22" s="65"/>
      <c r="K22" s="65">
        <v>0.06</v>
      </c>
      <c r="L22" s="59"/>
      <c r="M22" s="65">
        <v>0.19</v>
      </c>
      <c r="N22" s="65"/>
      <c r="O22" s="65">
        <v>0.09</v>
      </c>
      <c r="P22" s="65"/>
      <c r="Q22" s="65">
        <v>0.06</v>
      </c>
      <c r="R22" s="59"/>
      <c r="S22" s="65">
        <v>0.17</v>
      </c>
      <c r="T22" s="59"/>
      <c r="U22" s="65">
        <v>0.09</v>
      </c>
      <c r="V22" s="65"/>
      <c r="W22" s="65">
        <v>7.0000000000000007E-2</v>
      </c>
      <c r="Y22" s="24"/>
      <c r="Z22" s="57">
        <v>2</v>
      </c>
      <c r="AA22" s="57"/>
      <c r="AB22" s="11">
        <v>0.11</v>
      </c>
      <c r="AC22" s="11"/>
      <c r="AD22" s="11">
        <v>0.09</v>
      </c>
      <c r="AE22" s="11"/>
      <c r="AF22" s="11">
        <v>0.1</v>
      </c>
      <c r="AG22" s="62"/>
      <c r="AH22" s="11">
        <v>0.13</v>
      </c>
      <c r="AI22" s="11"/>
      <c r="AJ22" s="11">
        <v>0.09</v>
      </c>
      <c r="AK22" s="11"/>
      <c r="AL22" s="11">
        <v>0.08</v>
      </c>
      <c r="AM22" s="11"/>
      <c r="AN22" s="11">
        <v>0.16</v>
      </c>
      <c r="AO22" s="11"/>
      <c r="AP22" s="11">
        <v>0.09</v>
      </c>
      <c r="AQ22" s="11"/>
      <c r="AR22" s="11">
        <v>0.03</v>
      </c>
      <c r="BA22" s="24"/>
      <c r="BB22" s="57"/>
      <c r="BC22" s="57"/>
      <c r="BD22" s="58"/>
      <c r="BE22" s="76"/>
      <c r="BF22" s="74"/>
      <c r="BG22" s="58"/>
      <c r="BH22" s="58"/>
      <c r="BI22" s="76"/>
      <c r="BJ22" s="74"/>
      <c r="BK22" s="58"/>
      <c r="BL22" s="58"/>
      <c r="BM22" s="76"/>
      <c r="BN22" s="74"/>
    </row>
    <row r="23" spans="4:66" x14ac:dyDescent="0.25">
      <c r="D23" s="24"/>
      <c r="E23" s="57">
        <v>3</v>
      </c>
      <c r="F23" s="57"/>
      <c r="G23" s="65">
        <v>0.13</v>
      </c>
      <c r="H23" s="65"/>
      <c r="I23" s="65">
        <v>0.1</v>
      </c>
      <c r="J23" s="65"/>
      <c r="K23" s="65">
        <v>7.0000000000000007E-2</v>
      </c>
      <c r="L23" s="59"/>
      <c r="M23" s="65">
        <v>0.15</v>
      </c>
      <c r="N23" s="65"/>
      <c r="O23" s="65">
        <v>0.1</v>
      </c>
      <c r="P23" s="65"/>
      <c r="Q23" s="65">
        <v>7.0000000000000007E-2</v>
      </c>
      <c r="R23" s="59"/>
      <c r="S23" s="65">
        <v>0.13</v>
      </c>
      <c r="T23" s="59"/>
      <c r="U23" s="65">
        <v>0.1</v>
      </c>
      <c r="V23" s="65"/>
      <c r="W23" s="65">
        <v>0.08</v>
      </c>
      <c r="Y23" s="24"/>
      <c r="Z23" s="57">
        <v>3</v>
      </c>
      <c r="AA23" s="57"/>
      <c r="AB23" s="11">
        <v>0.11</v>
      </c>
      <c r="AC23" s="11"/>
      <c r="AD23" s="11">
        <v>0.09</v>
      </c>
      <c r="AE23" s="11"/>
      <c r="AF23" s="11">
        <v>0.1</v>
      </c>
      <c r="AG23" s="62"/>
      <c r="AH23" s="11">
        <v>0.13</v>
      </c>
      <c r="AI23" s="11"/>
      <c r="AJ23" s="11">
        <v>0.09</v>
      </c>
      <c r="AK23" s="11"/>
      <c r="AL23" s="11">
        <v>7.0000000000000007E-2</v>
      </c>
      <c r="AM23" s="11"/>
      <c r="AN23" s="11">
        <v>0.15</v>
      </c>
      <c r="AO23" s="11"/>
      <c r="AP23" s="11">
        <v>0.1</v>
      </c>
      <c r="AQ23" s="11"/>
      <c r="AR23" s="11">
        <v>0.04</v>
      </c>
      <c r="BA23" s="24"/>
      <c r="BB23" s="57"/>
      <c r="BC23" s="57"/>
      <c r="BD23" s="58"/>
      <c r="BE23" s="76"/>
      <c r="BF23" s="74"/>
      <c r="BG23" s="58"/>
      <c r="BH23" s="58"/>
      <c r="BI23" s="76"/>
      <c r="BJ23" s="74"/>
      <c r="BK23" s="58"/>
      <c r="BL23" s="58"/>
      <c r="BM23" s="76"/>
      <c r="BN23" s="74"/>
    </row>
    <row r="24" spans="4:66" x14ac:dyDescent="0.25">
      <c r="D24" s="24"/>
      <c r="E24" s="57">
        <v>4</v>
      </c>
      <c r="F24" s="57"/>
      <c r="G24" s="65">
        <v>0.11</v>
      </c>
      <c r="H24" s="65"/>
      <c r="I24" s="65">
        <v>0.1</v>
      </c>
      <c r="J24" s="65"/>
      <c r="K24" s="65">
        <v>0.08</v>
      </c>
      <c r="L24" s="59"/>
      <c r="M24" s="65">
        <v>0.12</v>
      </c>
      <c r="N24" s="65"/>
      <c r="O24" s="65">
        <v>0.1</v>
      </c>
      <c r="P24" s="65"/>
      <c r="Q24" s="65">
        <v>0.08</v>
      </c>
      <c r="R24" s="59"/>
      <c r="S24" s="65">
        <v>0.11</v>
      </c>
      <c r="T24" s="59"/>
      <c r="U24" s="65">
        <v>0.1</v>
      </c>
      <c r="V24" s="65"/>
      <c r="W24" s="65">
        <v>0.09</v>
      </c>
      <c r="Y24" s="24"/>
      <c r="Z24" s="57">
        <v>4</v>
      </c>
      <c r="AA24" s="57"/>
      <c r="AB24" s="11">
        <v>0.1</v>
      </c>
      <c r="AC24" s="11"/>
      <c r="AD24" s="11">
        <v>0.1</v>
      </c>
      <c r="AE24" s="11"/>
      <c r="AF24" s="11">
        <v>0.1</v>
      </c>
      <c r="AG24" s="62"/>
      <c r="AH24" s="11">
        <v>0.13</v>
      </c>
      <c r="AI24" s="11"/>
      <c r="AJ24" s="11">
        <v>0.1</v>
      </c>
      <c r="AK24" s="11"/>
      <c r="AL24" s="11">
        <v>7.0000000000000007E-2</v>
      </c>
      <c r="AM24" s="11"/>
      <c r="AN24" s="11">
        <v>0.12</v>
      </c>
      <c r="AO24" s="11"/>
      <c r="AP24" s="11">
        <v>0.1</v>
      </c>
      <c r="AQ24" s="11"/>
      <c r="AR24" s="11">
        <v>0.06</v>
      </c>
      <c r="BA24" s="24"/>
      <c r="BB24" s="57"/>
      <c r="BC24" s="57"/>
      <c r="BD24" s="58"/>
      <c r="BE24" s="76"/>
      <c r="BF24" s="74"/>
      <c r="BG24" s="58"/>
      <c r="BH24" s="58"/>
      <c r="BI24" s="76"/>
      <c r="BJ24" s="74"/>
      <c r="BK24" s="58"/>
      <c r="BL24" s="58"/>
      <c r="BM24" s="76"/>
      <c r="BN24" s="74"/>
    </row>
    <row r="25" spans="4:66" x14ac:dyDescent="0.25">
      <c r="D25" s="24"/>
      <c r="E25" s="57">
        <v>5</v>
      </c>
      <c r="F25" s="57"/>
      <c r="G25" s="65">
        <v>0.13</v>
      </c>
      <c r="H25" s="65"/>
      <c r="I25" s="65">
        <v>0.1</v>
      </c>
      <c r="J25" s="65"/>
      <c r="K25" s="65">
        <v>7.0000000000000007E-2</v>
      </c>
      <c r="L25" s="59"/>
      <c r="M25" s="65">
        <v>0.11</v>
      </c>
      <c r="N25" s="65"/>
      <c r="O25" s="65">
        <v>0.1</v>
      </c>
      <c r="P25" s="65"/>
      <c r="Q25" s="65">
        <v>0.08</v>
      </c>
      <c r="R25" s="59"/>
      <c r="S25" s="65">
        <v>0.11</v>
      </c>
      <c r="T25" s="59"/>
      <c r="U25" s="65">
        <v>0.1</v>
      </c>
      <c r="V25" s="65"/>
      <c r="W25" s="65">
        <v>0.09</v>
      </c>
      <c r="Y25" s="24"/>
      <c r="Z25" s="57">
        <v>5</v>
      </c>
      <c r="AA25" s="57"/>
      <c r="AB25" s="11">
        <v>0.1</v>
      </c>
      <c r="AC25" s="11"/>
      <c r="AD25" s="11">
        <v>0.1</v>
      </c>
      <c r="AE25" s="11"/>
      <c r="AF25" s="11">
        <v>0.1</v>
      </c>
      <c r="AG25" s="62"/>
      <c r="AH25" s="11">
        <v>0.13</v>
      </c>
      <c r="AI25" s="11"/>
      <c r="AJ25" s="11">
        <v>0.1</v>
      </c>
      <c r="AK25" s="11"/>
      <c r="AL25" s="11">
        <v>7.0000000000000007E-2</v>
      </c>
      <c r="AM25" s="11"/>
      <c r="AN25" s="11">
        <v>0.11</v>
      </c>
      <c r="AO25" s="11"/>
      <c r="AP25" s="11">
        <v>0.11</v>
      </c>
      <c r="AQ25" s="11"/>
      <c r="AR25" s="11">
        <v>0.06</v>
      </c>
      <c r="BA25" s="24"/>
      <c r="BB25" s="57"/>
      <c r="BC25" s="57"/>
      <c r="BD25" s="58"/>
      <c r="BE25" s="76"/>
      <c r="BF25" s="74"/>
      <c r="BG25" s="58"/>
      <c r="BH25" s="58"/>
      <c r="BI25" s="76"/>
      <c r="BJ25" s="74"/>
      <c r="BK25" s="58"/>
      <c r="BL25" s="58"/>
      <c r="BM25" s="76"/>
      <c r="BN25" s="74"/>
    </row>
    <row r="26" spans="4:66" x14ac:dyDescent="0.25">
      <c r="D26" s="24"/>
      <c r="E26" s="57">
        <v>6</v>
      </c>
      <c r="F26" s="57"/>
      <c r="G26" s="65">
        <v>0.11</v>
      </c>
      <c r="H26" s="65"/>
      <c r="I26" s="65">
        <v>0.1</v>
      </c>
      <c r="J26" s="65"/>
      <c r="K26" s="65">
        <v>0.08</v>
      </c>
      <c r="L26" s="59"/>
      <c r="M26" s="65">
        <v>7.0000000000000007E-2</v>
      </c>
      <c r="N26" s="65"/>
      <c r="O26" s="65">
        <v>0.11</v>
      </c>
      <c r="P26" s="65"/>
      <c r="Q26" s="65">
        <v>0.09</v>
      </c>
      <c r="R26" s="59"/>
      <c r="S26" s="65">
        <v>0.08</v>
      </c>
      <c r="T26" s="59"/>
      <c r="U26" s="65">
        <v>0.1</v>
      </c>
      <c r="V26" s="65"/>
      <c r="W26" s="65">
        <v>0.09</v>
      </c>
      <c r="Y26" s="24"/>
      <c r="Z26" s="57">
        <v>6</v>
      </c>
      <c r="AA26" s="57"/>
      <c r="AB26" s="11">
        <v>0.13</v>
      </c>
      <c r="AC26" s="11"/>
      <c r="AD26" s="11">
        <v>0.1</v>
      </c>
      <c r="AE26" s="11"/>
      <c r="AF26" s="11">
        <v>0.08</v>
      </c>
      <c r="AG26" s="62"/>
      <c r="AH26" s="11">
        <v>0.11</v>
      </c>
      <c r="AI26" s="11"/>
      <c r="AJ26" s="11">
        <v>0.11</v>
      </c>
      <c r="AK26" s="11"/>
      <c r="AL26" s="11">
        <v>0.06</v>
      </c>
      <c r="AM26" s="11"/>
      <c r="AN26" s="11">
        <v>0.09</v>
      </c>
      <c r="AO26" s="11"/>
      <c r="AP26" s="11">
        <v>0.11</v>
      </c>
      <c r="AQ26" s="11"/>
      <c r="AR26" s="11">
        <v>7.0000000000000007E-2</v>
      </c>
      <c r="BA26" s="24"/>
      <c r="BB26" s="57"/>
      <c r="BC26" s="57"/>
      <c r="BD26" s="58"/>
      <c r="BE26" s="76"/>
      <c r="BF26" s="74"/>
      <c r="BG26" s="58"/>
      <c r="BH26" s="58"/>
      <c r="BI26" s="76"/>
      <c r="BJ26" s="74"/>
      <c r="BK26" s="58"/>
      <c r="BL26" s="58"/>
      <c r="BM26" s="76"/>
      <c r="BN26" s="74"/>
    </row>
    <row r="27" spans="4:66" x14ac:dyDescent="0.25">
      <c r="D27" s="24"/>
      <c r="E27" s="57">
        <v>7</v>
      </c>
      <c r="F27" s="57"/>
      <c r="G27" s="65">
        <v>7.0000000000000007E-2</v>
      </c>
      <c r="H27" s="65"/>
      <c r="I27" s="65">
        <v>0.1</v>
      </c>
      <c r="J27" s="65"/>
      <c r="K27" s="65">
        <v>0.11</v>
      </c>
      <c r="L27" s="59"/>
      <c r="M27" s="65">
        <v>0.05</v>
      </c>
      <c r="N27" s="65"/>
      <c r="O27" s="65">
        <v>0.11</v>
      </c>
      <c r="P27" s="65"/>
      <c r="Q27" s="65">
        <v>0.11</v>
      </c>
      <c r="R27" s="59"/>
      <c r="S27" s="65">
        <v>7.0000000000000007E-2</v>
      </c>
      <c r="T27" s="59"/>
      <c r="U27" s="65">
        <v>0.1</v>
      </c>
      <c r="V27" s="65"/>
      <c r="W27" s="65">
        <v>0.09</v>
      </c>
      <c r="Y27" s="24"/>
      <c r="Z27" s="57">
        <v>7</v>
      </c>
      <c r="AA27" s="57"/>
      <c r="AB27" s="11">
        <v>0.09</v>
      </c>
      <c r="AC27" s="11"/>
      <c r="AD27" s="11">
        <v>0.11</v>
      </c>
      <c r="AE27" s="11"/>
      <c r="AF27" s="11">
        <v>0.09</v>
      </c>
      <c r="AG27" s="62"/>
      <c r="AH27" s="11">
        <v>7.0000000000000007E-2</v>
      </c>
      <c r="AI27" s="11"/>
      <c r="AJ27" s="11">
        <v>0.11</v>
      </c>
      <c r="AK27" s="11"/>
      <c r="AL27" s="11">
        <v>7.0000000000000007E-2</v>
      </c>
      <c r="AM27" s="11"/>
      <c r="AN27" s="11">
        <v>7.0000000000000007E-2</v>
      </c>
      <c r="AO27" s="11"/>
      <c r="AP27" s="11">
        <v>0.11</v>
      </c>
      <c r="AQ27" s="11"/>
      <c r="AR27" s="11">
        <v>0.1</v>
      </c>
      <c r="BA27" s="24"/>
      <c r="BB27" s="57"/>
      <c r="BC27" s="57"/>
      <c r="BD27" s="58"/>
      <c r="BE27" s="76"/>
      <c r="BF27" s="74"/>
      <c r="BG27" s="58"/>
      <c r="BH27" s="58"/>
      <c r="BI27" s="76"/>
      <c r="BJ27" s="74"/>
      <c r="BK27" s="58"/>
      <c r="BL27" s="58"/>
      <c r="BM27" s="76"/>
      <c r="BN27" s="74"/>
    </row>
    <row r="28" spans="4:66" x14ac:dyDescent="0.25">
      <c r="D28" s="24"/>
      <c r="E28" s="57">
        <v>8</v>
      </c>
      <c r="F28" s="57"/>
      <c r="G28" s="65">
        <v>0.05</v>
      </c>
      <c r="H28" s="65"/>
      <c r="I28" s="65">
        <v>0.1</v>
      </c>
      <c r="J28" s="65"/>
      <c r="K28" s="65">
        <v>0.16</v>
      </c>
      <c r="L28" s="59"/>
      <c r="M28" s="65">
        <v>0.04</v>
      </c>
      <c r="N28" s="65"/>
      <c r="O28" s="65">
        <v>0.1</v>
      </c>
      <c r="P28" s="65"/>
      <c r="Q28" s="65">
        <v>0.14000000000000001</v>
      </c>
      <c r="R28" s="59"/>
      <c r="S28" s="65">
        <v>0.06</v>
      </c>
      <c r="T28" s="59"/>
      <c r="U28" s="65">
        <v>0.1</v>
      </c>
      <c r="V28" s="65"/>
      <c r="W28" s="65">
        <v>0.11</v>
      </c>
      <c r="Y28" s="24"/>
      <c r="Z28" s="57">
        <v>8</v>
      </c>
      <c r="AA28" s="57"/>
      <c r="AB28" s="11">
        <v>0.08</v>
      </c>
      <c r="AC28" s="11"/>
      <c r="AD28" s="11">
        <v>0.11</v>
      </c>
      <c r="AE28" s="11"/>
      <c r="AF28" s="11">
        <v>0.09</v>
      </c>
      <c r="AG28" s="62"/>
      <c r="AH28" s="11">
        <v>0.05</v>
      </c>
      <c r="AI28" s="11"/>
      <c r="AJ28" s="11">
        <v>0.11</v>
      </c>
      <c r="AK28" s="11"/>
      <c r="AL28" s="11">
        <v>0.12</v>
      </c>
      <c r="AM28" s="11"/>
      <c r="AN28" s="11">
        <v>0.05</v>
      </c>
      <c r="AO28" s="11"/>
      <c r="AP28" s="11">
        <v>0.1</v>
      </c>
      <c r="AQ28" s="11"/>
      <c r="AR28" s="11">
        <v>0.15</v>
      </c>
      <c r="BA28" s="24"/>
      <c r="BB28" s="57"/>
      <c r="BC28" s="57"/>
      <c r="BD28" s="58"/>
      <c r="BE28" s="76"/>
      <c r="BF28" s="74"/>
      <c r="BG28" s="58"/>
      <c r="BH28" s="58"/>
      <c r="BI28" s="76"/>
      <c r="BJ28" s="74"/>
      <c r="BK28" s="58"/>
      <c r="BL28" s="58"/>
      <c r="BM28" s="76"/>
      <c r="BN28" s="74"/>
    </row>
    <row r="29" spans="4:66" x14ac:dyDescent="0.25">
      <c r="D29" s="24"/>
      <c r="E29" s="57">
        <v>9</v>
      </c>
      <c r="F29" s="57"/>
      <c r="G29" s="65">
        <v>0.05</v>
      </c>
      <c r="H29" s="65"/>
      <c r="I29" s="65">
        <v>0.1</v>
      </c>
      <c r="J29" s="65"/>
      <c r="K29" s="65">
        <v>0.16</v>
      </c>
      <c r="L29" s="59"/>
      <c r="M29" s="65">
        <v>0.03</v>
      </c>
      <c r="N29" s="65"/>
      <c r="O29" s="65">
        <v>0.1</v>
      </c>
      <c r="P29" s="65"/>
      <c r="Q29" s="65">
        <v>0.15</v>
      </c>
      <c r="R29" s="59"/>
      <c r="S29" s="65">
        <v>0.05</v>
      </c>
      <c r="T29" s="59"/>
      <c r="U29" s="65">
        <v>0.1</v>
      </c>
      <c r="V29" s="65"/>
      <c r="W29" s="65">
        <v>0.13</v>
      </c>
      <c r="Y29" s="24"/>
      <c r="Z29" s="57">
        <v>9</v>
      </c>
      <c r="AA29" s="57"/>
      <c r="AB29" s="11">
        <v>0.06</v>
      </c>
      <c r="AC29" s="11"/>
      <c r="AD29" s="11">
        <v>0.11</v>
      </c>
      <c r="AE29" s="11"/>
      <c r="AF29" s="11">
        <v>0.13</v>
      </c>
      <c r="AG29" s="62"/>
      <c r="AH29" s="11">
        <v>0.03</v>
      </c>
      <c r="AI29" s="11"/>
      <c r="AJ29" s="11">
        <v>0.1</v>
      </c>
      <c r="AK29" s="11"/>
      <c r="AL29" s="11">
        <v>0.2</v>
      </c>
      <c r="AM29" s="11"/>
      <c r="AN29" s="11">
        <v>0.03</v>
      </c>
      <c r="AO29" s="11"/>
      <c r="AP29" s="11">
        <v>0.1</v>
      </c>
      <c r="AQ29" s="11"/>
      <c r="AR29" s="11">
        <v>0.22</v>
      </c>
      <c r="BA29" s="24"/>
      <c r="BB29" s="57"/>
      <c r="BC29" s="57"/>
      <c r="BD29" s="58"/>
      <c r="BE29" s="76"/>
      <c r="BF29" s="74"/>
      <c r="BG29" s="58"/>
      <c r="BH29" s="58"/>
      <c r="BI29" s="76"/>
      <c r="BJ29" s="74"/>
      <c r="BK29" s="58"/>
      <c r="BL29" s="58"/>
      <c r="BM29" s="76"/>
      <c r="BN29" s="74"/>
    </row>
    <row r="30" spans="4:66" x14ac:dyDescent="0.25">
      <c r="D30" s="24"/>
      <c r="E30" s="57">
        <v>10</v>
      </c>
      <c r="F30" s="57"/>
      <c r="G30" s="65">
        <v>0.04</v>
      </c>
      <c r="H30" s="65"/>
      <c r="I30" s="65">
        <v>0.1</v>
      </c>
      <c r="J30" s="65"/>
      <c r="K30" s="65">
        <v>0.16</v>
      </c>
      <c r="L30" s="59"/>
      <c r="M30" s="65">
        <v>0.02</v>
      </c>
      <c r="N30" s="65"/>
      <c r="O30" s="65">
        <v>0.1</v>
      </c>
      <c r="P30" s="65"/>
      <c r="Q30" s="65">
        <v>0.16</v>
      </c>
      <c r="R30" s="59"/>
      <c r="S30" s="65">
        <v>0.04</v>
      </c>
      <c r="T30" s="59"/>
      <c r="U30" s="65">
        <v>0.1</v>
      </c>
      <c r="V30" s="65"/>
      <c r="W30" s="65">
        <v>0.15</v>
      </c>
      <c r="Y30" s="24"/>
      <c r="Z30" s="57">
        <v>10</v>
      </c>
      <c r="AA30" s="57"/>
      <c r="AB30" s="11">
        <v>0.05</v>
      </c>
      <c r="AC30" s="11"/>
      <c r="AD30" s="11">
        <v>0.11</v>
      </c>
      <c r="AE30" s="11"/>
      <c r="AF30" s="11">
        <v>0.12</v>
      </c>
      <c r="AG30" s="62"/>
      <c r="AH30" s="11">
        <v>0.03</v>
      </c>
      <c r="AI30" s="11"/>
      <c r="AJ30" s="11">
        <v>0.1</v>
      </c>
      <c r="AK30" s="11"/>
      <c r="AL30" s="11">
        <v>0.19</v>
      </c>
      <c r="AM30" s="11"/>
      <c r="AN30" s="11">
        <v>0.02</v>
      </c>
      <c r="AO30" s="11"/>
      <c r="AP30" s="11">
        <v>0.1</v>
      </c>
      <c r="AQ30" s="11"/>
      <c r="AR30" s="11">
        <v>0.24</v>
      </c>
      <c r="BA30" s="24"/>
      <c r="BB30" s="57"/>
      <c r="BC30" s="57"/>
      <c r="BD30" s="58"/>
      <c r="BE30" s="76"/>
      <c r="BF30" s="74"/>
      <c r="BG30" s="58"/>
      <c r="BH30" s="58"/>
      <c r="BI30" s="76"/>
      <c r="BJ30" s="74"/>
      <c r="BK30" s="58"/>
      <c r="BL30" s="58"/>
      <c r="BM30" s="76"/>
      <c r="BN30" s="74"/>
    </row>
  </sheetData>
  <mergeCells count="18">
    <mergeCell ref="AN7:AR7"/>
    <mergeCell ref="Y10:Z10"/>
    <mergeCell ref="D10:E10"/>
    <mergeCell ref="D11:E11"/>
    <mergeCell ref="D16:E16"/>
    <mergeCell ref="BD6:BN6"/>
    <mergeCell ref="BA10:BB10"/>
    <mergeCell ref="BA11:BB11"/>
    <mergeCell ref="BA16:BB16"/>
    <mergeCell ref="G6:W6"/>
    <mergeCell ref="G7:K7"/>
    <mergeCell ref="M7:Q7"/>
    <mergeCell ref="Y11:Z11"/>
    <mergeCell ref="Y16:Z16"/>
    <mergeCell ref="S7:W7"/>
    <mergeCell ref="AB6:AR6"/>
    <mergeCell ref="AB7:AF7"/>
    <mergeCell ref="AH7:AL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Input_and_prep</vt:lpstr>
      <vt:lpstr>Random seeds</vt:lpstr>
      <vt:lpstr>Model_data_1</vt:lpstr>
      <vt:lpstr>Dataset_1</vt:lpstr>
      <vt:lpstr>Discussion_table</vt:lpstr>
      <vt:lpstr>Text_table_sample_cons</vt:lpstr>
      <vt:lpstr>Table_summary_stats</vt:lpstr>
      <vt:lpstr>Text_table_AUCs</vt:lpstr>
      <vt:lpstr>Tables_quantiles</vt:lpstr>
      <vt:lpstr>Unweighted results table</vt:lpstr>
      <vt:lpstr>Text_table_sumstats</vt:lpstr>
      <vt:lpstr>Text_table_sumstats_L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2021-03-01T11:54:53Z</dcterms:modified>
</cp:coreProperties>
</file>