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-01" sheetId="1" r:id="rId3"/>
    <sheet state="visible" name="2018-02" sheetId="2" r:id="rId4"/>
    <sheet state="visible" name="2019-01" sheetId="3" r:id="rId5"/>
    <sheet state="visible" name="2019-02" sheetId="4" r:id="rId6"/>
    <sheet state="visible" name="2019-03" sheetId="5" r:id="rId7"/>
    <sheet state="visible" name="2019-04" sheetId="6" r:id="rId8"/>
  </sheets>
  <definedNames/>
  <calcPr/>
</workbook>
</file>

<file path=xl/sharedStrings.xml><?xml version="1.0" encoding="utf-8"?>
<sst xmlns="http://schemas.openxmlformats.org/spreadsheetml/2006/main" count="663" uniqueCount="169">
  <si>
    <t>DOC 213 - Awarded Factom Protocol Grants - 2018-01</t>
  </si>
  <si>
    <t>Grant Application Entity</t>
  </si>
  <si>
    <t>Grant Number</t>
  </si>
  <si>
    <t>Grant Application Name</t>
  </si>
  <si>
    <t>Amount Awarded</t>
  </si>
  <si>
    <t>Grant Update Thread</t>
  </si>
  <si>
    <t>Additional Updates</t>
  </si>
  <si>
    <t>Initial planned completion date</t>
  </si>
  <si>
    <t>Final report delivered to Standing Parties</t>
  </si>
  <si>
    <t>Tentative completion date</t>
  </si>
  <si>
    <t>Current status</t>
  </si>
  <si>
    <t>Standing party score</t>
  </si>
  <si>
    <t>Grant deemed success/failure</t>
  </si>
  <si>
    <t>BIF</t>
  </si>
  <si>
    <t>Java Enterprise Client Library</t>
  </si>
  <si>
    <t>1200 FCT</t>
  </si>
  <si>
    <t>NA</t>
  </si>
  <si>
    <t>Insert date</t>
  </si>
  <si>
    <t>No</t>
  </si>
  <si>
    <t>N/A</t>
  </si>
  <si>
    <t>Finished</t>
  </si>
  <si>
    <t>Undetermined</t>
  </si>
  <si>
    <t>Legal Research Working Group</t>
  </si>
  <si>
    <t>Legal Review Grant</t>
  </si>
  <si>
    <t>UFN</t>
  </si>
  <si>
    <t>Ongoing</t>
  </si>
  <si>
    <t>TFA, Luciap, Factomatic, MFW</t>
  </si>
  <si>
    <t>On Chain Voting Protocol</t>
  </si>
  <si>
    <t>Yes</t>
  </si>
  <si>
    <t>Factom Inc</t>
  </si>
  <si>
    <t>Core Development</t>
  </si>
  <si>
    <t>90000 FCT</t>
  </si>
  <si>
    <t>Guides</t>
  </si>
  <si>
    <t>Guide Compensation April 7th, 2018 - June 6th, 2018</t>
  </si>
  <si>
    <t>DOC 213 - Awarded Factom Protocol Grants - 2018-02</t>
  </si>
  <si>
    <t>DOC 213 - Awarded Factom Protocol Grants - 2019-01</t>
  </si>
  <si>
    <t>FCT awarded</t>
  </si>
  <si>
    <t>Planned completion date</t>
  </si>
  <si>
    <t>Factom Inc.</t>
  </si>
  <si>
    <t>Bedrock Solutions, The Factoid Authority</t>
  </si>
  <si>
    <t>Anchor Master Continuation (2018-12-09 -&gt; 2019-03-09)</t>
  </si>
  <si>
    <t>Ledger Nano S Factom Identity</t>
  </si>
  <si>
    <t>Exchange Committee</t>
  </si>
  <si>
    <t>Exchange Listing Fee</t>
  </si>
  <si>
    <t>Anchor Master (2019-03-09 -&gt; 2019-06-09)</t>
  </si>
  <si>
    <t>Blockchain Innovation Foundation</t>
  </si>
  <si>
    <t>BIF Core Development</t>
  </si>
  <si>
    <t>Protocol Development Grant (Phase 2)</t>
  </si>
  <si>
    <t>Oracle Master Continuation (2018-12-09 -&gt; 2019-03-09)</t>
  </si>
  <si>
    <t>Oracle Master (2019-03-09 -&gt; 2019-06-09)</t>
  </si>
  <si>
    <t>Factom Protocol Guides</t>
  </si>
  <si>
    <t>Guide compensation (2018-12-07 -&gt; 2019-03-07)</t>
  </si>
  <si>
    <t>1883.86 FCT</t>
  </si>
  <si>
    <t>Protocol Development Continuation (2018-12-09 -&gt; 2019-03-09)</t>
  </si>
  <si>
    <t>Not yet available</t>
  </si>
  <si>
    <t>Anchor Master</t>
  </si>
  <si>
    <t>1260 FCT</t>
  </si>
  <si>
    <t>DBGrow, CL, Luciap, LayerTech</t>
  </si>
  <si>
    <t>Factomize LLC</t>
  </si>
  <si>
    <t>The Factom Asset Token Protocol</t>
  </si>
  <si>
    <t>Oracle Master</t>
  </si>
  <si>
    <t>900 FCT</t>
  </si>
  <si>
    <t>BIF, Factomatic</t>
  </si>
  <si>
    <t>Decentralized Identifiers (DIDs)</t>
  </si>
  <si>
    <t>Core Development (Factomize)</t>
  </si>
  <si>
    <t>Not provided</t>
  </si>
  <si>
    <t>Protocol Development (2019-03-09 -&gt; 2019-06-09)</t>
  </si>
  <si>
    <t>DBGrow, Luciap, Canonical Ledgers</t>
  </si>
  <si>
    <t>Unfinished</t>
  </si>
  <si>
    <t>DBGrow</t>
  </si>
  <si>
    <t>FAT Protocol Development</t>
  </si>
  <si>
    <t>Factom Protocol Website</t>
  </si>
  <si>
    <t>Bedrock, CryptoLogic, DeFacto, TFA</t>
  </si>
  <si>
    <t>Core Development (BIF#1)</t>
  </si>
  <si>
    <t>Community Courtesy Node System</t>
  </si>
  <si>
    <t>Marketing Committee</t>
  </si>
  <si>
    <t>Hackathon Grant</t>
  </si>
  <si>
    <t>CryptoLogic, DeFacto, Bedrock Solutions, TFA</t>
  </si>
  <si>
    <t>Anchor Master Grant (Phase 2)</t>
  </si>
  <si>
    <t>Core Committee</t>
  </si>
  <si>
    <t>Bug Bounty Program</t>
  </si>
  <si>
    <t>Factom Open Node Continuity</t>
  </si>
  <si>
    <t>LayerTech</t>
  </si>
  <si>
    <t>Core Development (LayerTech)</t>
  </si>
  <si>
    <t>Prestige IT</t>
  </si>
  <si>
    <t>Open-source Alfresco integration for Factom</t>
  </si>
  <si>
    <t>Blockchain Expo Global 2019</t>
  </si>
  <si>
    <t>Factom Marketing Committee Grant Application</t>
  </si>
  <si>
    <t>Exchange Committee funding</t>
  </si>
  <si>
    <t>De Facto</t>
  </si>
  <si>
    <t>Factom Open-source API</t>
  </si>
  <si>
    <t>Initial completion date</t>
  </si>
  <si>
    <t>Revised completion date</t>
  </si>
  <si>
    <t>Explainer Video Grant</t>
  </si>
  <si>
    <t>On hold due to rebranding</t>
  </si>
  <si>
    <t>Oracle Master Grant (Phase 2)</t>
  </si>
  <si>
    <t>Marketing Videos</t>
  </si>
  <si>
    <t>G Suite Service</t>
  </si>
  <si>
    <t>Bedrock, DeFacto</t>
  </si>
  <si>
    <t>Guide Compensation September 7th to December 7th, 2018</t>
  </si>
  <si>
    <t>Factom Open Node Enhancement</t>
  </si>
  <si>
    <t>Completed</t>
  </si>
  <si>
    <t>In development</t>
  </si>
  <si>
    <t>Factom Guides</t>
  </si>
  <si>
    <t>Factom Guide Compensation</t>
  </si>
  <si>
    <t xml:space="preserve">Factomize </t>
  </si>
  <si>
    <t>Core and General Development</t>
  </si>
  <si>
    <t>Bedrock Solutions, De Facto Crypto Logic, TFA</t>
  </si>
  <si>
    <t>Completed (backpay)</t>
  </si>
  <si>
    <t>Mayy York, Paul Bernier, DBGrow, Canonical Ledgers</t>
  </si>
  <si>
    <t>Additional Bug Bounty Funding</t>
  </si>
  <si>
    <t>FAT Smart Contracts 2</t>
  </si>
  <si>
    <t>Open Node Enhancement - Leftover Payout</t>
  </si>
  <si>
    <t>Go Immutable</t>
  </si>
  <si>
    <t>Requested</t>
  </si>
  <si>
    <t>Open Node Continuity</t>
  </si>
  <si>
    <t>PR &amp; Social Media Management Continuation</t>
  </si>
  <si>
    <t>LUCIAP</t>
  </si>
  <si>
    <t>FAT Wallet Ledger Nano Support</t>
  </si>
  <si>
    <t>Protocol Development</t>
  </si>
  <si>
    <t>Comprehensive Market Strategy &amp; Execution</t>
  </si>
  <si>
    <t>Success</t>
  </si>
  <si>
    <t>Anchorblock</t>
  </si>
  <si>
    <t>Link</t>
  </si>
  <si>
    <t>Daily Digest</t>
  </si>
  <si>
    <t>Federate This</t>
  </si>
  <si>
    <t>Off-Blocks</t>
  </si>
  <si>
    <t>Layertech</t>
  </si>
  <si>
    <t>Core Code Development - Continuation</t>
  </si>
  <si>
    <t>Legal Fees Reimbursement</t>
  </si>
  <si>
    <t>Failed</t>
  </si>
  <si>
    <t>ANO Promotion / Demotion system</t>
  </si>
  <si>
    <t>Factomize</t>
  </si>
  <si>
    <t>Sphereon</t>
  </si>
  <si>
    <t>Automated Grant System</t>
  </si>
  <si>
    <t>Core Development Continuation</t>
  </si>
  <si>
    <t>Defacto</t>
  </si>
  <si>
    <t>Bedrock Solutions, De Facto, Cryptologic, TFA</t>
  </si>
  <si>
    <t>Factom Open API - Sprint 2 (Admin API, Web UI, Callbacks)</t>
  </si>
  <si>
    <t>G Suite service</t>
  </si>
  <si>
    <t>DBGrow, Canonical Ledgers</t>
  </si>
  <si>
    <t>Rebranding Services</t>
  </si>
  <si>
    <t>Integration of DAML with Factom® Protocol</t>
  </si>
  <si>
    <t>FAT Development 4 - Continuation</t>
  </si>
  <si>
    <t>Late</t>
  </si>
  <si>
    <t>Kompendium</t>
  </si>
  <si>
    <t>Motion Factory, Factomize</t>
  </si>
  <si>
    <t>Factom® Badges</t>
  </si>
  <si>
    <t>PegNet Explainer Video Backpay Grant</t>
  </si>
  <si>
    <t>Factomatic</t>
  </si>
  <si>
    <t>Python DID Library</t>
  </si>
  <si>
    <t>Identity, DID and signing FIPs</t>
  </si>
  <si>
    <t>Cody B</t>
  </si>
  <si>
    <t xml:space="preserve">Core Development </t>
  </si>
  <si>
    <t>Discord Daily Digest Screenshots Contuniation</t>
  </si>
  <si>
    <t>TFA</t>
  </si>
  <si>
    <t>Further Development of Open API - Client Library/Server exp</t>
  </si>
  <si>
    <t>FAT-integration into TFA-Explorer</t>
  </si>
  <si>
    <t>Triall Foundation</t>
  </si>
  <si>
    <t>Decentralized Identifiers (DIDs) integration for Alfresco</t>
  </si>
  <si>
    <t>FAT Development 3</t>
  </si>
  <si>
    <t>FAT Smart Contracts</t>
  </si>
  <si>
    <t>Verifiable Claims FIP</t>
  </si>
  <si>
    <t>FAT Firmware Upgrade for Ledger Nano S/X</t>
  </si>
  <si>
    <t>Rust Client Library for the Factom protocol</t>
  </si>
  <si>
    <t>AroundTheBox</t>
  </si>
  <si>
    <t>Develop Free Excel Add-In</t>
  </si>
  <si>
    <t>Factoshi</t>
  </si>
  <si>
    <t>Graff - A GraphQL wrapper for the factomd RPC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</si>
</sst>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-mm-dd"/>
  </numFmts>
  <fonts count="26">
    <font>
      <sz val="10.0"/>
      <color rgb="FF000000"/>
      <name val="Arial"/>
    </font>
    <font>
      <sz val="24.0"/>
    </font>
    <font/>
    <font>
      <b/>
      <sz val="11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000000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5" fillId="4" fontId="2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0" fillId="5" fontId="2" numFmtId="0" xfId="0" applyAlignment="1" applyFont="1">
      <alignment horizontal="center" readingOrder="0" vertical="center"/>
    </xf>
    <xf borderId="5" fillId="4" fontId="2" numFmtId="3" xfId="0" applyAlignment="1" applyBorder="1" applyFont="1" applyNumberForma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6" fillId="6" fontId="9" numFmtId="0" xfId="0" applyAlignment="1" applyBorder="1" applyFont="1">
      <alignment horizontal="center"/>
    </xf>
    <xf borderId="4" fillId="8" fontId="9" numFmtId="0" xfId="0" applyAlignment="1" applyBorder="1" applyFill="1" applyFont="1">
      <alignment horizontal="center" shrinkToFit="0" vertical="bottom" wrapText="1"/>
    </xf>
    <xf borderId="3" fillId="8" fontId="10" numFmtId="0" xfId="0" applyAlignment="1" applyBorder="1" applyFont="1">
      <alignment horizontal="center" shrinkToFit="0" vertical="bottom" wrapText="1"/>
    </xf>
    <xf borderId="3" fillId="8" fontId="11" numFmtId="0" xfId="0" applyAlignment="1" applyBorder="1" applyFont="1">
      <alignment horizontal="center" shrinkToFit="0" vertical="bottom" wrapText="1"/>
    </xf>
    <xf borderId="0" fillId="4" fontId="12" numFmtId="0" xfId="0" applyAlignment="1" applyFont="1">
      <alignment horizontal="center" vertical="center"/>
    </xf>
    <xf borderId="3" fillId="8" fontId="9" numFmtId="0" xfId="0" applyAlignment="1" applyBorder="1" applyFont="1">
      <alignment horizontal="center" shrinkToFit="0" vertical="bottom" wrapText="1"/>
    </xf>
    <xf borderId="0" fillId="0" fontId="2" numFmtId="165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8" fontId="9" numFmtId="0" xfId="0" applyAlignment="1" applyBorder="1" applyFont="1">
      <alignment horizontal="center" shrinkToFit="0" vertical="bottom" wrapText="1"/>
    </xf>
    <xf borderId="3" fillId="8" fontId="13" numFmtId="0" xfId="0" applyAlignment="1" applyBorder="1" applyFont="1">
      <alignment horizontal="center" readingOrder="0" shrinkToFit="0" vertical="bottom" wrapText="1"/>
    </xf>
    <xf borderId="3" fillId="8" fontId="9" numFmtId="0" xfId="0" applyAlignment="1" applyBorder="1" applyFont="1">
      <alignment horizontal="center" readingOrder="0" shrinkToFit="0" vertical="bottom" wrapText="1"/>
    </xf>
    <xf borderId="6" fillId="8" fontId="14" numFmtId="0" xfId="0" applyAlignment="1" applyBorder="1" applyFont="1">
      <alignment horizontal="center" readingOrder="0" shrinkToFit="0" vertical="bottom" wrapText="1"/>
    </xf>
    <xf borderId="6" fillId="8" fontId="9" numFmtId="0" xfId="0" applyAlignment="1" applyBorder="1" applyFont="1">
      <alignment horizontal="center" shrinkToFit="0" vertical="bottom" wrapText="1"/>
    </xf>
    <xf borderId="6" fillId="8" fontId="9" numFmtId="0" xfId="0" applyAlignment="1" applyBorder="1" applyFont="1">
      <alignment horizontal="center" readingOrder="0" shrinkToFit="0" vertical="bottom" wrapText="1"/>
    </xf>
    <xf borderId="0" fillId="9" fontId="2" numFmtId="0" xfId="0" applyAlignment="1" applyFill="1" applyFont="1">
      <alignment horizontal="center" readingOrder="0"/>
    </xf>
    <xf borderId="4" fillId="6" fontId="9" numFmtId="0" xfId="0" applyAlignment="1" applyBorder="1" applyFont="1">
      <alignment horizontal="center" readingOrder="0"/>
    </xf>
    <xf borderId="4" fillId="6" fontId="15" numFmtId="0" xfId="0" applyAlignment="1" applyBorder="1" applyFont="1">
      <alignment horizontal="center" readingOrder="0" shrinkToFit="0" wrapText="1"/>
    </xf>
    <xf borderId="3" fillId="6" fontId="9" numFmtId="0" xfId="0" applyAlignment="1" applyBorder="1" applyFont="1">
      <alignment horizontal="center" readingOrder="0"/>
    </xf>
    <xf borderId="3" fillId="8" fontId="16" numFmtId="0" xfId="0" applyAlignment="1" applyBorder="1" applyFont="1">
      <alignment horizontal="center" readingOrder="0" shrinkToFit="0" vertical="bottom" wrapText="1"/>
    </xf>
    <xf borderId="0" fillId="0" fontId="2" numFmtId="165" xfId="0" applyAlignment="1" applyFont="1" applyNumberFormat="1">
      <alignment horizontal="center" readingOrder="0" vertical="center"/>
    </xf>
    <xf borderId="6" fillId="8" fontId="17" numFmtId="0" xfId="0" applyAlignment="1" applyBorder="1" applyFont="1">
      <alignment horizontal="center" shrinkToFit="0" vertical="bottom" wrapText="1"/>
    </xf>
    <xf borderId="6" fillId="8" fontId="18" numFmtId="0" xfId="0" applyAlignment="1" applyBorder="1" applyFont="1">
      <alignment horizontal="center" readingOrder="0" shrinkToFit="0" vertical="bottom" wrapText="1"/>
    </xf>
    <xf borderId="4" fillId="6" fontId="9" numFmtId="0" xfId="0" applyAlignment="1" applyBorder="1" applyFont="1">
      <alignment horizontal="center"/>
    </xf>
    <xf borderId="3" fillId="6" fontId="19" numFmtId="0" xfId="0" applyAlignment="1" applyBorder="1" applyFont="1">
      <alignment horizontal="center"/>
    </xf>
    <xf borderId="3" fillId="6" fontId="9" numFmtId="0" xfId="0" applyAlignment="1" applyBorder="1" applyFont="1">
      <alignment horizontal="center"/>
    </xf>
    <xf borderId="7" fillId="6" fontId="9" numFmtId="0" xfId="0" applyAlignment="1" applyBorder="1" applyFont="1">
      <alignment horizontal="center"/>
    </xf>
    <xf borderId="6" fillId="6" fontId="20" numFmtId="0" xfId="0" applyAlignment="1" applyBorder="1" applyFont="1">
      <alignment horizontal="center"/>
    </xf>
    <xf borderId="7" fillId="6" fontId="9" numFmtId="0" xfId="0" applyAlignment="1" applyBorder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6" fillId="6" fontId="21" numFmtId="0" xfId="0" applyAlignment="1" applyBorder="1" applyFont="1">
      <alignment horizontal="center" readingOrder="0" shrinkToFit="0" wrapText="1"/>
    </xf>
    <xf borderId="6" fillId="6" fontId="9" numFmtId="0" xfId="0" applyAlignment="1" applyBorder="1" applyFont="1">
      <alignment horizontal="center" readingOrder="0"/>
    </xf>
    <xf borderId="0" fillId="5" fontId="22" numFmtId="0" xfId="0" applyAlignment="1" applyFont="1">
      <alignment horizontal="center" readingOrder="0"/>
    </xf>
    <xf borderId="6" fillId="6" fontId="23" numFmtId="0" xfId="0" applyAlignment="1" applyBorder="1" applyFont="1">
      <alignment horizontal="center" readingOrder="0" shrinkToFit="0" wrapText="1"/>
    </xf>
    <xf borderId="0" fillId="11" fontId="2" numFmtId="0" xfId="0" applyAlignment="1" applyFill="1" applyFont="1">
      <alignment horizontal="center" readingOrder="0"/>
    </xf>
    <xf borderId="7" fillId="6" fontId="24" numFmtId="0" xfId="0" applyAlignment="1" applyBorder="1" applyFont="1">
      <alignment horizontal="center" readingOrder="0"/>
    </xf>
    <xf borderId="6" fillId="6" fontId="25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ctomize.com/forums/threads/initial-grant-guide-compensation-april-7th-2018-june-6th-2018.349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59.71"/>
    <col customWidth="1" min="3" max="3" width="57.0"/>
    <col customWidth="1" min="4" max="4" width="16.43"/>
    <col customWidth="1" min="5" max="5" width="26.29"/>
    <col customWidth="1" hidden="1" min="6" max="6" width="24.0"/>
    <col customWidth="1" min="7" max="7" width="24.0"/>
    <col customWidth="1" min="8" max="9" width="22.29"/>
    <col customWidth="1" min="10" max="10" width="18.43"/>
    <col customWidth="1" hidden="1" min="11" max="11" width="16.57"/>
    <col customWidth="1" hidden="1" min="12" max="12" width="3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</row>
    <row r="3">
      <c r="A3" s="6" t="s">
        <v>13</v>
      </c>
      <c r="B3" s="7" t="str">
        <f>HYPERLINK("https://factomize.com/forums/threads/initial-grant-java-enterprise-client-library.351/","Factom-Initial-Grant-BIF-001")</f>
        <v>Factom-Initial-Grant-BIF-001</v>
      </c>
      <c r="C3" s="6" t="s">
        <v>14</v>
      </c>
      <c r="D3" s="8" t="s">
        <v>15</v>
      </c>
      <c r="E3" s="9" t="str">
        <f>HYPERLINK("https://factomize.com/forums/threads/java-enterprise-client-library.693/","LINK")</f>
        <v>LINK</v>
      </c>
      <c r="F3" s="10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2" t="s">
        <v>21</v>
      </c>
    </row>
    <row r="4">
      <c r="A4" s="6" t="s">
        <v>22</v>
      </c>
      <c r="B4" s="7" t="str">
        <f>HYPERLINK("https://factomize.com/forums/threads/legal-review-grant.354/","FACTOM-INITIAL-GRANT-Governance Legal Review")</f>
        <v>FACTOM-INITIAL-GRANT-Governance Legal Review</v>
      </c>
      <c r="C4" s="6" t="s">
        <v>23</v>
      </c>
      <c r="D4" s="13">
        <v>200000.0</v>
      </c>
      <c r="E4" s="9" t="str">
        <f>HYPERLINK("https://factomize.com/forums/threads/governance-legal-review.669/","LINK")</f>
        <v>LINK</v>
      </c>
      <c r="F4" s="14" t="str">
        <f>HYPERLINK("https://factomize.com/forums/threads/legal-research-working-group-update-jan-2019.1454/","LINK2")</f>
        <v>LINK2</v>
      </c>
      <c r="G4" s="11" t="s">
        <v>17</v>
      </c>
      <c r="H4" s="11" t="s">
        <v>18</v>
      </c>
      <c r="I4" s="15" t="s">
        <v>24</v>
      </c>
      <c r="J4" s="16" t="s">
        <v>25</v>
      </c>
      <c r="K4" s="11" t="s">
        <v>21</v>
      </c>
      <c r="L4" s="12" t="s">
        <v>21</v>
      </c>
    </row>
    <row r="5">
      <c r="A5" s="6" t="s">
        <v>26</v>
      </c>
      <c r="B5" s="7" t="str">
        <f>HYPERLINK("https://factomize.com/forums/threads/initial-grant-on-chain-voting-protocol.355/","FACTOM-INITIAL-GRANT-TFA-LUCIAP-FACTOMATIC-MFW-001")</f>
        <v>FACTOM-INITIAL-GRANT-TFA-LUCIAP-FACTOMATIC-MFW-001</v>
      </c>
      <c r="C5" s="6" t="s">
        <v>27</v>
      </c>
      <c r="D5" s="13">
        <v>227391.2</v>
      </c>
      <c r="E5" s="9" t="str">
        <f>HYPERLINK("https://factomize.com/forums/threads/on-chain-voting-protocol-grant.721/","LINK")</f>
        <v>LINK</v>
      </c>
      <c r="F5" s="10" t="s">
        <v>16</v>
      </c>
      <c r="G5" s="11" t="s">
        <v>17</v>
      </c>
      <c r="H5" s="11" t="s">
        <v>28</v>
      </c>
      <c r="I5" s="11" t="s">
        <v>19</v>
      </c>
      <c r="J5" s="11" t="s">
        <v>20</v>
      </c>
      <c r="K5" s="11" t="s">
        <v>21</v>
      </c>
      <c r="L5" s="12" t="s">
        <v>21</v>
      </c>
    </row>
    <row r="6">
      <c r="A6" s="6" t="s">
        <v>29</v>
      </c>
      <c r="B6" s="7" t="str">
        <f>HYPERLINK("https://factomize.com/forums/threads/development-grant-initial-proposal.356/","Development-grant-initial-proposal")</f>
        <v>Development-grant-initial-proposal</v>
      </c>
      <c r="C6" s="6" t="s">
        <v>30</v>
      </c>
      <c r="D6" s="8" t="s">
        <v>31</v>
      </c>
      <c r="E6" s="9" t="str">
        <f>HYPERLINK("https://factomize.com/forums/threads/sponsors-report-factom-inc-development-grant.753/","LINK")</f>
        <v>LINK</v>
      </c>
      <c r="F6" s="10" t="s">
        <v>16</v>
      </c>
      <c r="G6" s="11" t="s">
        <v>17</v>
      </c>
      <c r="H6" s="11" t="s">
        <v>18</v>
      </c>
      <c r="I6" s="11" t="s">
        <v>19</v>
      </c>
      <c r="J6" s="11" t="s">
        <v>20</v>
      </c>
      <c r="K6" s="11" t="s">
        <v>21</v>
      </c>
      <c r="L6" s="12" t="s">
        <v>21</v>
      </c>
    </row>
    <row r="7">
      <c r="A7" s="6" t="s">
        <v>32</v>
      </c>
      <c r="B7" s="7" t="str">
        <f>HYPERLINK("https://factomize.com/forums/threads/initial-grant-guide-compensation-april-7th-2018-june-6th-2018.349/","FACTOM-INITIAL-GRANT-GUIDES-001")</f>
        <v>FACTOM-INITIAL-GRANT-GUIDES-001</v>
      </c>
      <c r="C7" s="22" t="s">
        <v>33</v>
      </c>
      <c r="D7" s="8" t="s">
        <v>52</v>
      </c>
      <c r="E7" s="15" t="s">
        <v>19</v>
      </c>
      <c r="F7" s="10" t="s">
        <v>16</v>
      </c>
      <c r="G7" s="11" t="s">
        <v>17</v>
      </c>
      <c r="H7" s="11" t="s">
        <v>18</v>
      </c>
      <c r="I7" s="11" t="s">
        <v>19</v>
      </c>
      <c r="J7" s="11" t="s">
        <v>20</v>
      </c>
      <c r="K7" s="11" t="s">
        <v>21</v>
      </c>
      <c r="L7" s="12" t="s">
        <v>21</v>
      </c>
    </row>
    <row r="8">
      <c r="A8" s="6" t="s">
        <v>29</v>
      </c>
      <c r="B8" s="7" t="str">
        <f>HYPERLINK("https://factomize.com/forums/threads/anchor-master-initial-grant.353/","Anchor-master-initial-grant")</f>
        <v>Anchor-master-initial-grant</v>
      </c>
      <c r="C8" s="6" t="s">
        <v>55</v>
      </c>
      <c r="D8" s="8" t="s">
        <v>56</v>
      </c>
      <c r="E8" s="15" t="s">
        <v>19</v>
      </c>
      <c r="F8" s="10" t="s">
        <v>16</v>
      </c>
      <c r="G8" s="11" t="s">
        <v>17</v>
      </c>
      <c r="H8" s="11" t="s">
        <v>18</v>
      </c>
      <c r="I8" s="11" t="s">
        <v>19</v>
      </c>
      <c r="J8" s="11" t="s">
        <v>20</v>
      </c>
      <c r="K8" s="11" t="s">
        <v>21</v>
      </c>
      <c r="L8" s="12" t="s">
        <v>21</v>
      </c>
    </row>
    <row r="9">
      <c r="A9" s="6" t="s">
        <v>29</v>
      </c>
      <c r="B9" s="7" t="str">
        <f>HYPERLINK("https://factomize.com/forums/threads/oracle-master-initial-grant.352/","Oracle-master-initial-grant")</f>
        <v>Oracle-master-initial-grant</v>
      </c>
      <c r="C9" s="6" t="s">
        <v>60</v>
      </c>
      <c r="D9" s="8" t="s">
        <v>61</v>
      </c>
      <c r="E9" s="15" t="s">
        <v>19</v>
      </c>
      <c r="F9" s="10" t="s">
        <v>16</v>
      </c>
      <c r="G9" s="11" t="s">
        <v>17</v>
      </c>
      <c r="H9" s="11" t="s">
        <v>18</v>
      </c>
      <c r="I9" s="11" t="s">
        <v>19</v>
      </c>
      <c r="J9" s="11" t="s">
        <v>20</v>
      </c>
      <c r="K9" s="11" t="s">
        <v>21</v>
      </c>
      <c r="L9" s="12" t="s">
        <v>21</v>
      </c>
    </row>
  </sheetData>
  <mergeCells count="1">
    <mergeCell ref="A1:L1"/>
  </mergeCells>
  <conditionalFormatting sqref="J3:J9">
    <cfRule type="cellIs" dxfId="0" priority="1" operator="equal">
      <formula>"Finished"</formula>
    </cfRule>
  </conditionalFormatting>
  <conditionalFormatting sqref="J3:J9">
    <cfRule type="notContainsBlanks" dxfId="1" priority="2">
      <formula>LEN(TRIM(J3))&gt;0</formula>
    </cfRule>
  </conditionalFormatting>
  <hyperlinks>
    <hyperlink r:id="rId1" ref="C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59.71"/>
    <col customWidth="1" min="3" max="3" width="52.43"/>
    <col customWidth="1" min="4" max="4" width="15.0"/>
    <col customWidth="1" min="5" max="5" width="21.71"/>
    <col customWidth="1" hidden="1" min="6" max="6" width="20.29"/>
    <col customWidth="1" hidden="1" min="7" max="7" width="20.0"/>
    <col customWidth="1" hidden="1" min="8" max="8" width="20.43"/>
    <col customWidth="1" hidden="1" min="9" max="9" width="20.29"/>
    <col customWidth="1" hidden="1" min="10" max="10" width="19.43"/>
    <col customWidth="1" min="11" max="12" width="22.43"/>
    <col customWidth="1" min="13" max="13" width="15.14"/>
    <col customWidth="1" hidden="1" min="14" max="14" width="16.57"/>
    <col customWidth="1" hidden="1" min="15" max="15" width="33.0"/>
  </cols>
  <sheetData>
    <row r="1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4" t="s">
        <v>1</v>
      </c>
      <c r="B2" s="4" t="s">
        <v>2</v>
      </c>
      <c r="C2" s="4" t="s">
        <v>3</v>
      </c>
      <c r="D2" s="4" t="s">
        <v>36</v>
      </c>
      <c r="E2" s="4" t="s">
        <v>5</v>
      </c>
      <c r="F2" s="4" t="s">
        <v>6</v>
      </c>
      <c r="G2" s="4" t="s">
        <v>6</v>
      </c>
      <c r="H2" s="4" t="s">
        <v>6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5" t="s">
        <v>12</v>
      </c>
    </row>
    <row r="3">
      <c r="A3" s="6" t="s">
        <v>39</v>
      </c>
      <c r="B3" s="18" t="str">
        <f>HYPERLINK("https://factomize.com/forums/threads/tfa-bedrock-ledger-nano-s-factom-identity-amended-to-fit-inside-grant-pool.1143/","FACTOM-GRANT-LEDGER-FACTOM-ID-TFA-BEDROCK-R2-002")</f>
        <v>FACTOM-GRANT-LEDGER-FACTOM-ID-TFA-BEDROCK-R2-002</v>
      </c>
      <c r="C3" s="6" t="s">
        <v>41</v>
      </c>
      <c r="D3" s="8">
        <v>4490.0</v>
      </c>
      <c r="E3" s="9" t="str">
        <f>HYPERLINK("https://factomize.com/forums/threads/factom-identity-on-ledger-nano-s-grant-updates.1360/","LINK")</f>
        <v>LINK</v>
      </c>
      <c r="F3" s="11" t="s">
        <v>16</v>
      </c>
      <c r="G3" s="11" t="s">
        <v>16</v>
      </c>
      <c r="H3" s="11" t="s">
        <v>16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2" t="s">
        <v>21</v>
      </c>
    </row>
    <row r="4">
      <c r="A4" s="6" t="s">
        <v>42</v>
      </c>
      <c r="B4" s="18" t="str">
        <f>HYPERLINK("https://factomize.com/forums/threads/exchange-committee-001-exchange-listing-fee.1039/","FACTOM-GRANT-EXCHANGE-COMMITTEE-001")</f>
        <v>FACTOM-GRANT-EXCHANGE-COMMITTEE-001</v>
      </c>
      <c r="C4" s="6" t="s">
        <v>43</v>
      </c>
      <c r="D4" s="8">
        <v>5000.0</v>
      </c>
      <c r="E4" s="9" t="str">
        <f>HYPERLINK("https://factomize.com/forums/threads/exchange-committee-grant-updates.1455/","LINK")</f>
        <v>LINK</v>
      </c>
      <c r="F4" s="11" t="s">
        <v>16</v>
      </c>
      <c r="G4" s="11" t="s">
        <v>16</v>
      </c>
      <c r="H4" s="11" t="s">
        <v>16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20</v>
      </c>
      <c r="N4" s="11" t="s">
        <v>21</v>
      </c>
      <c r="O4" s="12" t="s">
        <v>21</v>
      </c>
    </row>
    <row r="5">
      <c r="A5" s="6" t="s">
        <v>45</v>
      </c>
      <c r="B5" s="18" t="str">
        <f>HYPERLINK("https://factomize.com/forums/threads/bif-001-factom-core-development.953/","FACTOM-GRANT-BIF-001")</f>
        <v>FACTOM-GRANT-BIF-001</v>
      </c>
      <c r="C5" s="6" t="s">
        <v>46</v>
      </c>
      <c r="D5" s="8">
        <v>18500.0</v>
      </c>
      <c r="E5" s="9" t="str">
        <f>HYPERLINK("https://factomize.com/forums/threads/bif-001-core-development-core-update.1967/","LINK")</f>
        <v>LINK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17</v>
      </c>
      <c r="K5" s="11" t="s">
        <v>18</v>
      </c>
      <c r="L5" s="11" t="s">
        <v>19</v>
      </c>
      <c r="M5" s="11" t="s">
        <v>20</v>
      </c>
      <c r="N5" s="11" t="s">
        <v>21</v>
      </c>
      <c r="O5" s="12" t="s">
        <v>21</v>
      </c>
    </row>
    <row r="6">
      <c r="A6" s="6" t="s">
        <v>29</v>
      </c>
      <c r="B6" s="18" t="str">
        <f>HYPERLINK("https://factomize.com/forums/threads/factom-inc-006-protocol-development.1044/","FACTOM-GRANT-Factom-Inc.-006")</f>
        <v>FACTOM-GRANT-Factom-Inc.-006</v>
      </c>
      <c r="C6" s="17" t="s">
        <v>47</v>
      </c>
      <c r="D6" s="21">
        <v>70000.0</v>
      </c>
      <c r="E6" s="9" t="str">
        <f>HYPERLINK("https://factomize.com/forums/threads/factom-inc-protocol-development-grant.1497/","LINK")</f>
        <v>LINK</v>
      </c>
      <c r="F6" s="14" t="str">
        <f>HYPERLINK("https://factomize.com/forums/threads/video-recording-of-factom-inc-sponsors-meeting-february-13-2019.1680/","LINK2")</f>
        <v>LINK2</v>
      </c>
      <c r="G6" s="11" t="s">
        <v>16</v>
      </c>
      <c r="H6" s="11" t="s">
        <v>16</v>
      </c>
      <c r="I6" s="11" t="s">
        <v>16</v>
      </c>
      <c r="J6" s="11" t="s">
        <v>17</v>
      </c>
      <c r="K6" s="11" t="s">
        <v>18</v>
      </c>
      <c r="L6" s="11" t="s">
        <v>19</v>
      </c>
      <c r="M6" s="11" t="s">
        <v>20</v>
      </c>
      <c r="N6" s="11" t="s">
        <v>21</v>
      </c>
      <c r="O6" s="12" t="s">
        <v>21</v>
      </c>
    </row>
    <row r="7">
      <c r="A7" s="6" t="s">
        <v>57</v>
      </c>
      <c r="B7" s="18" t="str">
        <f>HYPERLINK("https://factomize.com/forums/threads/factom-asset-token-protocol.1054/","FACTOM-GRANT-DBGrow-002")</f>
        <v>FACTOM-GRANT-DBGrow-002</v>
      </c>
      <c r="C7" s="17" t="s">
        <v>59</v>
      </c>
      <c r="D7" s="21">
        <v>34500.0</v>
      </c>
      <c r="E7" s="9" t="str">
        <f>HYPERLINK("https://factomize.com/forums/threads/factom-asset-token-protocol-grant-update-thread.1380/","LINK")</f>
        <v>LINK</v>
      </c>
      <c r="F7" s="11" t="s">
        <v>16</v>
      </c>
      <c r="G7" s="11" t="s">
        <v>16</v>
      </c>
      <c r="H7" s="11" t="s">
        <v>16</v>
      </c>
      <c r="I7" s="11" t="s">
        <v>16</v>
      </c>
      <c r="J7" s="11" t="s">
        <v>17</v>
      </c>
      <c r="K7" s="11" t="s">
        <v>18</v>
      </c>
      <c r="L7" s="11" t="s">
        <v>19</v>
      </c>
      <c r="M7" s="11" t="s">
        <v>20</v>
      </c>
      <c r="N7" s="11" t="s">
        <v>21</v>
      </c>
      <c r="O7" s="12" t="s">
        <v>21</v>
      </c>
    </row>
    <row r="8">
      <c r="A8" s="6" t="s">
        <v>62</v>
      </c>
      <c r="B8" s="18" t="str">
        <f>HYPERLINK("https://factomize.com/forums/threads/bif-factomatic-001-decentralized-identifiers-dids.968/","FACTOM-GRANT-BIF-Factomatic-001")</f>
        <v>FACTOM-GRANT-BIF-Factomatic-001</v>
      </c>
      <c r="C8" s="17" t="s">
        <v>63</v>
      </c>
      <c r="D8" s="21">
        <v>8500.0</v>
      </c>
      <c r="E8" s="9" t="str">
        <f>HYPERLINK("https://factomize.com/forums/threads/bif-factomatic-001-factom-dids.1955/","LINK")</f>
        <v>LINK</v>
      </c>
      <c r="F8" s="11" t="s">
        <v>16</v>
      </c>
      <c r="G8" s="11" t="s">
        <v>16</v>
      </c>
      <c r="H8" s="11" t="s">
        <v>16</v>
      </c>
      <c r="I8" s="11" t="s">
        <v>16</v>
      </c>
      <c r="J8" s="11" t="s">
        <v>17</v>
      </c>
      <c r="K8" s="11" t="s">
        <v>18</v>
      </c>
      <c r="L8" s="25" t="s">
        <v>65</v>
      </c>
      <c r="M8" s="11" t="s">
        <v>68</v>
      </c>
      <c r="N8" s="11" t="s">
        <v>21</v>
      </c>
      <c r="O8" s="12" t="s">
        <v>21</v>
      </c>
    </row>
    <row r="9">
      <c r="A9" s="6" t="s">
        <v>69</v>
      </c>
      <c r="B9" s="18" t="str">
        <f>HYPERLINK("https://factomize.com/forums/threads/dbgrow-factom-protocol-website.1053/","FACTOM-GRANT-DBGrow-003")</f>
        <v>FACTOM-GRANT-DBGrow-003</v>
      </c>
      <c r="C9" s="17" t="s">
        <v>71</v>
      </c>
      <c r="D9" s="8">
        <v>2000.0</v>
      </c>
      <c r="E9" s="9" t="str">
        <f>HYPERLINK("https://factomize.com/forums/threads/marketing-website-initiative.670/","LINK")</f>
        <v>LINK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17</v>
      </c>
      <c r="K9" s="11" t="s">
        <v>18</v>
      </c>
      <c r="L9" s="11" t="s">
        <v>19</v>
      </c>
      <c r="M9" s="11" t="s">
        <v>20</v>
      </c>
      <c r="N9" s="11" t="s">
        <v>21</v>
      </c>
      <c r="O9" s="12" t="s">
        <v>21</v>
      </c>
    </row>
    <row r="10">
      <c r="A10" s="6" t="s">
        <v>72</v>
      </c>
      <c r="B10" s="18" t="str">
        <f>HYPERLINK("https://factomize.com/forums/threads/bedrock-cryptovikings-defacto-tfa-factom-courtesy-node-system.1042/","FACTOM-GRANT-BEDROCK-CRYPTOVIKINGS -DEFACTO-TFA-001")</f>
        <v>FACTOM-GRANT-BEDROCK-CRYPTOVIKINGS -DEFACTO-TFA-001</v>
      </c>
      <c r="C10" s="17" t="s">
        <v>74</v>
      </c>
      <c r="D10" s="8">
        <v>875.0</v>
      </c>
      <c r="E10" s="9" t="str">
        <f>HYPERLINK("https://factomize.com/forums/threads/factom-open-node-courtesy-node-grant.1378/","LINK")</f>
        <v>LINK</v>
      </c>
      <c r="F10" s="11" t="s">
        <v>16</v>
      </c>
      <c r="G10" s="11" t="s">
        <v>16</v>
      </c>
      <c r="H10" s="11" t="s">
        <v>16</v>
      </c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11" t="s">
        <v>21</v>
      </c>
      <c r="O10" s="12" t="s">
        <v>21</v>
      </c>
    </row>
    <row r="11">
      <c r="A11" s="6" t="s">
        <v>29</v>
      </c>
      <c r="B11" s="18" t="str">
        <f>HYPERLINK("https://factomize.com/forums/threads/factom-inc-005-anchor-master.1043/","FACTOM-GRANT-Factom, Inc.-005")</f>
        <v>FACTOM-GRANT-Factom, Inc.-005</v>
      </c>
      <c r="C11" s="17" t="s">
        <v>78</v>
      </c>
      <c r="D11" s="8">
        <v>660.0</v>
      </c>
      <c r="E11" s="15" t="s">
        <v>19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17</v>
      </c>
      <c r="K11" s="11" t="s">
        <v>18</v>
      </c>
      <c r="L11" s="11" t="s">
        <v>19</v>
      </c>
      <c r="M11" s="11" t="s">
        <v>20</v>
      </c>
      <c r="N11" s="11" t="s">
        <v>21</v>
      </c>
      <c r="O11" s="12" t="s">
        <v>21</v>
      </c>
    </row>
    <row r="12">
      <c r="A12" s="6" t="s">
        <v>79</v>
      </c>
      <c r="B12" s="18" t="str">
        <f>HYPERLINK("https://factomize.com/forums/threads/core-committee-001-bug-bounty-program.959/","FACTOM-GRANT-Core-Committee-001")</f>
        <v>FACTOM-GRANT-Core-Committee-001</v>
      </c>
      <c r="C12" s="17" t="s">
        <v>80</v>
      </c>
      <c r="D12" s="8">
        <v>500.0</v>
      </c>
      <c r="E12" s="15" t="s">
        <v>19</v>
      </c>
      <c r="F12" s="11" t="s">
        <v>16</v>
      </c>
      <c r="G12" s="11" t="s">
        <v>16</v>
      </c>
      <c r="H12" s="11" t="s">
        <v>16</v>
      </c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 s="11" t="s">
        <v>21</v>
      </c>
      <c r="O12" s="12" t="s">
        <v>21</v>
      </c>
    </row>
    <row r="13">
      <c r="A13" s="6" t="s">
        <v>13</v>
      </c>
      <c r="B13" s="18" t="str">
        <f>HYPERLINK("https://factomize.com/forums/threads/bif-003-open-source-alfresco-integration-for-factom.955/","FACTOM-GRANT-BIF-003")</f>
        <v>FACTOM-GRANT-BIF-003</v>
      </c>
      <c r="C13" s="17" t="s">
        <v>85</v>
      </c>
      <c r="D13" s="8">
        <v>750.0</v>
      </c>
      <c r="E13" s="9" t="str">
        <f>HYPERLINK("https://factomize.com/forums/threads/bif-003-factom-into-alfresco-content-apps-developer-framework.1963/","LINK")</f>
        <v>LINK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17</v>
      </c>
      <c r="K13" s="11" t="s">
        <v>18</v>
      </c>
      <c r="L13" s="23" t="s">
        <v>65</v>
      </c>
      <c r="M13" s="11" t="s">
        <v>68</v>
      </c>
      <c r="N13" s="11" t="s">
        <v>21</v>
      </c>
      <c r="O13" s="12" t="s">
        <v>21</v>
      </c>
    </row>
    <row r="14">
      <c r="A14" s="6" t="s">
        <v>75</v>
      </c>
      <c r="B14" s="18" t="str">
        <f>HYPERLINK("https://factomize.com/forums/threads/marketing-committee-grant-proposal.1026/","FACTOM-GRANT-FACTOM-MARKETING-COMMITTEE-001")</f>
        <v>FACTOM-GRANT-FACTOM-MARKETING-COMMITTEE-001</v>
      </c>
      <c r="C14" s="17" t="s">
        <v>87</v>
      </c>
      <c r="D14" s="8">
        <v>5000.0</v>
      </c>
      <c r="E14" s="9" t="str">
        <f>HYPERLINK("https://factomize.com/forums/threads/marketing-committee-grant-001-grant-update-thread.1359/","LINK")</f>
        <v>LINK</v>
      </c>
      <c r="F14" s="14" t="str">
        <f>HYPERLINK("https://factomize.com/forums/threads/marketing-committee-grant.1475/","LINK2")</f>
        <v>LINK2</v>
      </c>
      <c r="G14" s="14" t="str">
        <f>HYPERLINK("https://factomize.com/forums/threads/marketing-committee-paid-campaign-one-week-in.1611/","LINK3")</f>
        <v>LINK3</v>
      </c>
      <c r="H14" s="14" t="str">
        <f>HYPERLINK("https://factomize.com/forums/threads/marketing-committee-grant-update-and-discussion.1694/","LINK4")</f>
        <v>LINK4</v>
      </c>
      <c r="I14" s="14" t="str">
        <f>HYPERLINK("https://factomize.com/forums/threads/marketing-committee-grant-paid-campaign-second-week.1722/","LINK5")</f>
        <v>LINK5</v>
      </c>
      <c r="J14" s="11" t="s">
        <v>17</v>
      </c>
      <c r="K14" s="11" t="s">
        <v>18</v>
      </c>
      <c r="L14" s="11" t="s">
        <v>24</v>
      </c>
      <c r="M14" s="25" t="s">
        <v>25</v>
      </c>
      <c r="N14" s="11" t="s">
        <v>21</v>
      </c>
      <c r="O14" s="12" t="s">
        <v>21</v>
      </c>
    </row>
    <row r="15">
      <c r="A15" s="6" t="s">
        <v>29</v>
      </c>
      <c r="B15" s="18" t="str">
        <f>HYPERLINK("https://factomize.com/forums/threads/factom-inc-004-oracle-master.1040/","FACTOM-GRANT-Factom, Inc.-004")</f>
        <v>FACTOM-GRANT-Factom, Inc.-004</v>
      </c>
      <c r="C15" s="17" t="s">
        <v>95</v>
      </c>
      <c r="D15" s="8">
        <v>1500.0</v>
      </c>
      <c r="E15" s="15" t="s">
        <v>19</v>
      </c>
      <c r="F15" s="11" t="s">
        <v>16</v>
      </c>
      <c r="G15" s="11" t="s">
        <v>16</v>
      </c>
      <c r="H15" s="11" t="s">
        <v>16</v>
      </c>
      <c r="I15" s="11" t="s">
        <v>16</v>
      </c>
      <c r="J15" s="11" t="s">
        <v>17</v>
      </c>
      <c r="K15" s="11" t="s">
        <v>18</v>
      </c>
      <c r="L15" s="11" t="s">
        <v>19</v>
      </c>
      <c r="M15" s="11" t="s">
        <v>20</v>
      </c>
      <c r="N15" s="11" t="s">
        <v>21</v>
      </c>
      <c r="O15" s="12" t="s">
        <v>21</v>
      </c>
    </row>
    <row r="16">
      <c r="A16" s="6" t="s">
        <v>42</v>
      </c>
      <c r="B16" s="18" t="str">
        <f>HYPERLINK("https://factomize.com/forums/threads/exchange-committee-002-g-suite-service.999/","FACTOM-GRANT-EXCHANGE-COMMITTEE-002")</f>
        <v>FACTOM-GRANT-EXCHANGE-COMMITTEE-002</v>
      </c>
      <c r="C16" s="17" t="s">
        <v>97</v>
      </c>
      <c r="D16" s="8">
        <v>26.0</v>
      </c>
      <c r="E16" s="15" t="s">
        <v>19</v>
      </c>
      <c r="F16" s="11" t="s">
        <v>16</v>
      </c>
      <c r="G16" s="11" t="s">
        <v>16</v>
      </c>
      <c r="H16" s="11" t="s">
        <v>16</v>
      </c>
      <c r="I16" s="11" t="s">
        <v>16</v>
      </c>
      <c r="J16" s="11" t="s">
        <v>17</v>
      </c>
      <c r="K16" s="11" t="s">
        <v>18</v>
      </c>
      <c r="L16" s="11" t="s">
        <v>19</v>
      </c>
      <c r="M16" s="11" t="s">
        <v>20</v>
      </c>
      <c r="N16" s="11" t="s">
        <v>21</v>
      </c>
      <c r="O16" s="12" t="s">
        <v>21</v>
      </c>
    </row>
    <row r="17">
      <c r="A17" s="6" t="s">
        <v>32</v>
      </c>
      <c r="B17" s="29" t="str">
        <f>HYPERLINK("https://factomize.com/forums/threads/guides-002-guide-compensation.961/","FACTOM-GRANT-GUIDES-002")</f>
        <v>FACTOM-GRANT-GUIDES-002</v>
      </c>
      <c r="C17" s="17" t="s">
        <v>99</v>
      </c>
      <c r="D17" s="8">
        <v>9000.0</v>
      </c>
      <c r="E17" s="15" t="s">
        <v>19</v>
      </c>
      <c r="F17" s="11" t="s">
        <v>16</v>
      </c>
      <c r="G17" s="11" t="s">
        <v>16</v>
      </c>
      <c r="H17" s="11" t="s">
        <v>16</v>
      </c>
      <c r="I17" s="11" t="s">
        <v>16</v>
      </c>
      <c r="J17" s="11" t="s">
        <v>17</v>
      </c>
      <c r="K17" s="11" t="s">
        <v>18</v>
      </c>
      <c r="L17" s="11" t="s">
        <v>19</v>
      </c>
      <c r="M17" s="11" t="s">
        <v>20</v>
      </c>
      <c r="N17" s="11" t="s">
        <v>21</v>
      </c>
      <c r="O17" s="12" t="s">
        <v>21</v>
      </c>
    </row>
  </sheetData>
  <mergeCells count="1">
    <mergeCell ref="A1:O1"/>
  </mergeCells>
  <conditionalFormatting sqref="M3:M13 M15:M17">
    <cfRule type="cellIs" dxfId="0" priority="1" operator="equal">
      <formula>"Finished"</formula>
    </cfRule>
  </conditionalFormatting>
  <conditionalFormatting sqref="M3:M13 M15:M17">
    <cfRule type="notContainsBlanks" dxfId="1" priority="2">
      <formula>LEN(TRIM(M3))&gt;0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59.71"/>
    <col customWidth="1" min="3" max="3" width="57.0"/>
    <col customWidth="1" min="4" max="4" width="16.43"/>
    <col customWidth="1" min="5" max="5" width="26.29"/>
    <col customWidth="1" min="6" max="6" width="24.0"/>
    <col customWidth="1" hidden="1" min="7" max="7" width="22.29"/>
    <col customWidth="1" min="8" max="8" width="18.43"/>
    <col customWidth="1" hidden="1" min="9" max="9" width="16.57"/>
    <col customWidth="1" hidden="1" min="10" max="10" width="33.0"/>
  </cols>
  <sheetData>
    <row r="1">
      <c r="A1" s="1" t="s">
        <v>35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36</v>
      </c>
      <c r="E2" s="4" t="s">
        <v>5</v>
      </c>
      <c r="F2" s="4" t="s">
        <v>37</v>
      </c>
      <c r="G2" s="4" t="s">
        <v>8</v>
      </c>
      <c r="H2" s="4" t="s">
        <v>10</v>
      </c>
      <c r="I2" s="4" t="s">
        <v>11</v>
      </c>
      <c r="J2" s="5" t="s">
        <v>12</v>
      </c>
    </row>
    <row r="3">
      <c r="A3" s="17" t="s">
        <v>38</v>
      </c>
      <c r="B3" s="18" t="str">
        <f>HYPERLINK("https://factomize.com/forums/threads/factom-grant-factom-inc-008-anchor-master-continuation.1568/","FACTOM-GRANT-FACTOM, INC-008")</f>
        <v>FACTOM-GRANT-FACTOM, INC-008</v>
      </c>
      <c r="C3" s="17" t="s">
        <v>40</v>
      </c>
      <c r="D3" s="19">
        <v>660.0</v>
      </c>
      <c r="E3" s="15" t="s">
        <v>19</v>
      </c>
      <c r="F3" s="11" t="s">
        <v>19</v>
      </c>
      <c r="G3" s="11" t="s">
        <v>18</v>
      </c>
      <c r="H3" s="20" t="s">
        <v>20</v>
      </c>
      <c r="I3" s="11" t="s">
        <v>21</v>
      </c>
      <c r="J3" s="12" t="s">
        <v>21</v>
      </c>
    </row>
    <row r="4">
      <c r="A4" s="17" t="s">
        <v>38</v>
      </c>
      <c r="B4" s="18" t="str">
        <f>HYPERLINK("https://factomize.com/forums/threads/factom-grant-factom-inc-011-anchor-master.1569/","FACTOM-GRANT-FACTOM, INC-011")</f>
        <v>FACTOM-GRANT-FACTOM, INC-011</v>
      </c>
      <c r="C4" s="17" t="s">
        <v>44</v>
      </c>
      <c r="D4" s="19">
        <v>660.0</v>
      </c>
      <c r="E4" s="15" t="s">
        <v>19</v>
      </c>
      <c r="F4" s="11" t="s">
        <v>19</v>
      </c>
      <c r="G4" s="11" t="s">
        <v>18</v>
      </c>
      <c r="H4" s="20" t="s">
        <v>20</v>
      </c>
      <c r="I4" s="11" t="s">
        <v>21</v>
      </c>
      <c r="J4" s="12" t="s">
        <v>21</v>
      </c>
    </row>
    <row r="5">
      <c r="A5" s="17" t="s">
        <v>38</v>
      </c>
      <c r="B5" s="18" t="str">
        <f>HYPERLINK("https://factomize.com/forums/threads/factom-grant-factom-inc-007-oracle-master-continuation.1566/","FACTOM-GRANT-FACTOM, INC-007")</f>
        <v>FACTOM-GRANT-FACTOM, INC-007</v>
      </c>
      <c r="C5" s="17" t="s">
        <v>48</v>
      </c>
      <c r="D5" s="19">
        <v>900.0</v>
      </c>
      <c r="E5" s="15" t="s">
        <v>19</v>
      </c>
      <c r="F5" s="11" t="s">
        <v>19</v>
      </c>
      <c r="G5" s="11" t="s">
        <v>18</v>
      </c>
      <c r="H5" s="20" t="s">
        <v>20</v>
      </c>
      <c r="I5" s="11" t="s">
        <v>21</v>
      </c>
      <c r="J5" s="12" t="s">
        <v>21</v>
      </c>
    </row>
    <row r="6">
      <c r="A6" s="17" t="s">
        <v>38</v>
      </c>
      <c r="B6" s="18" t="str">
        <f>HYPERLINK("https://factomize.com/forums/threads/factom-grant-factom-inc-010-oracle-master.1565/","FACTOM-GRANT-FACTOM, INC-010")</f>
        <v>FACTOM-GRANT-FACTOM, INC-010</v>
      </c>
      <c r="C6" s="17" t="s">
        <v>49</v>
      </c>
      <c r="D6" s="19">
        <v>900.0</v>
      </c>
      <c r="E6" s="15" t="s">
        <v>19</v>
      </c>
      <c r="F6" s="11" t="s">
        <v>19</v>
      </c>
      <c r="G6" s="11" t="s">
        <v>18</v>
      </c>
      <c r="H6" s="20" t="s">
        <v>20</v>
      </c>
      <c r="I6" s="11" t="s">
        <v>21</v>
      </c>
      <c r="J6" s="12" t="s">
        <v>21</v>
      </c>
    </row>
    <row r="7">
      <c r="A7" s="17" t="s">
        <v>50</v>
      </c>
      <c r="B7" s="18" t="str">
        <f>HYPERLINK("https://factomize.com/forums/threads/guides-003-guide-compensation.1537/","FACTOM-GRANT-GUIDES-003")</f>
        <v>FACTOM-GRANT-GUIDES-003</v>
      </c>
      <c r="C7" s="17" t="s">
        <v>51</v>
      </c>
      <c r="D7" s="19">
        <v>8400.0</v>
      </c>
      <c r="E7" s="15" t="s">
        <v>19</v>
      </c>
      <c r="F7" s="11" t="s">
        <v>19</v>
      </c>
      <c r="G7" s="11" t="s">
        <v>18</v>
      </c>
      <c r="H7" s="20" t="s">
        <v>20</v>
      </c>
      <c r="I7" s="11" t="s">
        <v>21</v>
      </c>
      <c r="J7" s="12" t="s">
        <v>21</v>
      </c>
    </row>
    <row r="8">
      <c r="A8" s="17" t="s">
        <v>38</v>
      </c>
      <c r="B8" s="18" t="str">
        <f>HYPERLINK("https://factomize.com/forums/threads/factom-grant-factom-inc-009-protocol-development-continuation.1564/","FACTOM-GRANT-FACTOM, INC-009")</f>
        <v>FACTOM-GRANT-FACTOM, INC-009</v>
      </c>
      <c r="C8" s="17" t="s">
        <v>53</v>
      </c>
      <c r="D8" s="19">
        <v>29440.0</v>
      </c>
      <c r="E8" s="23" t="s">
        <v>54</v>
      </c>
      <c r="F8" s="11" t="s">
        <v>19</v>
      </c>
      <c r="G8" s="11" t="s">
        <v>18</v>
      </c>
      <c r="H8" s="20" t="s">
        <v>20</v>
      </c>
      <c r="I8" s="11" t="s">
        <v>21</v>
      </c>
      <c r="J8" s="12" t="s">
        <v>21</v>
      </c>
    </row>
    <row r="9">
      <c r="A9" s="17" t="s">
        <v>58</v>
      </c>
      <c r="B9" s="18" t="str">
        <f>HYPERLINK("https://factomize.com/forums/threads/factomize-002-core-development.1555/","FACTOM-GRANT-FACTOMIZE-002")</f>
        <v>FACTOM-GRANT-FACTOMIZE-002</v>
      </c>
      <c r="C9" s="17" t="s">
        <v>64</v>
      </c>
      <c r="D9" s="19">
        <v>6000.0</v>
      </c>
      <c r="E9" s="24" t="str">
        <f>HYPERLINK("https://factomize.com/forums/threads/factomize-core-development-grant-update-grant-round-1-2019.1721/","LINK")</f>
        <v>LINK</v>
      </c>
      <c r="F9" s="11" t="s">
        <v>19</v>
      </c>
      <c r="G9" s="11" t="s">
        <v>18</v>
      </c>
      <c r="H9" s="20" t="s">
        <v>20</v>
      </c>
      <c r="I9" s="11" t="s">
        <v>21</v>
      </c>
      <c r="J9" s="12" t="s">
        <v>21</v>
      </c>
    </row>
    <row r="10">
      <c r="A10" s="17" t="s">
        <v>38</v>
      </c>
      <c r="B10" s="18" t="str">
        <f>HYPERLINK("https://factomize.com/forums/threads/factom-grant-factom-inc-012-protocol-development.1563/","FACTOM-GRANT-FACTOM, INC-012")</f>
        <v>FACTOM-GRANT-FACTOM, INC-012</v>
      </c>
      <c r="C10" s="17" t="s">
        <v>66</v>
      </c>
      <c r="D10" s="19">
        <v>37259.0</v>
      </c>
      <c r="E10" s="23" t="s">
        <v>54</v>
      </c>
      <c r="F10" s="11" t="s">
        <v>19</v>
      </c>
      <c r="G10" s="11" t="s">
        <v>18</v>
      </c>
      <c r="H10" s="20" t="s">
        <v>20</v>
      </c>
      <c r="I10" s="11" t="s">
        <v>21</v>
      </c>
      <c r="J10" s="12" t="s">
        <v>21</v>
      </c>
    </row>
    <row r="11">
      <c r="A11" s="17" t="s">
        <v>67</v>
      </c>
      <c r="B11" s="18" t="str">
        <f>HYPERLINK("https://factomize.com/forums/threads/factom-grant-dbgrow-luciap-canonical-ledgers-002-fat-protocol-development-grant-ii.1570/","FACTOM-GRANT-DBGROW-LUCIAP-CANONICALLEDGERS-002")</f>
        <v>FACTOM-GRANT-DBGROW-LUCIAP-CANONICALLEDGERS-002</v>
      </c>
      <c r="C11" s="17" t="s">
        <v>70</v>
      </c>
      <c r="D11" s="19">
        <v>12700.0</v>
      </c>
      <c r="E11" s="9" t="str">
        <f>HYPERLINK("https://factomize.com/forums/threads/fat-development-grant-2-update.1880/","LINK")</f>
        <v>LINK</v>
      </c>
      <c r="F11" s="11" t="s">
        <v>19</v>
      </c>
      <c r="G11" s="11" t="s">
        <v>18</v>
      </c>
      <c r="H11" s="20" t="s">
        <v>20</v>
      </c>
      <c r="I11" s="11" t="s">
        <v>21</v>
      </c>
      <c r="J11" s="12" t="s">
        <v>21</v>
      </c>
    </row>
    <row r="12">
      <c r="A12" s="17" t="s">
        <v>45</v>
      </c>
      <c r="B12" s="18" t="str">
        <f>HYPERLINK("https://factomize.com/forums/threads/bif-004-core-development.1558/","FACTOM-GRANT-BIF-004")</f>
        <v>FACTOM-GRANT-BIF-004</v>
      </c>
      <c r="C12" s="17" t="s">
        <v>73</v>
      </c>
      <c r="D12" s="19">
        <v>500.0</v>
      </c>
      <c r="E12" s="9" t="str">
        <f>HYPERLINK("https://factomize.com/forums/threads/bif-001-core-development-core-update.1967/","LINK")</f>
        <v>LINK</v>
      </c>
      <c r="F12" s="11" t="s">
        <v>19</v>
      </c>
      <c r="G12" s="11" t="s">
        <v>18</v>
      </c>
      <c r="H12" s="20" t="s">
        <v>20</v>
      </c>
      <c r="I12" s="11" t="s">
        <v>21</v>
      </c>
      <c r="J12" s="12" t="s">
        <v>21</v>
      </c>
    </row>
    <row r="13">
      <c r="A13" s="17" t="s">
        <v>75</v>
      </c>
      <c r="B13" s="18" t="str">
        <f>HYPERLINK("https://factomize.com/forums/threads/marketing-committee-hackathon-grant.1557/","FACTOM-GRANT-MARKETING-COMMITEE-003")</f>
        <v>FACTOM-GRANT-MARKETING-COMMITEE-003</v>
      </c>
      <c r="C13" s="17" t="s">
        <v>76</v>
      </c>
      <c r="D13" s="19">
        <v>3600.0</v>
      </c>
      <c r="E13" s="23" t="s">
        <v>54</v>
      </c>
      <c r="F13" s="11" t="s">
        <v>65</v>
      </c>
      <c r="G13" s="11" t="s">
        <v>18</v>
      </c>
      <c r="H13" s="20" t="s">
        <v>20</v>
      </c>
      <c r="I13" s="11" t="s">
        <v>21</v>
      </c>
      <c r="J13" s="12" t="s">
        <v>21</v>
      </c>
    </row>
    <row r="14">
      <c r="A14" s="17" t="s">
        <v>77</v>
      </c>
      <c r="B14" s="18" t="str">
        <f>HYPERLINK("https://factomize.com/forums/threads/bedrock-cryptlogic-defacto-tfa-002-factom-open-node-ex-courtesy-node-continuity.1552/","BEDROCK-CRYPTOLOGIC-DEFACTO-TFA-002")</f>
        <v>BEDROCK-CRYPTOLOGIC-DEFACTO-TFA-002</v>
      </c>
      <c r="C14" s="17" t="s">
        <v>81</v>
      </c>
      <c r="D14" s="19">
        <v>545.0</v>
      </c>
      <c r="E14" s="15" t="s">
        <v>19</v>
      </c>
      <c r="F14" s="11" t="s">
        <v>19</v>
      </c>
      <c r="G14" s="11" t="s">
        <v>18</v>
      </c>
      <c r="H14" s="20" t="s">
        <v>20</v>
      </c>
      <c r="I14" s="11" t="s">
        <v>21</v>
      </c>
      <c r="J14" s="12" t="s">
        <v>21</v>
      </c>
    </row>
    <row r="15">
      <c r="A15" s="17" t="s">
        <v>82</v>
      </c>
      <c r="B15" s="18" t="str">
        <f>HYPERLINK("https://factomize.com/forums/threads/layertech-001-core-code-development-grant.1550/","FACTOM-GRANT-LAYERTECH-001")</f>
        <v>FACTOM-GRANT-LAYERTECH-001</v>
      </c>
      <c r="C15" s="17" t="s">
        <v>83</v>
      </c>
      <c r="D15" s="19">
        <v>5500.0</v>
      </c>
      <c r="E15" s="9" t="str">
        <f>HYPERLINK("https://www.google.com/url?q=https://factomize.com/forums/threads/layertech-core-development-grant-update-grant-round-1-2019.2134/%23post-16888&amp;sa=D&amp;ust=1562014465504000&amp;usg=AFQjCNEb-z4RuZa3mHJ9K-vsPldYk5jnVw","LINK")</f>
        <v>LINK</v>
      </c>
      <c r="F15" s="11" t="s">
        <v>19</v>
      </c>
      <c r="G15" s="11" t="s">
        <v>18</v>
      </c>
      <c r="H15" s="20" t="s">
        <v>20</v>
      </c>
      <c r="I15" s="11" t="s">
        <v>21</v>
      </c>
      <c r="J15" s="12" t="s">
        <v>21</v>
      </c>
    </row>
    <row r="16">
      <c r="A16" s="17" t="s">
        <v>84</v>
      </c>
      <c r="B16" s="18" t="str">
        <f>HYPERLINK("https://factomize.com/forums/threads/prestige_it-001-blockchain-expo-global-2019-london.1543/","FACTOM-GRANT-PRESTIGE-IT-001")</f>
        <v>FACTOM-GRANT-PRESTIGE-IT-001</v>
      </c>
      <c r="C16" s="17" t="s">
        <v>86</v>
      </c>
      <c r="D16" s="19">
        <v>682.0</v>
      </c>
      <c r="E16" s="9" t="str">
        <f>HYPERLINK("https://factomize.com/forums/threads/prestige-it-001-blockchain-expo-global-2019-london.1873/unread","LINK")</f>
        <v>LINK</v>
      </c>
      <c r="F16" s="11" t="s">
        <v>19</v>
      </c>
      <c r="G16" s="11" t="s">
        <v>18</v>
      </c>
      <c r="H16" s="20" t="s">
        <v>20</v>
      </c>
      <c r="I16" s="11" t="s">
        <v>21</v>
      </c>
      <c r="J16" s="12" t="s">
        <v>21</v>
      </c>
    </row>
    <row r="17">
      <c r="A17" s="17" t="s">
        <v>42</v>
      </c>
      <c r="B17" s="18" t="str">
        <f>HYPERLINK("https://factomize.com/forums/threads/exchange-committee-003-committee-funding.1546/","FACTOM-GRANT-EXCHANGE-COMMITTEE-003")</f>
        <v>FACTOM-GRANT-EXCHANGE-COMMITTEE-003</v>
      </c>
      <c r="C17" s="17" t="s">
        <v>88</v>
      </c>
      <c r="D17" s="19">
        <v>5000.0</v>
      </c>
      <c r="E17" s="15" t="s">
        <v>19</v>
      </c>
      <c r="F17" s="11" t="s">
        <v>19</v>
      </c>
      <c r="G17" s="11" t="s">
        <v>18</v>
      </c>
      <c r="H17" s="20" t="s">
        <v>20</v>
      </c>
      <c r="I17" s="11" t="s">
        <v>21</v>
      </c>
      <c r="J17" s="12" t="s">
        <v>21</v>
      </c>
    </row>
    <row r="18">
      <c r="A18" s="17" t="s">
        <v>89</v>
      </c>
      <c r="B18" s="18" t="str">
        <f>HYPERLINK("https://factomize.com/forums/threads/defacto-001-factom-open-api-open-source-rest-graphql-api-for-factom.1493/#post-10325","FACTOM-GRANT-DEFACTO-001")</f>
        <v>FACTOM-GRANT-DEFACTO-001</v>
      </c>
      <c r="C18" s="17" t="s">
        <v>90</v>
      </c>
      <c r="D18" s="19">
        <v>7380.0</v>
      </c>
      <c r="E18" s="9" t="str">
        <f>HYPERLINK("https://factomize.com/forums/threads/defacto-001-factom-open-api-sprint-1.1855/","LINK")</f>
        <v>LINK</v>
      </c>
      <c r="F18" s="11" t="s">
        <v>19</v>
      </c>
      <c r="G18" s="11" t="s">
        <v>18</v>
      </c>
      <c r="H18" s="20" t="s">
        <v>20</v>
      </c>
      <c r="I18" s="11" t="s">
        <v>21</v>
      </c>
      <c r="J18" s="12" t="s">
        <v>21</v>
      </c>
    </row>
    <row r="19">
      <c r="A19" s="17" t="s">
        <v>75</v>
      </c>
      <c r="B19" s="18" t="str">
        <f>HYPERLINK("https://factomize.com/forums/threads/marketing-committee-explainer-video-grant.1561/","FACTOM-GRANT-MARKETING-COMMITEE-002")</f>
        <v>FACTOM-GRANT-MARKETING-COMMITEE-002</v>
      </c>
      <c r="C19" s="17" t="s">
        <v>93</v>
      </c>
      <c r="D19" s="19">
        <v>3000.0</v>
      </c>
      <c r="E19" s="9" t="str">
        <f>HYPERLINK("https://factomize.com/forums/threads/explainer-video-working-group-grant-update.1878/unread","LINK")</f>
        <v>LINK</v>
      </c>
      <c r="F19" s="11" t="s">
        <v>94</v>
      </c>
      <c r="G19" s="11" t="s">
        <v>18</v>
      </c>
      <c r="H19" s="25" t="s">
        <v>25</v>
      </c>
      <c r="I19" s="11" t="s">
        <v>21</v>
      </c>
      <c r="J19" s="12" t="s">
        <v>21</v>
      </c>
    </row>
    <row r="20">
      <c r="A20" s="17" t="s">
        <v>58</v>
      </c>
      <c r="B20" s="18" t="str">
        <f>HYPERLINK("https://factomize.com/forums/threads/factomize-001-marketing-videos.1549/","FACTOM-GRANT-FACTOMIZE-001")</f>
        <v>FACTOM-GRANT-FACTOMIZE-001</v>
      </c>
      <c r="C20" s="17" t="s">
        <v>96</v>
      </c>
      <c r="D20" s="19">
        <v>500.0</v>
      </c>
      <c r="E20" s="24" t="str">
        <f>HYPERLINK("https://factomize.com/forums/threads/factomize-marketing-videos-grant-round-1-2019.1719/unread","LINK")</f>
        <v>LINK</v>
      </c>
      <c r="F20" s="11" t="s">
        <v>19</v>
      </c>
      <c r="G20" s="11" t="s">
        <v>18</v>
      </c>
      <c r="H20" s="20" t="s">
        <v>20</v>
      </c>
      <c r="I20" s="11" t="s">
        <v>21</v>
      </c>
      <c r="J20" s="12" t="s">
        <v>21</v>
      </c>
    </row>
    <row r="21">
      <c r="A21" s="17" t="s">
        <v>98</v>
      </c>
      <c r="B21" s="29" t="str">
        <f>HYPERLINK("https://factomize.com/forums/threads/bedrock-defacto-001-factom-open-node-enhancement-%E2%80%94-amended-to-fit-inside-grant-pool.1628/","FACTOM-GRANT-BEDROCK-DEFACTO-001")</f>
        <v>FACTOM-GRANT-BEDROCK-DEFACTO-001</v>
      </c>
      <c r="C21" s="17" t="s">
        <v>100</v>
      </c>
      <c r="D21" s="19">
        <v>374.0</v>
      </c>
      <c r="E21" s="9" t="str">
        <f>HYPERLINK("https://factomize.com/forums/threads/bedrock-defacto-001-open-node-enhancement.1868/","LINK")</f>
        <v>LINK</v>
      </c>
      <c r="F21" s="11" t="s">
        <v>19</v>
      </c>
      <c r="G21" s="11" t="s">
        <v>18</v>
      </c>
      <c r="H21" s="20" t="s">
        <v>20</v>
      </c>
      <c r="I21" s="11" t="s">
        <v>21</v>
      </c>
      <c r="J21" s="12" t="s">
        <v>21</v>
      </c>
    </row>
  </sheetData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3.86"/>
    <col customWidth="1" min="3" max="3" width="50.71"/>
    <col customWidth="1" min="5" max="5" width="16.0"/>
    <col customWidth="1" min="6" max="6" width="18.0"/>
    <col customWidth="1" min="7" max="7" width="17.43"/>
    <col customWidth="1" min="8" max="8" width="15.71"/>
    <col customWidth="1" min="9" max="9" width="17.86"/>
  </cols>
  <sheetData>
    <row r="1">
      <c r="A1" s="4" t="s">
        <v>1</v>
      </c>
      <c r="B1" s="4" t="s">
        <v>2</v>
      </c>
      <c r="C1" s="4" t="s">
        <v>3</v>
      </c>
      <c r="D1" s="4" t="s">
        <v>36</v>
      </c>
      <c r="E1" s="4" t="s">
        <v>5</v>
      </c>
      <c r="F1" s="4" t="s">
        <v>91</v>
      </c>
      <c r="G1" s="4" t="s">
        <v>92</v>
      </c>
      <c r="H1" s="4" t="s">
        <v>10</v>
      </c>
      <c r="I1" s="5" t="s">
        <v>12</v>
      </c>
    </row>
    <row r="2">
      <c r="A2" s="26" t="s">
        <v>29</v>
      </c>
      <c r="B2" s="27" t="str">
        <f>HYPERLINK("https://factomize.com/forums/threads/factom-inc-013-oracle-master.1951/","Factom-inc-013")</f>
        <v>Factom-inc-013</v>
      </c>
      <c r="C2" s="28" t="s">
        <v>60</v>
      </c>
      <c r="D2" s="30">
        <v>900.0</v>
      </c>
      <c r="E2" s="9" t="str">
        <f>HYPERLINK("https://factomize.com/forums/threads/factom-inc-013-oracle-master.2097/","Link")</f>
        <v>Link</v>
      </c>
      <c r="F2" s="31">
        <v>43708.0</v>
      </c>
      <c r="G2" s="31"/>
      <c r="H2" s="32" t="s">
        <v>101</v>
      </c>
      <c r="I2" s="33"/>
    </row>
    <row r="3">
      <c r="A3" s="34" t="s">
        <v>29</v>
      </c>
      <c r="B3" s="46" t="str">
        <f>HYPERLINK("https://factomize.com/forums/threads/factom-inc-014-anchor-master.1952/","Factom-inc-014")</f>
        <v>Factom-inc-014</v>
      </c>
      <c r="C3" s="38" t="s">
        <v>55</v>
      </c>
      <c r="D3" s="38">
        <v>660.0</v>
      </c>
      <c r="E3" s="9" t="str">
        <f>HYPERLINK("https://factomize.com/forums/threads/factom-inc-014-anchor-master.2096/","Link")</f>
        <v>Link</v>
      </c>
      <c r="F3" s="31">
        <v>43708.0</v>
      </c>
      <c r="G3" s="31"/>
      <c r="H3" s="32" t="s">
        <v>101</v>
      </c>
      <c r="I3" s="33"/>
    </row>
    <row r="4">
      <c r="A4" s="34" t="s">
        <v>103</v>
      </c>
      <c r="B4" s="46" t="str">
        <f>HYPERLINK("https://factomize.com/forums/threads/guides-005-guide-compensation.1929/","Factom Guides-005")</f>
        <v>Factom Guides-005</v>
      </c>
      <c r="C4" s="38" t="s">
        <v>104</v>
      </c>
      <c r="D4" s="38">
        <v>9000.0</v>
      </c>
      <c r="E4" s="15" t="s">
        <v>19</v>
      </c>
      <c r="F4" s="11" t="s">
        <v>19</v>
      </c>
      <c r="G4" s="11"/>
      <c r="H4" s="32" t="s">
        <v>101</v>
      </c>
      <c r="I4" s="33"/>
    </row>
    <row r="5">
      <c r="A5" s="48" t="s">
        <v>79</v>
      </c>
      <c r="B5" s="49" t="str">
        <f>HYPERLINK("https://factomize.com/forums/threads/factom-grant-core-committee-002-additional-bug-bounty-funding-grant-round-2019-06-01.1875/","Core-Committee-002")</f>
        <v>Core-Committee-002</v>
      </c>
      <c r="C5" s="50" t="s">
        <v>110</v>
      </c>
      <c r="D5" s="50">
        <v>500.0</v>
      </c>
      <c r="E5" s="15" t="s">
        <v>19</v>
      </c>
      <c r="F5" s="11" t="s">
        <v>19</v>
      </c>
      <c r="G5" s="11"/>
      <c r="H5" s="32" t="s">
        <v>101</v>
      </c>
      <c r="I5" s="33"/>
    </row>
    <row r="6">
      <c r="A6" s="51" t="s">
        <v>98</v>
      </c>
      <c r="B6" s="52" t="str">
        <f>HYPERLINK("https://factomize.com/forums/threads/bedrock-defacto-001-2-open-node-enhancement-%E2%80%94-leftover-payout.1886/","Bedrock-Defacto-001/2")</f>
        <v>Bedrock-Defacto-001/2</v>
      </c>
      <c r="C6" s="25" t="s">
        <v>112</v>
      </c>
      <c r="D6" s="25">
        <v>926.0</v>
      </c>
      <c r="E6" s="9" t="str">
        <f>HYPERLINK("https://factomize.com/forums/threads/bedrock-defacto-001-open-node-enhancement.1868/","Link")</f>
        <v>Link</v>
      </c>
      <c r="F6" s="12" t="s">
        <v>114</v>
      </c>
      <c r="G6" s="12"/>
      <c r="H6" s="54" t="s">
        <v>68</v>
      </c>
      <c r="I6" s="33"/>
    </row>
    <row r="7">
      <c r="A7" s="51" t="s">
        <v>72</v>
      </c>
      <c r="B7" s="52" t="str">
        <f>HYPERLINK("https://factomize.com/forums/threads/factom-grant-bedrock-cryptlogic-defacto-tfa-003-open-node-continuity.1894/unread","Bedrock-CryptoLogic-DeFacto-TFA-003")</f>
        <v>Bedrock-CryptoLogic-DeFacto-TFA-003</v>
      </c>
      <c r="C7" s="25" t="s">
        <v>115</v>
      </c>
      <c r="D7" s="25">
        <v>360.0</v>
      </c>
      <c r="E7" s="57" t="str">
        <f>HYPERLINK("https://factomize.com/forums/threads/bedrock-cryptlogic-defacto-tfa-003-open-node-continuity.2035/","Link")</f>
        <v>Link</v>
      </c>
      <c r="F7" s="31">
        <v>43708.0</v>
      </c>
      <c r="G7" s="31"/>
      <c r="H7" s="32" t="s">
        <v>101</v>
      </c>
      <c r="I7" s="33"/>
    </row>
    <row r="8">
      <c r="A8" s="51" t="s">
        <v>117</v>
      </c>
      <c r="B8" s="52" t="str">
        <f>HYPERLINK("https://factomize.com/forums/threads/factom-grant-luciap-001-fat-wallet-ledger-support.1927/","LUCIAP-001")</f>
        <v>LUCIAP-001</v>
      </c>
      <c r="C8" s="25" t="s">
        <v>118</v>
      </c>
      <c r="D8" s="25">
        <v>1876.0</v>
      </c>
      <c r="E8" s="9" t="str">
        <f>HYPERLINK("https://factomize.com/forums/threads/luciap-001-fat-wallet-ledger-support.2010/","Link")</f>
        <v>Link</v>
      </c>
      <c r="F8" s="31">
        <v>43687.0</v>
      </c>
      <c r="G8" s="31"/>
      <c r="H8" s="54" t="s">
        <v>68</v>
      </c>
      <c r="I8" s="33"/>
    </row>
    <row r="9">
      <c r="A9" s="51" t="s">
        <v>113</v>
      </c>
      <c r="B9" s="52" t="str">
        <f>HYPERLINK("https://factomize.com/forums/threads/factom-grant-go_immutable-001-marketing-–-comprehensive-strategy-execution.1930/#post-14692","Go-Immutable-001")</f>
        <v>Go-Immutable-001</v>
      </c>
      <c r="C9" s="25" t="s">
        <v>120</v>
      </c>
      <c r="D9" s="25">
        <v>20000.0</v>
      </c>
      <c r="E9" s="9" t="str">
        <f>HYPERLINK("https://factomize.com/forums/threads/go_immutable-001-marketing-–-comprehensive-strategy-execution.2054/","Link")</f>
        <v>Link</v>
      </c>
      <c r="F9" s="31">
        <v>43745.0</v>
      </c>
      <c r="G9" s="33"/>
      <c r="H9" s="32" t="s">
        <v>101</v>
      </c>
      <c r="I9" s="12" t="s">
        <v>121</v>
      </c>
    </row>
    <row r="10">
      <c r="A10" s="51" t="s">
        <v>122</v>
      </c>
      <c r="B10" s="52" t="str">
        <f>HYPERLINK("https://factomize.com/forums/threads/factom-grant-anchorblock-002-daily-digest.1931/unread","Anchorblock-002")</f>
        <v>Anchorblock-002</v>
      </c>
      <c r="C10" s="25" t="s">
        <v>124</v>
      </c>
      <c r="D10" s="25">
        <v>260.0</v>
      </c>
      <c r="E10" s="15" t="s">
        <v>19</v>
      </c>
      <c r="F10" s="12" t="s">
        <v>19</v>
      </c>
      <c r="G10" s="33"/>
      <c r="H10" s="32" t="s">
        <v>101</v>
      </c>
      <c r="I10" s="33"/>
    </row>
    <row r="11">
      <c r="A11" s="51" t="s">
        <v>125</v>
      </c>
      <c r="B11" s="52" t="str">
        <f>HYPERLINK("https://factomize.com/forums/threads/factom-grant-federate-this-001-off-blocks.1932/","Federate-this-001")</f>
        <v>Federate-this-001</v>
      </c>
      <c r="C11" s="25" t="s">
        <v>126</v>
      </c>
      <c r="D11" s="25">
        <v>3295.0</v>
      </c>
      <c r="E11" s="57" t="str">
        <f>HYPERLINK("https://factomize.com/forums/threads/federate-this-off-blocks.2065/","Link")</f>
        <v>Link</v>
      </c>
      <c r="F11" s="31">
        <v>43667.0</v>
      </c>
      <c r="G11" s="33"/>
      <c r="H11" s="32" t="s">
        <v>101</v>
      </c>
      <c r="I11" s="33"/>
    </row>
    <row r="12">
      <c r="A12" s="51" t="s">
        <v>127</v>
      </c>
      <c r="B12" s="52" t="str">
        <f>HYPERLINK("https://factomize.com/forums/threads/layertech-001-core-code-development-grant-continuation.1938/unread","Layertech-002")</f>
        <v>Layertech-002</v>
      </c>
      <c r="C12" s="25" t="s">
        <v>128</v>
      </c>
      <c r="D12" s="25">
        <v>3600.0</v>
      </c>
      <c r="E12" s="57" t="str">
        <f>HYPERLINK("https://factomize.com/forums/threads/layertech-002-core-code-development-grant.2026/unread","Link")</f>
        <v>Link</v>
      </c>
      <c r="F12" s="31">
        <v>43708.0</v>
      </c>
      <c r="G12" s="33"/>
      <c r="H12" s="59" t="s">
        <v>130</v>
      </c>
      <c r="I12" s="12" t="s">
        <v>130</v>
      </c>
    </row>
    <row r="13">
      <c r="A13" s="51" t="s">
        <v>132</v>
      </c>
      <c r="B13" s="52" t="str">
        <f>HYPERLINK("https://factomize.com/forums/threads/factomize-003-automated-grant-system.1941/unread","Factomize-003")</f>
        <v>Factomize-003</v>
      </c>
      <c r="C13" s="25" t="s">
        <v>134</v>
      </c>
      <c r="D13" s="25">
        <v>1980.0</v>
      </c>
      <c r="E13" s="57" t="str">
        <f>HYPERLINK("https://factomize.com/forums/threads/factomize-003-automated-grant-system.2030/unread","Link")</f>
        <v>Link</v>
      </c>
      <c r="F13" s="31">
        <v>43661.0</v>
      </c>
      <c r="G13" s="33"/>
      <c r="H13" s="32" t="s">
        <v>101</v>
      </c>
      <c r="I13" s="12" t="s">
        <v>121</v>
      </c>
    </row>
    <row r="14">
      <c r="A14" s="51" t="s">
        <v>136</v>
      </c>
      <c r="B14" s="52" t="str">
        <f>HYPERLINK("https://factomize.com/forums/threads/defacto-001-2-factom-open-api-–-sprint-2-admin-api-web-ui-callbacks.1942/unread","Defacto-001/2")</f>
        <v>Defacto-001/2</v>
      </c>
      <c r="C14" s="25" t="s">
        <v>138</v>
      </c>
      <c r="D14" s="25">
        <v>5000.0</v>
      </c>
      <c r="E14" s="57" t="str">
        <f>HYPERLINK("https://factomize.com/forums/threads/defacto-001-2-factom-open-api-–-sprint-2-admin-api-web-ui-callbacks.2038/","Link")</f>
        <v>Link</v>
      </c>
      <c r="F14" s="31">
        <v>43708.0</v>
      </c>
      <c r="G14" s="33"/>
      <c r="H14" s="32" t="s">
        <v>101</v>
      </c>
      <c r="I14" s="33"/>
    </row>
    <row r="15">
      <c r="A15" s="51" t="s">
        <v>133</v>
      </c>
      <c r="B15" s="52" t="str">
        <f>HYPERLINK("https://factomize.com/forums/threads/sphereon-003-core-development-continuation-grant-proposal.1943/unread","Sphereon-003")</f>
        <v>Sphereon-003</v>
      </c>
      <c r="C15" s="25" t="s">
        <v>135</v>
      </c>
      <c r="D15" s="25">
        <v>6750.0</v>
      </c>
      <c r="E15" s="57" t="str">
        <f>HYPERLINK("https://factomize.com/forums/threads/sphereon-003-core-development-continuation-grant-proposal.2074/unread","Link")</f>
        <v>Link</v>
      </c>
      <c r="F15" s="31">
        <v>43710.0</v>
      </c>
      <c r="G15" s="33"/>
      <c r="H15" s="32" t="s">
        <v>101</v>
      </c>
      <c r="I15" s="33"/>
    </row>
    <row r="16">
      <c r="A16" s="51" t="s">
        <v>133</v>
      </c>
      <c r="B16" s="52" t="str">
        <f>HYPERLINK("https://factomize.com/forums/threads/sphereon-004-integration-of-daml-with-the-factom®-protocol.1944/unread","Sphereon-004")</f>
        <v>Sphereon-004</v>
      </c>
      <c r="C16" s="25" t="s">
        <v>142</v>
      </c>
      <c r="D16" s="25">
        <v>6750.0</v>
      </c>
      <c r="E16" s="57" t="str">
        <f>HYPERLINK("https://factomize.com/forums/threads/sphereon-004-integration-of-daml-with-the-factom®-protocol.2075/unread","Link")</f>
        <v>Link</v>
      </c>
      <c r="F16" s="31">
        <v>43710.0</v>
      </c>
      <c r="G16" s="33"/>
      <c r="H16" s="54" t="s">
        <v>68</v>
      </c>
      <c r="I16" s="33"/>
    </row>
    <row r="17">
      <c r="A17" s="51" t="s">
        <v>133</v>
      </c>
      <c r="B17" s="52" t="str">
        <f>HYPERLINK("https://factomize.com/forums/threads/sphereon-005-factom®-badges.1945/unread","Sphereon-005")</f>
        <v>Sphereon-005</v>
      </c>
      <c r="C17" s="25" t="s">
        <v>147</v>
      </c>
      <c r="D17" s="25">
        <v>3699.0</v>
      </c>
      <c r="E17" s="57" t="str">
        <f>HYPERLINK("https://factomize.com/forums/threads/sphereon-005-factom®-badges.2076/unread","Link")</f>
        <v>Link</v>
      </c>
      <c r="F17" s="31">
        <v>43710.0</v>
      </c>
      <c r="G17" s="33"/>
      <c r="H17" s="54" t="s">
        <v>68</v>
      </c>
      <c r="I17" s="33"/>
    </row>
    <row r="18">
      <c r="A18" s="51" t="s">
        <v>45</v>
      </c>
      <c r="B18" s="52" t="str">
        <f>HYPERLINK("https://factomize.com/forums/threads/bif-007-identity-did-and-signing-fips.1947/unread","BIF-007")</f>
        <v>BIF-007</v>
      </c>
      <c r="C18" s="25" t="s">
        <v>151</v>
      </c>
      <c r="D18" s="25">
        <v>1700.0</v>
      </c>
      <c r="E18" s="57" t="str">
        <f>HYPERLINK("https://factomize.com/forums/threads/bif-007-identity-did-and-signing-fips.2073/","Link")</f>
        <v>Link</v>
      </c>
      <c r="F18" s="31">
        <v>43710.0</v>
      </c>
      <c r="G18" s="33"/>
      <c r="H18" s="54" t="s">
        <v>68</v>
      </c>
      <c r="I18" s="33"/>
    </row>
    <row r="19">
      <c r="A19" s="51" t="s">
        <v>132</v>
      </c>
      <c r="B19" s="52" t="str">
        <f>HYPERLINK("https://factomize.com/forums/threads/factomize-004-core-development.1949/","Factomize-004")</f>
        <v>Factomize-004</v>
      </c>
      <c r="C19" s="25" t="s">
        <v>153</v>
      </c>
      <c r="D19" s="25">
        <v>5225.0</v>
      </c>
      <c r="E19" s="57" t="str">
        <f>HYPERLINK("https://factomize.com/forums/threads/factomize-004-core-development.2031/unread","Link")</f>
        <v>Link</v>
      </c>
      <c r="F19" s="31">
        <v>43709.0</v>
      </c>
      <c r="G19" s="33"/>
      <c r="H19" s="32" t="s">
        <v>101</v>
      </c>
      <c r="I19" s="12" t="s">
        <v>121</v>
      </c>
    </row>
    <row r="20">
      <c r="A20" s="51" t="s">
        <v>29</v>
      </c>
      <c r="B20" s="52" t="str">
        <f>HYPERLINK("https://factomize.com/forums/threads/factom-inc-015-protocol-development.1950/","Factom-inc-015")</f>
        <v>Factom-inc-015</v>
      </c>
      <c r="C20" s="25" t="s">
        <v>119</v>
      </c>
      <c r="D20" s="25">
        <v>35594.0</v>
      </c>
      <c r="E20" s="57" t="str">
        <f>HYPERLINK("https://factomize.com/forums/threads/factom-inc-015-core-development.2052/","Link")</f>
        <v>Link</v>
      </c>
      <c r="F20" s="31">
        <v>43709.0</v>
      </c>
      <c r="G20" s="33"/>
      <c r="H20" s="32" t="s">
        <v>101</v>
      </c>
      <c r="I20" s="12" t="s">
        <v>121</v>
      </c>
    </row>
    <row r="21">
      <c r="A21" s="51" t="s">
        <v>155</v>
      </c>
      <c r="B21" s="52" t="str">
        <f>HYPERLINK("https://factomize.com/forums/threads/tfa-002-fat-integration-in-tfa-explorer.1953/","TFA-002")</f>
        <v>TFA-002</v>
      </c>
      <c r="C21" s="25" t="s">
        <v>157</v>
      </c>
      <c r="D21" s="25">
        <v>1560.0</v>
      </c>
      <c r="E21" s="57" t="str">
        <f>HYPERLINK("https://factomize.com/forums/threads/tfa-002-fat-integration-in-tfa-explorer.2021/","Link")</f>
        <v>Link</v>
      </c>
      <c r="F21" s="31">
        <v>43708.0</v>
      </c>
      <c r="G21" s="33"/>
      <c r="H21" s="32" t="s">
        <v>101</v>
      </c>
      <c r="I21" s="12" t="s">
        <v>121</v>
      </c>
    </row>
    <row r="22">
      <c r="A22" s="51" t="s">
        <v>158</v>
      </c>
      <c r="B22" s="52" t="str">
        <f>HYPERLINK("https://factomize.com/forums/threads/triall-002-alfresco-dids.1954/","Triall-002")</f>
        <v>Triall-002</v>
      </c>
      <c r="C22" s="25" t="s">
        <v>159</v>
      </c>
      <c r="D22" s="25">
        <v>4500.0</v>
      </c>
      <c r="E22" s="9" t="str">
        <f>HYPERLINK("https://factomize.com/forums/threads/triall-002-alfresco-dids.2207/","Link")</f>
        <v>Link</v>
      </c>
      <c r="F22" s="31">
        <v>43708.0</v>
      </c>
      <c r="G22" s="33"/>
      <c r="H22" s="54" t="s">
        <v>68</v>
      </c>
      <c r="I22" s="33"/>
    </row>
    <row r="23">
      <c r="A23" s="51" t="s">
        <v>69</v>
      </c>
      <c r="B23" s="52" t="str">
        <f>HYPERLINK("https://factomize.com/forums/threads/dbgrow-004-fat-development-3.1959/","DBGrow-004")</f>
        <v>DBGrow-004</v>
      </c>
      <c r="C23" s="25" t="s">
        <v>160</v>
      </c>
      <c r="D23" s="25">
        <v>3972.0</v>
      </c>
      <c r="E23" s="9" t="str">
        <f>HYPERLINK("https://factomize.com/forums/threads/dbgrow-004-fat-development-3.2100/","Link")</f>
        <v>Link</v>
      </c>
      <c r="F23" s="31">
        <v>43708.0</v>
      </c>
      <c r="G23" s="33"/>
      <c r="H23" s="54" t="s">
        <v>68</v>
      </c>
      <c r="I23" s="33"/>
    </row>
    <row r="24">
      <c r="A24" s="51" t="s">
        <v>69</v>
      </c>
      <c r="B24" s="52" t="str">
        <f>HYPERLINK("https://factomize.com/forums/threads/dbgrow-factom-001-fat-smart-contracts.1960/","DBGrow-Factom-001")</f>
        <v>DBGrow-Factom-001</v>
      </c>
      <c r="C24" s="25" t="s">
        <v>161</v>
      </c>
      <c r="D24" s="25">
        <v>4533.0</v>
      </c>
      <c r="E24" s="57" t="str">
        <f>HYPERLINK("https://factomize.com/forums/threads/dbgrow-factom-001-fat-smart-contracts.2029/unread","Link")</f>
        <v>Link</v>
      </c>
      <c r="F24" s="31">
        <v>43708.0</v>
      </c>
      <c r="G24" s="33"/>
      <c r="H24" s="32" t="s">
        <v>101</v>
      </c>
      <c r="I24" s="12" t="s">
        <v>121</v>
      </c>
    </row>
    <row r="25">
      <c r="A25" s="51" t="s">
        <v>62</v>
      </c>
      <c r="B25" s="52" t="str">
        <f>HYPERLINK("https://factomize.com/forums/threads/bif-factomatic-003-verifiable-claims-fip.1961/","BIF-Factomatic-003")</f>
        <v>BIF-Factomatic-003</v>
      </c>
      <c r="C25" s="25" t="s">
        <v>162</v>
      </c>
      <c r="D25" s="25">
        <v>8500.0</v>
      </c>
      <c r="E25" s="57" t="str">
        <f>HYPERLINK("https://factomize.com/forums/threads/bif-factomatic-003-verifiable-credentials-fip.2034/","Link")</f>
        <v>Link</v>
      </c>
      <c r="F25" s="31">
        <v>43715.0</v>
      </c>
      <c r="G25" s="33"/>
      <c r="H25" s="54" t="s">
        <v>68</v>
      </c>
      <c r="I25" s="33"/>
    </row>
    <row r="26">
      <c r="A26" s="51" t="s">
        <v>155</v>
      </c>
      <c r="B26" s="52" t="str">
        <f>HYPERLINK("https://factomize.com/forums/threads/tfa-001-fat-firmware-upgrade-for-ledger-nano-x-s.1956/#post-14853","TFA-001")</f>
        <v>TFA-001</v>
      </c>
      <c r="C26" s="25" t="s">
        <v>163</v>
      </c>
      <c r="D26" s="25">
        <v>4860.0</v>
      </c>
      <c r="E26" s="57" t="str">
        <f>HYPERLINK("https://factomize.com/forums/threads/tfa-001-fat-firmware-upgrade-for-ledger-nano-x-s.2022/","Link")</f>
        <v>Link</v>
      </c>
      <c r="F26" s="31">
        <v>43708.0</v>
      </c>
      <c r="G26" s="33"/>
      <c r="H26" s="54" t="s">
        <v>68</v>
      </c>
      <c r="I26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33.86"/>
    <col customWidth="1" min="3" max="3" width="50.71"/>
    <col customWidth="1" min="5" max="5" width="14.29"/>
    <col customWidth="1" min="6" max="6" width="22.71"/>
    <col customWidth="1" min="7" max="7" width="17.0"/>
    <col customWidth="1" min="8" max="8" width="18.0"/>
    <col customWidth="1" min="9" max="9" width="19.14"/>
  </cols>
  <sheetData>
    <row r="1">
      <c r="A1" s="4" t="s">
        <v>1</v>
      </c>
      <c r="B1" s="4" t="s">
        <v>2</v>
      </c>
      <c r="C1" s="4" t="s">
        <v>3</v>
      </c>
      <c r="D1" s="4" t="s">
        <v>36</v>
      </c>
      <c r="E1" s="4" t="s">
        <v>5</v>
      </c>
      <c r="F1" s="4" t="s">
        <v>91</v>
      </c>
      <c r="G1" s="4" t="s">
        <v>92</v>
      </c>
      <c r="H1" s="4" t="s">
        <v>10</v>
      </c>
      <c r="I1" s="5" t="s">
        <v>12</v>
      </c>
    </row>
    <row r="2">
      <c r="A2" s="26" t="s">
        <v>29</v>
      </c>
      <c r="B2" s="44" t="str">
        <f>HYPERLINK("https://factomize.com/forums/threads/factom-inc-16-oracle-master.2252/","Factom Inc-16")</f>
        <v>Factom Inc-16</v>
      </c>
      <c r="C2" s="28" t="s">
        <v>60</v>
      </c>
      <c r="D2" s="36">
        <v>900.0</v>
      </c>
      <c r="E2" s="9" t="str">
        <f>HYPERLINK("https://factomize.com/forums/threads/factom-inc-16-oracle-master.2315/","Link")</f>
        <v>Link</v>
      </c>
      <c r="F2" s="31">
        <v>43808.0</v>
      </c>
      <c r="G2" s="31"/>
      <c r="H2" s="32" t="s">
        <v>102</v>
      </c>
      <c r="I2" s="33"/>
    </row>
    <row r="3">
      <c r="A3" s="34" t="s">
        <v>29</v>
      </c>
      <c r="B3" s="47" t="str">
        <f>HYPERLINK("https://factomize.com/forums/threads/factom-inc-17-anchor-master.2253/","Factom Inc-17")</f>
        <v>Factom Inc-17</v>
      </c>
      <c r="C3" s="38" t="s">
        <v>55</v>
      </c>
      <c r="D3" s="39">
        <v>660.0</v>
      </c>
      <c r="E3" s="9" t="str">
        <f>HYPERLINK("https://factomize.com/forums/threads/factom-inc-17-anchor-master.2316/","Link")</f>
        <v>Link</v>
      </c>
      <c r="F3" s="31">
        <v>43808.0</v>
      </c>
      <c r="G3" s="31"/>
      <c r="H3" s="32" t="s">
        <v>102</v>
      </c>
      <c r="I3" s="33"/>
    </row>
    <row r="4">
      <c r="A4" s="34" t="s">
        <v>103</v>
      </c>
      <c r="B4" s="47" t="str">
        <f>HYPERLINK("https://factomize.com/forums/threads/the-42nd-factoid-as-centis-bv-brian-deery-nic-r-nolan-bauer-6-guide-compensation.2280/","Guides-6")</f>
        <v>Guides-6</v>
      </c>
      <c r="C4" s="38" t="s">
        <v>104</v>
      </c>
      <c r="D4" s="39">
        <v>9000.0</v>
      </c>
      <c r="E4" s="15" t="s">
        <v>19</v>
      </c>
      <c r="F4" s="12" t="s">
        <v>108</v>
      </c>
      <c r="G4" s="11"/>
      <c r="H4" s="32" t="s">
        <v>101</v>
      </c>
      <c r="I4" s="12" t="s">
        <v>19</v>
      </c>
    </row>
    <row r="5">
      <c r="A5" s="41" t="s">
        <v>109</v>
      </c>
      <c r="B5" s="42" t="str">
        <f>HYPERLINK("https://factomize.com/forums/threads/matt-york-paul-bernier-dbgrow-canonical-ledgers-1-fat-smart-contracts-2-development.2291/","Mark York, Paul Bernier, DBGrow, Canonical Ledgers-2")</f>
        <v>Mark York, Paul Bernier, DBGrow, Canonical Ledgers-2</v>
      </c>
      <c r="C5" s="43" t="s">
        <v>111</v>
      </c>
      <c r="D5" s="43">
        <v>13750.0</v>
      </c>
      <c r="E5" s="9" t="str">
        <f>HYPERLINK("https://factomize.com/forums/threads/matt-york-paul-bernier-dbgrow-canonical-ledgers-1-fat-smart-contracts-2-development.2321/unread","Link")</f>
        <v>Link</v>
      </c>
      <c r="F5" s="45">
        <v>43800.0</v>
      </c>
      <c r="G5" s="11"/>
      <c r="H5" s="32" t="s">
        <v>102</v>
      </c>
      <c r="I5" s="33"/>
    </row>
    <row r="6">
      <c r="A6" s="53" t="s">
        <v>113</v>
      </c>
      <c r="B6" s="55" t="str">
        <f>HYPERLINK("https://factomize.com/forums/threads/go-immutable-2-pr-social-media-management-continuation.2287/","Go-Immutable-2")</f>
        <v>Go-Immutable-2</v>
      </c>
      <c r="C6" s="56" t="s">
        <v>116</v>
      </c>
      <c r="D6" s="56">
        <v>22500.0</v>
      </c>
      <c r="E6" s="9" t="str">
        <f>HYPERLINK("https://factomize.com/forums/threads/go-immutable-2-pr-social-media-management-continuation.2322/unread","Link")</f>
        <v>Link</v>
      </c>
      <c r="F6" s="31">
        <v>43845.0</v>
      </c>
      <c r="G6" s="12"/>
      <c r="H6" s="32" t="s">
        <v>102</v>
      </c>
      <c r="I6" s="33"/>
    </row>
    <row r="7">
      <c r="A7" s="53" t="s">
        <v>38</v>
      </c>
      <c r="B7" s="55" t="str">
        <f>HYPERLINK("https://factomize.com/forums/threads/factom-inc-18-protocol-development.2286/","Factom Inc-18")</f>
        <v>Factom Inc-18</v>
      </c>
      <c r="C7" s="56" t="s">
        <v>119</v>
      </c>
      <c r="D7" s="56">
        <v>38940.0</v>
      </c>
      <c r="E7" s="9" t="str">
        <f>HYPERLINK("https://factomize.com/forums/threads/factom-inc-18-protocol-development.2320/","Link")</f>
        <v>Link</v>
      </c>
      <c r="F7" s="31">
        <v>43808.0</v>
      </c>
      <c r="G7" s="31"/>
      <c r="H7" s="32" t="s">
        <v>102</v>
      </c>
      <c r="I7" s="33"/>
    </row>
    <row r="8">
      <c r="A8" s="53" t="s">
        <v>58</v>
      </c>
      <c r="B8" s="55" t="str">
        <f>HYPERLINK("https://factomize.com/forums/threads/factomize-7-core-and-general-development.2285/","Factomize-7")</f>
        <v>Factomize-7</v>
      </c>
      <c r="C8" s="56" t="s">
        <v>106</v>
      </c>
      <c r="D8" s="56">
        <v>8747.0</v>
      </c>
      <c r="E8" s="9" t="str">
        <f>HYPERLINK("https://factomize.com/forums/threads/factomize-7-core-and-general-development.2317/unread","Link")</f>
        <v>Link</v>
      </c>
      <c r="F8" s="31">
        <v>43799.0</v>
      </c>
      <c r="G8" s="31"/>
      <c r="H8" s="32" t="s">
        <v>102</v>
      </c>
      <c r="I8" s="33"/>
    </row>
    <row r="9">
      <c r="A9" s="53" t="s">
        <v>137</v>
      </c>
      <c r="B9" s="55" t="str">
        <f>HYPERLINK("https://factomize.com/forums/threads/bedrock-solutions-de-facto-crypto-logic-the-factoid-authority-4-factom-open-node-continuity.2284/","Bedrock Solutions, De Facto, Cryptologic, TFA-4")</f>
        <v>Bedrock Solutions, De Facto, Cryptologic, TFA-4</v>
      </c>
      <c r="C9" s="56" t="s">
        <v>81</v>
      </c>
      <c r="D9" s="56">
        <v>1126.0</v>
      </c>
      <c r="E9" s="9" t="str">
        <f>HYPERLINK("https://factomize.com/forums/threads/bedrock-solutions-de-facto-crypto-logic-the-factoid-authority-4-factom-open-node-continuity.2319/","Link")</f>
        <v>Link</v>
      </c>
      <c r="F9" s="31">
        <v>43799.0</v>
      </c>
      <c r="G9" s="33"/>
      <c r="H9" s="32" t="s">
        <v>102</v>
      </c>
      <c r="I9" s="33"/>
    </row>
    <row r="10">
      <c r="A10" s="53" t="s">
        <v>75</v>
      </c>
      <c r="B10" s="55" t="str">
        <f>HYPERLINK("https://factomize.com/forums/threads/marketing-committee-2-rebranding-services.2282/","Marketing Committee-2")</f>
        <v>Marketing Committee-2</v>
      </c>
      <c r="C10" s="56" t="s">
        <v>141</v>
      </c>
      <c r="D10" s="56">
        <v>10000.0</v>
      </c>
      <c r="E10" s="9" t="str">
        <f>HYPERLINK("https://factomize.com/forums/threads/marketing-committee-2-rebranding-services.2324/","Link")</f>
        <v>Link</v>
      </c>
      <c r="F10" s="31">
        <v>43769.0</v>
      </c>
      <c r="G10" s="33"/>
      <c r="H10" s="54" t="s">
        <v>144</v>
      </c>
      <c r="I10" s="33"/>
    </row>
    <row r="11">
      <c r="A11" s="53" t="s">
        <v>145</v>
      </c>
      <c r="B11" s="55" t="str">
        <f>HYPERLINK("https://factomize.com/forums/threads/kompendium-3-rust-client-library-for-the-factom-protocol.2277/","Kompendium-3")</f>
        <v>Kompendium-3</v>
      </c>
      <c r="C11" s="56" t="s">
        <v>164</v>
      </c>
      <c r="D11" s="56">
        <v>2400.0</v>
      </c>
      <c r="E11" s="9" t="str">
        <f>HYPERLINK("https://factomize.com/forums/threads/kompendium-4-rust-client-library-for-the-factom-protocol.2326/unread","Link")</f>
        <v>Link</v>
      </c>
      <c r="F11" s="12" t="s">
        <v>108</v>
      </c>
      <c r="G11" s="33"/>
      <c r="H11" s="32" t="s">
        <v>101</v>
      </c>
      <c r="I11" s="12" t="s">
        <v>19</v>
      </c>
    </row>
    <row r="12">
      <c r="A12" s="53" t="s">
        <v>165</v>
      </c>
      <c r="B12" s="55" t="str">
        <f>HYPERLINK("https://factomize.com/forums/threads/aroundthebox-1-develop-free-excel-add-in.2271/","AroundTheBox-1")</f>
        <v>AroundTheBox-1</v>
      </c>
      <c r="C12" s="56" t="s">
        <v>166</v>
      </c>
      <c r="D12" s="56">
        <v>680.0</v>
      </c>
      <c r="E12" s="9" t="str">
        <f>HYPERLINK("https://factomize.com/forums/threads/aroundthebox-1-develop-free-excel-add-in.2325/","Link")</f>
        <v>Link</v>
      </c>
      <c r="F12" s="31">
        <v>43768.0</v>
      </c>
      <c r="G12" s="31">
        <v>43830.0</v>
      </c>
      <c r="H12" s="54" t="s">
        <v>144</v>
      </c>
      <c r="I12" s="33"/>
    </row>
    <row r="13">
      <c r="A13" s="53" t="s">
        <v>133</v>
      </c>
      <c r="B13" s="55" t="str">
        <f>HYPERLINK("https://factomize.com/forums/threads/sphereon-7-core-development-continuation.2258/","Sphereon-7")</f>
        <v>Sphereon-7</v>
      </c>
      <c r="C13" s="56" t="s">
        <v>135</v>
      </c>
      <c r="D13" s="56">
        <v>8093.0</v>
      </c>
      <c r="E13" s="9" t="str">
        <f>HYPERLINK("https://factomize.com/forums/threads/sphereon-7-core-development-continuation.2318/","Link")</f>
        <v>Link</v>
      </c>
      <c r="F13" s="31">
        <v>43799.0</v>
      </c>
      <c r="G13" s="33"/>
      <c r="H13" s="32" t="s">
        <v>102</v>
      </c>
      <c r="I13" s="33"/>
    </row>
    <row r="14">
      <c r="A14" s="53" t="s">
        <v>167</v>
      </c>
      <c r="B14" s="55" t="str">
        <f>HYPERLINK("https://factomize.com/forums/threads/factoshi-1-graff-a-graphql-wrapper-for-the-factomd-rpc-api.2245/","Factoshi-1")</f>
        <v>Factoshi-1</v>
      </c>
      <c r="C14" s="56" t="s">
        <v>168</v>
      </c>
      <c r="D14" s="56">
        <v>2950.0</v>
      </c>
      <c r="E14" s="15" t="s">
        <v>19</v>
      </c>
      <c r="F14" s="12" t="s">
        <v>108</v>
      </c>
      <c r="G14" s="33"/>
      <c r="H14" s="32" t="s">
        <v>101</v>
      </c>
      <c r="I14" s="12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33.86"/>
    <col customWidth="1" min="3" max="3" width="51.57"/>
    <col customWidth="1" min="5" max="5" width="14.29"/>
    <col customWidth="1" min="6" max="6" width="22.71"/>
    <col customWidth="1" min="7" max="7" width="17.0"/>
    <col customWidth="1" min="8" max="8" width="18.0"/>
    <col customWidth="1" min="9" max="9" width="19.14"/>
  </cols>
  <sheetData>
    <row r="1">
      <c r="A1" s="4" t="s">
        <v>1</v>
      </c>
      <c r="B1" s="4" t="s">
        <v>2</v>
      </c>
      <c r="C1" s="4" t="s">
        <v>3</v>
      </c>
      <c r="D1" s="4" t="s">
        <v>36</v>
      </c>
      <c r="E1" s="4" t="s">
        <v>5</v>
      </c>
      <c r="F1" s="4" t="s">
        <v>91</v>
      </c>
      <c r="G1" s="4" t="s">
        <v>92</v>
      </c>
      <c r="H1" s="4" t="s">
        <v>10</v>
      </c>
      <c r="I1" s="5" t="s">
        <v>12</v>
      </c>
    </row>
    <row r="2">
      <c r="A2" s="26" t="s">
        <v>29</v>
      </c>
      <c r="B2" s="35" t="str">
        <f>HYPERLINK("https://factomize.com/forums/threads/factom-inc-19-oracle-master.2507/unread","Factom Inc-16")</f>
        <v>Factom Inc-16</v>
      </c>
      <c r="C2" s="28" t="s">
        <v>60</v>
      </c>
      <c r="D2" s="36">
        <v>900.0</v>
      </c>
      <c r="E2" s="9" t="str">
        <f>HYPERLINK("https://factomize.com/forums/threads/factom-inc-19-oracle-master.2567/unread","Link")</f>
        <v>Link</v>
      </c>
      <c r="F2" s="31"/>
      <c r="G2" s="31"/>
      <c r="H2" s="32" t="s">
        <v>102</v>
      </c>
      <c r="I2" s="33"/>
    </row>
    <row r="3">
      <c r="A3" s="34" t="s">
        <v>29</v>
      </c>
      <c r="B3" s="37" t="str">
        <f>HYPERLINK("https://factomize.com/forums/threads/factom-inc-20-anchor-master.2509/unread","Factom Inc-17")</f>
        <v>Factom Inc-17</v>
      </c>
      <c r="C3" s="38" t="s">
        <v>55</v>
      </c>
      <c r="D3" s="39">
        <v>660.0</v>
      </c>
      <c r="E3" s="9" t="str">
        <f>HYPERLINK("https://factomize.com/forums/threads/factom-inc-20-anchor-master.2568/unread","Link")</f>
        <v>Link</v>
      </c>
      <c r="F3" s="31"/>
      <c r="G3" s="31"/>
      <c r="H3" s="32" t="s">
        <v>102</v>
      </c>
      <c r="I3" s="33"/>
    </row>
    <row r="4">
      <c r="A4" s="34" t="s">
        <v>103</v>
      </c>
      <c r="B4" s="37" t="str">
        <f>HYPERLINK("https://factomize.com/forums/threads/the-42nd-factoid-as-centis-bv-brian-deery-nic-r-nolan-bauer-7-guide-compensation.2464/unread","Guides-6")</f>
        <v>Guides-6</v>
      </c>
      <c r="C4" s="38" t="s">
        <v>104</v>
      </c>
      <c r="D4" s="39">
        <v>9000.0</v>
      </c>
      <c r="E4" s="15" t="s">
        <v>19</v>
      </c>
      <c r="F4" s="12" t="s">
        <v>19</v>
      </c>
      <c r="G4" s="11"/>
      <c r="H4" s="40" t="s">
        <v>101</v>
      </c>
      <c r="I4" s="12" t="s">
        <v>19</v>
      </c>
    </row>
    <row r="5">
      <c r="A5" s="41" t="s">
        <v>105</v>
      </c>
      <c r="B5" s="42" t="str">
        <f>HYPERLINK("https://factomize.com/forums/threads/factomize-9-core-and-general-development.2527/unread","Factomize-9")</f>
        <v>Factomize-9</v>
      </c>
      <c r="C5" s="43" t="s">
        <v>106</v>
      </c>
      <c r="D5" s="43">
        <v>15769.0</v>
      </c>
      <c r="E5" s="9" t="str">
        <f>HYPERLINK("https://factomize.com/forums/threads/factomize-9-core-and-general-development.2569/unread","Link")</f>
        <v>Link</v>
      </c>
      <c r="F5" s="45"/>
      <c r="G5" s="11"/>
      <c r="H5" s="32" t="s">
        <v>102</v>
      </c>
      <c r="I5" s="33"/>
    </row>
    <row r="6">
      <c r="A6" s="53" t="s">
        <v>107</v>
      </c>
      <c r="B6" s="58" t="str">
        <f>HYPERLINK("https://factomize.com/forums/threads/bedrock-solutions-de-facto-crypto-logic-the-factoid-authority-5-factom-open-node-continuity.2516/","Bedrock Solutions, De Facto Crypto Logic, TFA-5")</f>
        <v>Bedrock Solutions, De Facto Crypto Logic, TFA-5</v>
      </c>
      <c r="C6" s="56" t="s">
        <v>81</v>
      </c>
      <c r="D6" s="56">
        <v>1956.0</v>
      </c>
      <c r="E6" s="20" t="s">
        <v>123</v>
      </c>
      <c r="F6" s="31"/>
      <c r="G6" s="12"/>
      <c r="H6" s="32" t="s">
        <v>102</v>
      </c>
      <c r="I6" s="33"/>
    </row>
    <row r="7">
      <c r="A7" s="53" t="s">
        <v>29</v>
      </c>
      <c r="B7" s="58" t="str">
        <f>HYPERLINK("https://factomize.com/forums/threads/factom-inc-21-protocol-development.2528/unread","Factom Inc-21")</f>
        <v>Factom Inc-21</v>
      </c>
      <c r="C7" s="56" t="s">
        <v>119</v>
      </c>
      <c r="D7" s="56">
        <v>34740.0</v>
      </c>
      <c r="E7" s="9" t="str">
        <f>HYPERLINK("https://factomize.com/forums/threads/factom-inc-21-protocol-development.2570/unread","Link")</f>
        <v>Link</v>
      </c>
      <c r="F7" s="31"/>
      <c r="G7" s="31"/>
      <c r="H7" s="32" t="s">
        <v>102</v>
      </c>
      <c r="I7" s="33"/>
    </row>
    <row r="8">
      <c r="A8" s="53" t="s">
        <v>42</v>
      </c>
      <c r="B8" s="58" t="str">
        <f>HYPERLINK("https://factomize.com/forums/threads/exchange-committee-5-legal-fees-reimbursement.2530/unread","Exchange Committee-5")</f>
        <v>Exchange Committee-5</v>
      </c>
      <c r="C8" s="56" t="s">
        <v>129</v>
      </c>
      <c r="D8" s="56">
        <v>5000.0</v>
      </c>
      <c r="E8" s="20" t="s">
        <v>123</v>
      </c>
      <c r="F8" s="12" t="s">
        <v>19</v>
      </c>
      <c r="G8" s="31"/>
      <c r="H8" s="40" t="s">
        <v>101</v>
      </c>
      <c r="I8" s="12" t="s">
        <v>19</v>
      </c>
    </row>
    <row r="9">
      <c r="A9" s="53" t="s">
        <v>105</v>
      </c>
      <c r="B9" s="58" t="str">
        <f>HYPERLINK("https://factomize.com/forums/threads/factomize-8-ano-promotion-demotion-system.2503/unread","Factomize-8")</f>
        <v>Factomize-8</v>
      </c>
      <c r="C9" s="56" t="s">
        <v>131</v>
      </c>
      <c r="D9" s="56">
        <v>12069.0</v>
      </c>
      <c r="E9" s="9" t="str">
        <f>HYPERLINK("https://factomize.com/forums/threads/factomize-8-ano-promotion-demotion-system.2571/unread","Link")</f>
        <v>Link</v>
      </c>
      <c r="F9" s="31"/>
      <c r="G9" s="33"/>
      <c r="H9" s="32" t="s">
        <v>102</v>
      </c>
      <c r="I9" s="33"/>
    </row>
    <row r="10">
      <c r="A10" s="53" t="s">
        <v>133</v>
      </c>
      <c r="B10" s="58" t="str">
        <f>HYPERLINK("https://factomize.com/forums/threads/sphereon-8-core-development-continuation.2524/unread","Sphereon-8")</f>
        <v>Sphereon-8</v>
      </c>
      <c r="C10" s="56" t="s">
        <v>135</v>
      </c>
      <c r="D10" s="56">
        <v>14909.0</v>
      </c>
      <c r="E10" s="9" t="str">
        <f>HYPERLINK("https://factomize.com/forums/threads/sphereon-8-core-development-continuation.2572/unread","Link")</f>
        <v>Link</v>
      </c>
      <c r="F10" s="31"/>
      <c r="G10" s="33"/>
      <c r="H10" s="32" t="s">
        <v>102</v>
      </c>
      <c r="I10" s="33"/>
    </row>
    <row r="11">
      <c r="A11" s="53" t="s">
        <v>42</v>
      </c>
      <c r="B11" s="60" t="str">
        <f>HYPERLINK("https://factomize.com/forums/threads/exchange-committee-4-g-suite-service.2529/unread","Exchange Committee-4")</f>
        <v>Exchange Committee-4</v>
      </c>
      <c r="C11" s="56" t="s">
        <v>139</v>
      </c>
      <c r="D11" s="56">
        <v>175.0</v>
      </c>
      <c r="E11" s="20" t="s">
        <v>123</v>
      </c>
      <c r="F11" s="12" t="s">
        <v>19</v>
      </c>
      <c r="G11" s="33"/>
      <c r="H11" s="40" t="s">
        <v>101</v>
      </c>
      <c r="I11" s="12" t="s">
        <v>19</v>
      </c>
    </row>
    <row r="12">
      <c r="A12" s="53" t="s">
        <v>140</v>
      </c>
      <c r="B12" s="60" t="str">
        <f>HYPERLINK("https://factomize.com/forums/threads/dbgrow-canonical-ledgers-2-fat-development-4-continuation.2531/","DBGrow, Canonical Ledgers-2")</f>
        <v>DBGrow, Canonical Ledgers-2</v>
      </c>
      <c r="C12" s="56" t="s">
        <v>143</v>
      </c>
      <c r="D12" s="56">
        <v>5448.0</v>
      </c>
      <c r="E12" s="9" t="str">
        <f>HYPERLINK("https://factomize.com/forums/threads/dbgrow-canonical-ledgers-2-fat-development-4-continuation.2573/unread","Link")</f>
        <v>Link</v>
      </c>
      <c r="F12" s="31"/>
      <c r="G12" s="31"/>
      <c r="H12" s="32" t="s">
        <v>102</v>
      </c>
      <c r="I12" s="33"/>
    </row>
    <row r="13">
      <c r="A13" s="53" t="s">
        <v>146</v>
      </c>
      <c r="B13" s="60" t="str">
        <f>HYPERLINK("https://factomize.com/forums/threads/motion-factory-factomize-1-pegnet-explainer-video-backpay-grant.2478/unread","Motion Factory, Factomize-1")</f>
        <v>Motion Factory, Factomize-1</v>
      </c>
      <c r="C13" s="56" t="s">
        <v>148</v>
      </c>
      <c r="D13" s="56">
        <v>800.0</v>
      </c>
      <c r="E13" s="20" t="s">
        <v>123</v>
      </c>
      <c r="F13" s="12" t="s">
        <v>19</v>
      </c>
      <c r="G13" s="33"/>
      <c r="H13" s="40" t="s">
        <v>101</v>
      </c>
      <c r="I13" s="12" t="s">
        <v>19</v>
      </c>
    </row>
    <row r="14">
      <c r="A14" s="53" t="s">
        <v>149</v>
      </c>
      <c r="B14" s="58" t="str">
        <f>HYPERLINK("https://factomize.com/forums/threads/factomatic-1-python-did-library.2532/","Factomatic-1")</f>
        <v>Factomatic-1</v>
      </c>
      <c r="C14" s="56" t="s">
        <v>150</v>
      </c>
      <c r="D14" s="56">
        <v>5500.0</v>
      </c>
      <c r="E14" s="20" t="s">
        <v>123</v>
      </c>
      <c r="F14" s="12" t="s">
        <v>19</v>
      </c>
      <c r="G14" s="33"/>
      <c r="H14" s="40" t="s">
        <v>101</v>
      </c>
      <c r="I14" s="12" t="s">
        <v>19</v>
      </c>
    </row>
    <row r="15">
      <c r="A15" s="53" t="s">
        <v>152</v>
      </c>
      <c r="B15" s="61" t="str">
        <f>HYPERLINK("https://factomize.com/forums/threads/cody-b-2-discord-daily-digest-screenshot-continuation.2506/unread","Cody B-2")</f>
        <v>Cody B-2</v>
      </c>
      <c r="C15" s="56" t="s">
        <v>154</v>
      </c>
      <c r="D15" s="56">
        <v>950.0</v>
      </c>
      <c r="E15" s="20" t="s">
        <v>123</v>
      </c>
      <c r="F15" s="12" t="s">
        <v>19</v>
      </c>
      <c r="G15" s="33"/>
      <c r="H15" s="40" t="s">
        <v>101</v>
      </c>
      <c r="I15" s="12" t="s">
        <v>19</v>
      </c>
    </row>
    <row r="16">
      <c r="A16" s="53" t="s">
        <v>145</v>
      </c>
      <c r="B16" s="61" t="str">
        <f>HYPERLINK("https://factomize.com/forums/threads/kompendium-8-back-pay-further-development-of-open-api-–-client-library-server-expansion.2512/unread","Kompendium-8")</f>
        <v>Kompendium-8</v>
      </c>
      <c r="C16" s="56" t="s">
        <v>156</v>
      </c>
      <c r="D16" s="56">
        <v>730.0</v>
      </c>
      <c r="E16" s="20" t="s">
        <v>123</v>
      </c>
      <c r="F16" s="12" t="s">
        <v>19</v>
      </c>
      <c r="G16" s="33"/>
      <c r="H16" s="40" t="s">
        <v>101</v>
      </c>
      <c r="I16" s="12" t="s">
        <v>19</v>
      </c>
    </row>
  </sheetData>
  <drawing r:id="rId1"/>
</worksheet>
</file>