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cores" sheetId="1" r:id="rId3"/>
    <sheet state="visible" name="Master Scoring Sheet" sheetId="2" r:id="rId4"/>
    <sheet state="visible" name="Guide Canonical Ledgers" sheetId="3" r:id="rId5"/>
    <sheet state="visible" name="Guide Centis BV" sheetId="4" r:id="rId6"/>
    <sheet state="visible" name="Guide DBGrow Inc." sheetId="5" r:id="rId7"/>
    <sheet state="visible" name="Guide Factom Inc" sheetId="6" r:id="rId8"/>
    <sheet state="visible" name="Guide The 42ND Factoid AS" sheetId="7" r:id="rId9"/>
    <sheet state="visible" name="ANO DBGrow" sheetId="8" r:id="rId10"/>
    <sheet state="visible" name="ANO Bedrock Solutions" sheetId="9" r:id="rId11"/>
    <sheet state="visible" name="ANO Blockchain Innovation Found" sheetId="10" r:id="rId12"/>
    <sheet state="visible" name="ANO Blockrock Mining" sheetId="11" r:id="rId13"/>
    <sheet state="visible" name="ANO Building Innovation Managem" sheetId="12" r:id="rId14"/>
    <sheet state="visible" name="ANO CryptoLogic" sheetId="13" r:id="rId15"/>
    <sheet state="visible" name="ANO Cube3" sheetId="14" r:id="rId16"/>
    <sheet state="visible" name="ANO DeFacto" sheetId="15" r:id="rId17"/>
    <sheet state="visible" name="ANO Factomatic" sheetId="16" r:id="rId18"/>
    <sheet state="visible" name="ANO Factomize" sheetId="17" r:id="rId19"/>
    <sheet state="visible" name="ANO Factoshi" sheetId="18" r:id="rId20"/>
    <sheet state="visible" name="ANO Federate This" sheetId="19" r:id="rId21"/>
    <sheet state="visible" name="ANO Go Immutable" sheetId="20" r:id="rId22"/>
    <sheet state="visible" name="ANO Hash-n-Store" sheetId="21" r:id="rId23"/>
    <sheet state="visible" name="ANO Layertech" sheetId="22" r:id="rId24"/>
    <sheet state="visible" name="ANO LUCIAP" sheetId="23" r:id="rId25"/>
    <sheet state="visible" name="ANO Matter of Fact" sheetId="24" r:id="rId26"/>
    <sheet state="visible" name="ANO RewardChain" sheetId="25" r:id="rId27"/>
    <sheet state="visible" name="ANO Stamp-IT" sheetId="26" r:id="rId28"/>
    <sheet state="visible" name="ANO Multicoin" sheetId="27" r:id="rId29"/>
    <sheet state="visible" name="ANO TFA" sheetId="28" r:id="rId30"/>
    <sheet state="visible" name="ANO Canonical Ledgers" sheetId="29" r:id="rId31"/>
    <sheet state="visible" name="ANO Factom Inc." sheetId="30" r:id="rId32"/>
    <sheet state="visible" name="ANO VBIF" sheetId="31" r:id="rId33"/>
    <sheet state="visible" name="ANO Prestige IT" sheetId="32" r:id="rId34"/>
  </sheets>
  <definedNames>
    <definedName hidden="1" localSheetId="0" name="_xlnm._FilterDatabase">'Final Scores'!$B$2:$H$27</definedName>
    <definedName hidden="1" localSheetId="0" name="Z_D91D76A2_49AC_49D5_8CAD_41F99933F3AC_.wvu.FilterData">'Final Scores'!$F$8:$F$27</definedName>
  </definedNames>
  <calcPr/>
  <customWorkbookViews>
    <customWorkbookView activeSheetId="0" maximized="1" tabRatio="600" windowHeight="0" windowWidth="0" guid="{D91D76A2-49AC-49D5-8CAD-41F99933F3AC}" name="Filter 1"/>
  </customWorkbookViews>
</workbook>
</file>

<file path=xl/sharedStrings.xml><?xml version="1.0" encoding="utf-8"?>
<sst xmlns="http://schemas.openxmlformats.org/spreadsheetml/2006/main" count="390" uniqueCount="108">
  <si>
    <t>sn</t>
  </si>
  <si>
    <t xml:space="preserve">Factom Grant Application Round: 2019-01                          FINAL SCORES  </t>
  </si>
  <si>
    <t>Factom Grant Applications Ranking</t>
  </si>
  <si>
    <t>Factom Protocol Doc 153 - Appendix X                                                                                   Scoring Sheet - 2019-01</t>
  </si>
  <si>
    <t>Grant Application Entity</t>
  </si>
  <si>
    <t>Grant number</t>
  </si>
  <si>
    <t>Grant application name</t>
  </si>
  <si>
    <t>FCT Requested</t>
  </si>
  <si>
    <t>Guide: Canonical Ledgers</t>
  </si>
  <si>
    <t>Factom Governance Document Grants</t>
  </si>
  <si>
    <t>Grant application final score                    (lower is better)</t>
  </si>
  <si>
    <t>Approved by Standing Parties</t>
  </si>
  <si>
    <t>Grant awarded</t>
  </si>
  <si>
    <t>Abstain</t>
  </si>
  <si>
    <t>Guide: Centis BV</t>
  </si>
  <si>
    <t>Guide: DBGrow Inc.</t>
  </si>
  <si>
    <t>Guide: Factom Inc</t>
  </si>
  <si>
    <t>Guide: The 42ND Factoid AS</t>
  </si>
  <si>
    <t>ANO: Bedrock Solutions</t>
  </si>
  <si>
    <t>ANO: Blockchain Innovation Foundation</t>
  </si>
  <si>
    <t>ANO: Blockrock Mining</t>
  </si>
  <si>
    <t>ANO: Building Innovation Management</t>
  </si>
  <si>
    <t>ANO: CryptoLogic</t>
  </si>
  <si>
    <t>ANO: Cube3</t>
  </si>
  <si>
    <t>ANO: DBGrow</t>
  </si>
  <si>
    <t>ANO: DeFacto</t>
  </si>
  <si>
    <t>ANO: Factomatic</t>
  </si>
  <si>
    <t>ANO: Factomize</t>
  </si>
  <si>
    <t>Approve</t>
  </si>
  <si>
    <t>ANO: Factoshi</t>
  </si>
  <si>
    <t>ANO: Federate This</t>
  </si>
  <si>
    <t>ANO: Go Immutable</t>
  </si>
  <si>
    <t>ANO: Hash-n-Store</t>
  </si>
  <si>
    <t>ANO: Layertech</t>
  </si>
  <si>
    <t>ANO: LUCIAP</t>
  </si>
  <si>
    <t>ANO: Matter of Fact</t>
  </si>
  <si>
    <t>ANO: RewardChain</t>
  </si>
  <si>
    <t>ANO: Stamp-IT</t>
  </si>
  <si>
    <t>ANO: Multicoin</t>
  </si>
  <si>
    <t>ANO: TFA</t>
  </si>
  <si>
    <t>ANO: Canonical Ledgers</t>
  </si>
  <si>
    <t>Rank</t>
  </si>
  <si>
    <t xml:space="preserve">FCT ahead of this grant </t>
  </si>
  <si>
    <t>ANO: Factom Inc.</t>
  </si>
  <si>
    <t>ANO: VBIF</t>
  </si>
  <si>
    <t>ANO: Prestige IT</t>
  </si>
  <si>
    <t>De Facto</t>
  </si>
  <si>
    <t>Factom Open-source API</t>
  </si>
  <si>
    <t>N/A</t>
  </si>
  <si>
    <t>Triall</t>
  </si>
  <si>
    <t>Document processing and data management application for clinical trials</t>
  </si>
  <si>
    <t>Factom Grant Applications</t>
  </si>
  <si>
    <t>Grant Rank</t>
  </si>
  <si>
    <t>Prestige IT</t>
  </si>
  <si>
    <t>Blockchain Expo Global 2019</t>
  </si>
  <si>
    <t>Telegram Wallet for Factom</t>
  </si>
  <si>
    <t>Exchange Committee</t>
  </si>
  <si>
    <t>Exchange Committee funding</t>
  </si>
  <si>
    <t>Factom Protocol Guides</t>
  </si>
  <si>
    <t>Guide Compensation - 1 Month Extension</t>
  </si>
  <si>
    <t>Factomize LLC</t>
  </si>
  <si>
    <t>Marketing Videos</t>
  </si>
  <si>
    <t>LayerTech</t>
  </si>
  <si>
    <t>Core Development (LayerTech)</t>
  </si>
  <si>
    <t>CryptoLogic, DeFacto, Bedrock Solutions, TFA</t>
  </si>
  <si>
    <t>Factom Open Node Continuity</t>
  </si>
  <si>
    <t>Growth Fixer</t>
  </si>
  <si>
    <t>Marketing Strategy including content</t>
  </si>
  <si>
    <t>Core Development (Factomize)</t>
  </si>
  <si>
    <t>Stamp-IT</t>
  </si>
  <si>
    <t>IoT gateway for Factom</t>
  </si>
  <si>
    <t>Marketing Committee</t>
  </si>
  <si>
    <t>Hackathon Grant</t>
  </si>
  <si>
    <t>Blockchain Innovation Foundation</t>
  </si>
  <si>
    <t>Core Development (BIF#1)</t>
  </si>
  <si>
    <t>Core Development (BIF#2)</t>
  </si>
  <si>
    <t>Sphereon</t>
  </si>
  <si>
    <t>Core Development Project Manager</t>
  </si>
  <si>
    <t>Explainer Video Grant</t>
  </si>
  <si>
    <t>Factom Inc.</t>
  </si>
  <si>
    <t>Protocol Development (2019-03-09 -&gt; 2019-06-09)</t>
  </si>
  <si>
    <t>Protocol Development Continuation (2018-12-09 -&gt; 2019-03-09)</t>
  </si>
  <si>
    <t>Bedrock, DeFacto</t>
  </si>
  <si>
    <t>Factom Open Node Enhancement</t>
  </si>
  <si>
    <t>DBGrow, Luciap, Canonical Ledgers</t>
  </si>
  <si>
    <t>FAT Protocol Development</t>
  </si>
  <si>
    <t>Scoring-sheet-verified-to-be-correct:</t>
  </si>
  <si>
    <t>Factom Grant Applications                                                                      Approve(True)/Disapprove(False)</t>
  </si>
  <si>
    <t>Anchor Master Continuation (2018-12-09 -&gt; 2019-03-09)</t>
  </si>
  <si>
    <t>Anchor Master (2019-03-09 -&gt; 2019-06-09)</t>
  </si>
  <si>
    <t>Oracle Master Continuation (2018-12-09 -&gt; 2019-03-09)</t>
  </si>
  <si>
    <t>Oracle Master (2019-03-09 -&gt; 2019-06-09)</t>
  </si>
  <si>
    <t>Guide compensation (2018-12-07 -&gt; 2019-03-07)</t>
  </si>
  <si>
    <t>STATISTICS</t>
  </si>
  <si>
    <t>Amount of FCT available to be awarded:</t>
  </si>
  <si>
    <t>Amount of FCT awarded:</t>
  </si>
  <si>
    <t>Number of grants awarded:</t>
  </si>
  <si>
    <t>ANO: Blockchain Innvoation Foundation</t>
  </si>
  <si>
    <t>Scoring Methodology Ranking</t>
  </si>
  <si>
    <t>Scoring Methodology Approve/Disapprove</t>
  </si>
  <si>
    <t>1. Enter data from submitted PDFs from standing parties into associated sheets.</t>
  </si>
  <si>
    <t xml:space="preserve">2. Remove "Grant Rank" for abstained grants in each scoring sheet.  </t>
  </si>
  <si>
    <t>2. Verify that True/False in this sheet are correct and tick the boxes to verify.</t>
  </si>
  <si>
    <t>3. Verify that the scores in this sheet are correct and tick the boxes to verify.</t>
  </si>
  <si>
    <t>3. Approve/Disapprove is automatically calculated and transferred to seet "FINAL SCORES".</t>
  </si>
  <si>
    <t>4. Scores are automatically calculated and transferred to sheet "FINAL SCORES".</t>
  </si>
  <si>
    <t>5. Sort sheet "FINAL SCORES" by score column, excluding "governance grants".. Lower number equals most support.</t>
  </si>
  <si>
    <t>ANO: The Factoid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</si>
</sst>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name val="Arial"/>
    </font>
    <font>
      <b/>
      <u/>
      <sz val="14.0"/>
    </font>
    <font>
      <b/>
      <sz val="18.0"/>
    </font>
    <font/>
    <font>
      <b/>
      <sz val="14.0"/>
    </font>
    <font>
      <b/>
      <sz val="18.0"/>
      <color rgb="FF000000"/>
      <name val="Arial"/>
    </font>
    <font>
      <b/>
      <sz val="12.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8.0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b/>
      <u/>
      <sz val="14.0"/>
    </font>
    <font>
      <u/>
      <color rgb="FF1155CC"/>
      <name val="Arial"/>
    </font>
    <font>
      <b/>
      <u/>
      <sz val="14.0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b/>
      <u/>
      <sz val="14.0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u/>
      <sz val="14.0"/>
    </font>
    <font>
      <b/>
      <u/>
      <sz val="14.0"/>
    </font>
    <font>
      <b/>
      <u/>
    </font>
    <font>
      <sz val="8.0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readingOrder="0"/>
    </xf>
    <xf borderId="0" fillId="3" fontId="3" numFmtId="0" xfId="0" applyAlignment="1" applyFont="1">
      <alignment horizontal="center" readingOrder="0" shrinkToFit="0" vertical="center" wrapText="1"/>
    </xf>
    <xf borderId="1" fillId="0" fontId="4" numFmtId="0" xfId="0" applyBorder="1" applyFont="1"/>
    <xf borderId="0" fillId="3" fontId="4" numFmtId="0" xfId="0" applyFont="1"/>
    <xf borderId="0" fillId="4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shrinkToFit="0" wrapText="1"/>
    </xf>
    <xf borderId="2" fillId="5" fontId="7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0" fillId="4" fontId="4" numFmtId="0" xfId="0" applyFont="1"/>
    <xf borderId="1" fillId="6" fontId="8" numFmtId="0" xfId="0" applyAlignment="1" applyBorder="1" applyFill="1" applyFont="1">
      <alignment horizontal="center" readingOrder="0" shrinkToFit="0" vertical="center" wrapText="1"/>
    </xf>
    <xf borderId="2" fillId="7" fontId="7" numFmtId="0" xfId="0" applyAlignment="1" applyBorder="1" applyFill="1" applyFont="1">
      <alignment horizontal="center" readingOrder="0" shrinkToFit="0" vertical="center" wrapText="1"/>
    </xf>
    <xf borderId="2" fillId="5" fontId="7" numFmtId="0" xfId="0" applyAlignment="1" applyBorder="1" applyFont="1">
      <alignment horizontal="center" readingOrder="0" shrinkToFit="0" vertical="center" wrapText="1"/>
    </xf>
    <xf borderId="2" fillId="7" fontId="7" numFmtId="0" xfId="0" applyAlignment="1" applyBorder="1" applyFont="1">
      <alignment horizontal="center" shrinkToFit="0" vertical="center" wrapText="1"/>
    </xf>
    <xf borderId="1" fillId="8" fontId="7" numFmtId="0" xfId="0" applyAlignment="1" applyBorder="1" applyFill="1" applyFont="1">
      <alignment horizontal="center" shrinkToFit="0" wrapText="1"/>
    </xf>
    <xf borderId="1" fillId="9" fontId="9" numFmtId="0" xfId="0" applyAlignment="1" applyBorder="1" applyFill="1" applyFont="1">
      <alignment horizontal="center" shrinkToFit="0" wrapText="1"/>
    </xf>
    <xf borderId="2" fillId="7" fontId="4" numFmtId="0" xfId="0" applyAlignment="1" applyBorder="1" applyFont="1">
      <alignment horizontal="center" readingOrder="0" shrinkToFit="0" vertical="center" wrapText="1"/>
    </xf>
    <xf borderId="1" fillId="8" fontId="9" numFmtId="0" xfId="0" applyAlignment="1" applyBorder="1" applyFont="1">
      <alignment horizontal="center" shrinkToFit="0" wrapText="1"/>
    </xf>
    <xf borderId="2" fillId="5" fontId="10" numFmtId="0" xfId="0" applyAlignment="1" applyBorder="1" applyFont="1">
      <alignment horizontal="center" readingOrder="0" shrinkToFit="0" vertical="center" wrapText="1"/>
    </xf>
    <xf borderId="4" fillId="7" fontId="4" numFmtId="0" xfId="0" applyAlignment="1" applyBorder="1" applyFont="1">
      <alignment horizontal="center" readingOrder="0" shrinkToFit="0" vertical="center" wrapText="1"/>
    </xf>
    <xf borderId="3" fillId="8" fontId="7" numFmtId="0" xfId="0" applyAlignment="1" applyBorder="1" applyFont="1">
      <alignment horizontal="center" shrinkToFit="0" wrapText="1"/>
    </xf>
    <xf borderId="5" fillId="7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10" fontId="11" numFmtId="0" xfId="0" applyAlignment="1" applyBorder="1" applyFill="1" applyFont="1">
      <alignment horizontal="center" readingOrder="0" shrinkToFit="0" vertical="center" wrapText="1"/>
    </xf>
    <xf borderId="2" fillId="9" fontId="12" numFmtId="0" xfId="0" applyAlignment="1" applyBorder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2" fillId="1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9" fontId="4" numFmtId="0" xfId="0" applyAlignment="1" applyFont="1">
      <alignment readingOrder="0"/>
    </xf>
    <xf borderId="2" fillId="9" fontId="1" numFmtId="0" xfId="0" applyAlignment="1" applyBorder="1" applyFont="1">
      <alignment horizontal="center" vertical="bottom"/>
    </xf>
    <xf borderId="0" fillId="9" fontId="4" numFmtId="0" xfId="0" applyAlignment="1" applyFont="1">
      <alignment horizontal="center"/>
    </xf>
    <xf borderId="0" fillId="11" fontId="1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2" fillId="9" fontId="1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2" fillId="10" fontId="15" numFmtId="0" xfId="0" applyAlignment="1" applyBorder="1" applyFont="1">
      <alignment horizontal="center" readingOrder="0" vertical="center"/>
    </xf>
    <xf borderId="2" fillId="12" fontId="16" numFmtId="0" xfId="0" applyAlignment="1" applyBorder="1" applyFill="1" applyFont="1">
      <alignment horizontal="center" readingOrder="0" vertical="center"/>
    </xf>
    <xf borderId="6" fillId="8" fontId="7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8" fontId="9" numFmtId="0" xfId="0" applyAlignment="1" applyBorder="1" applyFont="1">
      <alignment horizontal="center" shrinkToFit="0" vertical="center" wrapText="1"/>
    </xf>
    <xf borderId="2" fillId="10" fontId="17" numFmtId="0" xfId="0" applyAlignment="1" applyBorder="1" applyFont="1">
      <alignment horizontal="center" shrinkToFit="0" vertical="center" wrapText="1"/>
    </xf>
    <xf borderId="8" fillId="8" fontId="7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2" fillId="10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wrapText="1"/>
    </xf>
    <xf borderId="0" fillId="9" fontId="1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10" fontId="1" numFmtId="0" xfId="0" applyAlignment="1" applyBorder="1" applyFont="1">
      <alignment horizontal="center" vertical="center"/>
    </xf>
    <xf borderId="2" fillId="10" fontId="18" numFmtId="0" xfId="0" applyAlignment="1" applyBorder="1" applyFont="1">
      <alignment horizontal="center" shrinkToFit="0" vertical="center" wrapText="1"/>
    </xf>
    <xf borderId="2" fillId="0" fontId="19" numFmtId="0" xfId="0" applyAlignment="1" applyBorder="1" applyFont="1">
      <alignment horizontal="center" readingOrder="0" shrinkToFit="0" vertical="center" wrapText="1"/>
    </xf>
    <xf borderId="2" fillId="10" fontId="1" numFmtId="0" xfId="0" applyAlignment="1" applyBorder="1" applyFont="1">
      <alignment horizontal="center" readingOrder="0" shrinkToFit="0" vertical="center" wrapText="1"/>
    </xf>
    <xf borderId="2" fillId="0" fontId="20" numFmtId="4" xfId="0" applyAlignment="1" applyBorder="1" applyFont="1" applyNumberFormat="1">
      <alignment horizontal="center" readingOrder="0" vertical="center"/>
    </xf>
    <xf borderId="0" fillId="11" fontId="1" numFmtId="0" xfId="0" applyFont="1"/>
    <xf borderId="0" fillId="0" fontId="4" numFmtId="0" xfId="0" applyAlignment="1" applyFont="1">
      <alignment horizontal="center" vertical="center"/>
    </xf>
    <xf borderId="2" fillId="10" fontId="21" numFmtId="0" xfId="0" applyAlignment="1" applyBorder="1" applyFont="1">
      <alignment horizontal="center" vertical="center"/>
    </xf>
    <xf borderId="11" fillId="10" fontId="4" numFmtId="0" xfId="0" applyAlignment="1" applyBorder="1" applyFont="1">
      <alignment horizontal="right" readingOrder="0"/>
    </xf>
    <xf borderId="4" fillId="0" fontId="4" numFmtId="0" xfId="0" applyBorder="1" applyFont="1"/>
    <xf borderId="5" fillId="0" fontId="4" numFmtId="0" xfId="0" applyBorder="1" applyFont="1"/>
    <xf borderId="0" fillId="10" fontId="4" numFmtId="0" xfId="0" applyAlignment="1" applyFont="1">
      <alignment readingOrder="0"/>
    </xf>
    <xf borderId="0" fillId="4" fontId="5" numFmtId="0" xfId="0" applyAlignment="1" applyFont="1">
      <alignment horizontal="center" readingOrder="0" shrinkToFit="0" vertical="center" wrapText="1"/>
    </xf>
    <xf borderId="2" fillId="13" fontId="1" numFmtId="0" xfId="0" applyAlignment="1" applyBorder="1" applyFill="1" applyFont="1">
      <alignment horizontal="center" shrinkToFit="0" wrapText="1"/>
    </xf>
    <xf borderId="2" fillId="13" fontId="22" numFmtId="0" xfId="0" applyAlignment="1" applyBorder="1" applyFont="1">
      <alignment horizontal="center" readingOrder="0" shrinkToFit="0" wrapText="1"/>
    </xf>
    <xf borderId="2" fillId="13" fontId="1" numFmtId="0" xfId="0" applyAlignment="1" applyBorder="1" applyFont="1">
      <alignment horizontal="center" readingOrder="0" shrinkToFit="0" wrapText="1"/>
    </xf>
    <xf borderId="0" fillId="0" fontId="4" numFmtId="0" xfId="0" applyFont="1"/>
    <xf borderId="2" fillId="10" fontId="1" numFmtId="0" xfId="0" applyAlignment="1" applyBorder="1" applyFont="1">
      <alignment horizontal="center" shrinkToFit="0" wrapText="1"/>
    </xf>
    <xf borderId="2" fillId="10" fontId="23" numFmtId="0" xfId="0" applyAlignment="1" applyBorder="1" applyFont="1">
      <alignment horizontal="center" readingOrder="0" shrinkToFit="0" wrapText="1"/>
    </xf>
    <xf borderId="2" fillId="10" fontId="1" numFmtId="0" xfId="0" applyAlignment="1" applyBorder="1" applyFont="1">
      <alignment horizontal="center" readingOrder="0" shrinkToFit="0" wrapText="1"/>
    </xf>
    <xf borderId="2" fillId="14" fontId="1" numFmtId="0" xfId="0" applyAlignment="1" applyBorder="1" applyFill="1" applyFont="1">
      <alignment horizontal="center" readingOrder="0" shrinkToFit="0" vertical="center" wrapText="1"/>
    </xf>
    <xf borderId="2" fillId="14" fontId="24" numFmtId="0" xfId="0" applyAlignment="1" applyBorder="1" applyFont="1">
      <alignment horizontal="center" readingOrder="0" shrinkToFit="0" vertical="center" wrapText="1"/>
    </xf>
    <xf borderId="2" fillId="14" fontId="25" numFmtId="4" xfId="0" applyAlignment="1" applyBorder="1" applyFont="1" applyNumberFormat="1">
      <alignment horizontal="center" readingOrder="0" vertical="center"/>
    </xf>
    <xf borderId="2" fillId="14" fontId="26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3" fontId="27" numFmtId="0" xfId="0" applyAlignment="1" applyFont="1">
      <alignment horizontal="center" readingOrder="0" vertical="center"/>
    </xf>
    <xf borderId="0" fillId="3" fontId="4" numFmtId="0" xfId="0" applyAlignment="1" applyFont="1">
      <alignment horizontal="right" readingOrder="0" vertical="center"/>
    </xf>
    <xf borderId="0" fillId="3" fontId="4" numFmtId="3" xfId="0" applyAlignment="1" applyFont="1" applyNumberForma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15" fontId="4" numFmtId="49" xfId="0" applyAlignment="1" applyFill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42.0"/>
    <col customWidth="1" min="3" max="3" width="61.57"/>
    <col customWidth="1" min="4" max="4" width="64.86"/>
    <col customWidth="1" min="5" max="5" width="16.29"/>
    <col customWidth="1" min="6" max="6" width="23.14"/>
    <col customWidth="1" min="7" max="7" width="17.57"/>
    <col customWidth="1" min="8" max="8" width="18.14"/>
    <col customWidth="1" min="9" max="9" width="10.71"/>
    <col customWidth="1" min="10" max="10" width="26.57"/>
  </cols>
  <sheetData>
    <row r="1" ht="59.25" customHeight="1">
      <c r="A1" s="2"/>
      <c r="B1" s="5" t="s">
        <v>1</v>
      </c>
      <c r="I1" s="7"/>
      <c r="J1" s="7"/>
    </row>
    <row r="2">
      <c r="B2" s="10" t="s">
        <v>4</v>
      </c>
      <c r="C2" s="10" t="s">
        <v>5</v>
      </c>
      <c r="D2" s="10" t="s">
        <v>6</v>
      </c>
      <c r="E2" s="15" t="s">
        <v>7</v>
      </c>
      <c r="F2" s="15" t="s">
        <v>10</v>
      </c>
      <c r="G2" s="15" t="s">
        <v>11</v>
      </c>
      <c r="H2" s="21" t="s">
        <v>12</v>
      </c>
      <c r="I2" s="15" t="s">
        <v>41</v>
      </c>
      <c r="J2" s="15" t="s">
        <v>42</v>
      </c>
    </row>
    <row r="3">
      <c r="B3" s="25" t="str">
        <f>'Master Scoring Sheet'!B27</f>
        <v>Factom Inc.</v>
      </c>
      <c r="C3" s="27" t="str">
        <f>'Master Scoring Sheet'!C27</f>
        <v>FACTOM-GRANT-FACTOM, INC-008</v>
      </c>
      <c r="D3" s="32" t="str">
        <f>'Master Scoring Sheet'!D27</f>
        <v>Anchor Master Continuation (2018-12-09 -&gt; 2019-03-09)</v>
      </c>
      <c r="E3" s="32">
        <f>'Master Scoring Sheet'!E27</f>
        <v>660</v>
      </c>
      <c r="F3" s="36" t="s">
        <v>48</v>
      </c>
      <c r="G3" s="39" t="b">
        <f>iferror(if((countif('Master Scoring Sheet'!F27:AI27, "TRUE") / (countif('Master Scoring Sheet'!F27:AI27, "TRUE") + countif('Master Scoring Sheet'!F27:AI27, "FALSE"))) &gt;= 0.6, TRUE, FALSE), FALSE)</f>
        <v>1</v>
      </c>
      <c r="H3" s="39" t="b">
        <v>1</v>
      </c>
      <c r="I3" s="35">
        <v>1.0</v>
      </c>
      <c r="J3" s="35">
        <f t="array" ref="J3">sum(if(I$3:I$28&lt;I3,E$3:E$28,0))</f>
        <v>0</v>
      </c>
    </row>
    <row r="4">
      <c r="B4" s="25" t="str">
        <f>'Master Scoring Sheet'!B28</f>
        <v>Factom Inc.</v>
      </c>
      <c r="C4" s="27" t="str">
        <f>'Master Scoring Sheet'!C28</f>
        <v>FACTOM-GRANT-FACTOM, INC-011</v>
      </c>
      <c r="D4" s="32" t="str">
        <f>'Master Scoring Sheet'!D28</f>
        <v>Anchor Master (2019-03-09 -&gt; 2019-06-09)</v>
      </c>
      <c r="E4" s="32">
        <f>'Master Scoring Sheet'!E28</f>
        <v>660</v>
      </c>
      <c r="F4" s="36" t="s">
        <v>48</v>
      </c>
      <c r="G4" s="39" t="b">
        <f>iferror(if((countif('Master Scoring Sheet'!F28:AI28, "TRUE") / (countif('Master Scoring Sheet'!F28:AI28, "TRUE") + countif('Master Scoring Sheet'!F28:AI28, "FALSE"))) &gt;= 0.6, TRUE, FALSE), FALSE)</f>
        <v>1</v>
      </c>
      <c r="H4" s="39" t="b">
        <v>1</v>
      </c>
      <c r="I4" s="50">
        <v>2.0</v>
      </c>
      <c r="J4" s="50">
        <f t="array" ref="J4">sum(if(I$3:I$28&lt;I4,E$3:E$28,0))</f>
        <v>660</v>
      </c>
    </row>
    <row r="5">
      <c r="B5" s="25" t="str">
        <f>'Master Scoring Sheet'!B29</f>
        <v>Factom Inc.</v>
      </c>
      <c r="C5" s="27" t="str">
        <f>'Master Scoring Sheet'!C29</f>
        <v>FACTOM-GRANT-FACTOM, INC-007</v>
      </c>
      <c r="D5" s="32" t="str">
        <f>'Master Scoring Sheet'!D29</f>
        <v>Oracle Master Continuation (2018-12-09 -&gt; 2019-03-09)</v>
      </c>
      <c r="E5" s="32">
        <f>'Master Scoring Sheet'!E29</f>
        <v>900</v>
      </c>
      <c r="F5" s="36" t="s">
        <v>48</v>
      </c>
      <c r="G5" s="39" t="b">
        <f>iferror(if((countif('Master Scoring Sheet'!F29:AI29, "TRUE") / (countif('Master Scoring Sheet'!F29:AI29, "TRUE") + countif('Master Scoring Sheet'!F29:AI29, "FALSE"))) &gt;= 0.6, TRUE, FALSE), FALSE)</f>
        <v>1</v>
      </c>
      <c r="H5" s="39" t="b">
        <v>1</v>
      </c>
      <c r="I5" s="50">
        <v>3.0</v>
      </c>
      <c r="J5" s="50">
        <f t="array" ref="J5">sum(if(I$3:I$28&lt;I5,E$3:E$28,0))</f>
        <v>1320</v>
      </c>
    </row>
    <row r="6">
      <c r="B6" s="25" t="str">
        <f>'Master Scoring Sheet'!B30</f>
        <v>Factom Inc.</v>
      </c>
      <c r="C6" s="27" t="str">
        <f>'Master Scoring Sheet'!C30</f>
        <v>FACTOM-GRANT-FACTOM, INC-010</v>
      </c>
      <c r="D6" s="32" t="str">
        <f>'Master Scoring Sheet'!D30</f>
        <v>Oracle Master (2019-03-09 -&gt; 2019-06-09)</v>
      </c>
      <c r="E6" s="32">
        <f>'Master Scoring Sheet'!E30</f>
        <v>900</v>
      </c>
      <c r="F6" s="36" t="s">
        <v>48</v>
      </c>
      <c r="G6" s="39" t="b">
        <f>iferror(if((countif('Master Scoring Sheet'!F30:AI30, "TRUE") / (countif('Master Scoring Sheet'!F30:AI30, "TRUE") + countif('Master Scoring Sheet'!F30:AI30, "FALSE"))) &gt;= 0.6, TRUE, FALSE), FALSE)</f>
        <v>1</v>
      </c>
      <c r="H6" s="39" t="b">
        <v>1</v>
      </c>
      <c r="I6" s="50">
        <v>4.0</v>
      </c>
      <c r="J6" s="50">
        <f t="array" ref="J6">sum(if(I$3:I$28&lt;I6,E$3:E$28,0))</f>
        <v>2220</v>
      </c>
    </row>
    <row r="7">
      <c r="B7" s="25" t="str">
        <f>'Master Scoring Sheet'!B31</f>
        <v>Factom Protocol Guides</v>
      </c>
      <c r="C7" s="27" t="str">
        <f>'Master Scoring Sheet'!C31</f>
        <v>FACTOM-GRANT-GUIDES-003</v>
      </c>
      <c r="D7" s="32" t="str">
        <f>'Master Scoring Sheet'!D31</f>
        <v>Guide compensation (2018-12-07 -&gt; 2019-03-07)</v>
      </c>
      <c r="E7" s="32">
        <f>'Master Scoring Sheet'!E31</f>
        <v>8400</v>
      </c>
      <c r="F7" s="36" t="s">
        <v>48</v>
      </c>
      <c r="G7" s="39" t="b">
        <f>iferror(if((countif('Master Scoring Sheet'!F31:AI31, "TRUE") / (countif('Master Scoring Sheet'!F31:AI31, "TRUE") + countif('Master Scoring Sheet'!F31:AI31, "FALSE"))) &gt;= 0.6, TRUE, FALSE), FALSE)</f>
        <v>1</v>
      </c>
      <c r="H7" s="39" t="b">
        <v>1</v>
      </c>
      <c r="I7" s="50">
        <v>5.0</v>
      </c>
      <c r="J7" s="50">
        <f t="array" ref="J7">sum(if(I$3:I$28&lt;I7,E$3:E$28,0))</f>
        <v>3120</v>
      </c>
    </row>
    <row r="8">
      <c r="B8" s="25" t="str">
        <f>'Master Scoring Sheet'!B50</f>
        <v>Factom Inc.</v>
      </c>
      <c r="C8" s="53" t="str">
        <f>'Master Scoring Sheet'!C50</f>
        <v>FACTOM-GRANT-FACTOM, INC-009</v>
      </c>
      <c r="D8" s="25" t="str">
        <f>'Master Scoring Sheet'!D50</f>
        <v>Protocol Development Continuation (2018-12-09 -&gt; 2019-03-09)</v>
      </c>
      <c r="E8" s="25">
        <f>'Master Scoring Sheet'!E50</f>
        <v>29440</v>
      </c>
      <c r="F8" s="55">
        <f>iferror(sum('Master Scoring Sheet'!F21:AI21)/countif('Master Scoring Sheet'!F21:AI21, "&gt;0"), "N/A")</f>
        <v>4.392857143</v>
      </c>
      <c r="G8" s="39" t="b">
        <f>iferror(if((countif('Master Scoring Sheet'!F50:AI50, "TRUE") / (countif('Master Scoring Sheet'!F50:AI50, "TRUE") + countif('Master Scoring Sheet'!F50:AI50, "FALSE"))) &gt;= 0.6, TRUE, FALSE), FALSE)</f>
        <v>1</v>
      </c>
      <c r="H8" s="39" t="b">
        <v>1</v>
      </c>
      <c r="I8" s="57">
        <f t="shared" ref="I8:I13" si="1">rank(F8,F$8:F$28,1)+5</f>
        <v>6</v>
      </c>
      <c r="J8" s="50">
        <f t="array" ref="J8">sum(if(I$3:I$28&lt;I8,E$3:E$28,0))</f>
        <v>11520</v>
      </c>
    </row>
    <row r="9">
      <c r="B9" s="25" t="str">
        <f>'Master Scoring Sheet'!B42</f>
        <v>Factomize LLC</v>
      </c>
      <c r="C9" s="53" t="str">
        <f>'Master Scoring Sheet'!C42</f>
        <v>FACTOM-GRANT-FACTOMIZE-002</v>
      </c>
      <c r="D9" s="25" t="str">
        <f>'Master Scoring Sheet'!D42</f>
        <v>Core Development (Factomize)</v>
      </c>
      <c r="E9" s="25">
        <f>'Master Scoring Sheet'!E42</f>
        <v>6000</v>
      </c>
      <c r="F9" s="55">
        <f>iferror(sum('Master Scoring Sheet'!F13:AI13)/countif('Master Scoring Sheet'!F13:AI13, "&gt;0"), "N/A")</f>
        <v>4.533333333</v>
      </c>
      <c r="G9" s="39" t="b">
        <f>iferror(if((countif('Master Scoring Sheet'!F42:AI42, "TRUE") / (countif('Master Scoring Sheet'!F42:AI42, "TRUE") + countif('Master Scoring Sheet'!F42:AI42, "FALSE"))) &gt;= 0.6, TRUE, FALSE), FALSE)</f>
        <v>1</v>
      </c>
      <c r="H9" s="39" t="b">
        <v>1</v>
      </c>
      <c r="I9" s="57">
        <f t="shared" si="1"/>
        <v>7</v>
      </c>
      <c r="J9" s="50">
        <f t="array" ref="J9">sum(if(I$3:I$28&lt;I9,E$3:E$28,0))</f>
        <v>40960</v>
      </c>
    </row>
    <row r="10">
      <c r="B10" s="25" t="str">
        <f>'Master Scoring Sheet'!B49</f>
        <v>Factom Inc.</v>
      </c>
      <c r="C10" s="53" t="str">
        <f>'Master Scoring Sheet'!C49</f>
        <v>FACTOM-GRANT-FACTOM, INC-012</v>
      </c>
      <c r="D10" s="25" t="str">
        <f>'Master Scoring Sheet'!D49</f>
        <v>Protocol Development (2019-03-09 -&gt; 2019-06-09)</v>
      </c>
      <c r="E10" s="25">
        <f>'Master Scoring Sheet'!E49</f>
        <v>37259</v>
      </c>
      <c r="F10" s="55">
        <f>iferror(sum('Master Scoring Sheet'!F20:AI20)/countif('Master Scoring Sheet'!F20:AI20, "&gt;0"), "N/A")</f>
        <v>4.821428571</v>
      </c>
      <c r="G10" s="39" t="b">
        <f>iferror(if((countif('Master Scoring Sheet'!F49:AI49, "TRUE") / (countif('Master Scoring Sheet'!F49:AI49, "TRUE") + countif('Master Scoring Sheet'!F49:AI49, "FALSE"))) &gt;= 0.6, TRUE, FALSE), FALSE)</f>
        <v>1</v>
      </c>
      <c r="H10" s="39" t="b">
        <v>1</v>
      </c>
      <c r="I10" s="57">
        <f t="shared" si="1"/>
        <v>8</v>
      </c>
      <c r="J10" s="50">
        <f t="array" ref="J10">sum(if(I$3:I$28&lt;I10,E$3:E$28,0))</f>
        <v>46960</v>
      </c>
    </row>
    <row r="11">
      <c r="B11" s="25" t="str">
        <f>'Master Scoring Sheet'!B52</f>
        <v>DBGrow, Luciap, Canonical Ledgers</v>
      </c>
      <c r="C11" s="53" t="str">
        <f>'Master Scoring Sheet'!C52</f>
        <v>FACTOM-GRANT-DBGROW-LUCIAP-CANONICALLEDGERS-002</v>
      </c>
      <c r="D11" s="25" t="str">
        <f>'Master Scoring Sheet'!D52</f>
        <v>FAT Protocol Development</v>
      </c>
      <c r="E11" s="25">
        <f>'Master Scoring Sheet'!E52</f>
        <v>12700</v>
      </c>
      <c r="F11" s="55">
        <f>iferror(sum('Master Scoring Sheet'!F23:AI23)/countif('Master Scoring Sheet'!F23:AI23, "&gt;0"), "N/A")</f>
        <v>6.034482759</v>
      </c>
      <c r="G11" s="39" t="b">
        <f>iferror(if((countif('Master Scoring Sheet'!F52:AI52, "TRUE") / (countif('Master Scoring Sheet'!F52:AI52, "TRUE") + countif('Master Scoring Sheet'!F52:AI52, "FALSE"))) &gt;= 0.6, TRUE, FALSE), FALSE)</f>
        <v>1</v>
      </c>
      <c r="H11" s="39" t="b">
        <v>1</v>
      </c>
      <c r="I11" s="57">
        <f t="shared" si="1"/>
        <v>9</v>
      </c>
      <c r="J11" s="50">
        <f t="array" ref="J11">sum(if(I$3:I$28&lt;I11,E$3:E$28,0))</f>
        <v>84219</v>
      </c>
    </row>
    <row r="12">
      <c r="B12" s="25" t="str">
        <f>'Master Scoring Sheet'!B45</f>
        <v>Blockchain Innovation Foundation</v>
      </c>
      <c r="C12" s="53" t="str">
        <f>'Master Scoring Sheet'!C45</f>
        <v>FACTOM-GRANT-BIF-004</v>
      </c>
      <c r="D12" s="25" t="str">
        <f>'Master Scoring Sheet'!D45</f>
        <v>Core Development (BIF#1)</v>
      </c>
      <c r="E12" s="25">
        <f>'Master Scoring Sheet'!E45</f>
        <v>500</v>
      </c>
      <c r="F12" s="55">
        <f>iferror(sum('Master Scoring Sheet'!F16:AI16)/countif('Master Scoring Sheet'!F16:AI16, "&gt;0"), "N/A")</f>
        <v>7.344827586</v>
      </c>
      <c r="G12" s="39" t="b">
        <f>iferror(if((countif('Master Scoring Sheet'!F45:AI45, "TRUE") / (countif('Master Scoring Sheet'!F45:AI45, "TRUE") + countif('Master Scoring Sheet'!F45:AI45, "FALSE"))) &gt;= 0.6, TRUE, FALSE), FALSE)</f>
        <v>1</v>
      </c>
      <c r="H12" s="39" t="b">
        <v>1</v>
      </c>
      <c r="I12" s="57">
        <f t="shared" si="1"/>
        <v>10</v>
      </c>
      <c r="J12" s="50">
        <f t="array" ref="J12">sum(if(I$3:I$28&lt;I12,E$3:E$28,0))</f>
        <v>96919</v>
      </c>
    </row>
    <row r="13">
      <c r="B13" s="25" t="str">
        <f>'Master Scoring Sheet'!B44</f>
        <v>Marketing Committee</v>
      </c>
      <c r="C13" s="53" t="str">
        <f>'Master Scoring Sheet'!C44</f>
        <v>FACTOM-GRANT-MARKETING-COMMITEE-003</v>
      </c>
      <c r="D13" s="25" t="str">
        <f>'Master Scoring Sheet'!D44</f>
        <v>Hackathon Grant</v>
      </c>
      <c r="E13" s="25">
        <f>'Master Scoring Sheet'!E44</f>
        <v>3600</v>
      </c>
      <c r="F13" s="55">
        <f>iferror(sum('Master Scoring Sheet'!F15:AI15)/countif('Master Scoring Sheet'!F15:AI15, "&gt;0"), "N/A")</f>
        <v>7.896551724</v>
      </c>
      <c r="G13" s="39" t="b">
        <f>iferror(if((countif('Master Scoring Sheet'!F44:AI44, "TRUE") / (countif('Master Scoring Sheet'!F44:AI44, "TRUE") + countif('Master Scoring Sheet'!F44:AI44, "FALSE"))) &gt;= 0.6, TRUE, FALSE), FALSE)</f>
        <v>1</v>
      </c>
      <c r="H13" s="39" t="b">
        <v>1</v>
      </c>
      <c r="I13" s="57">
        <f t="shared" si="1"/>
        <v>11</v>
      </c>
      <c r="J13" s="50">
        <f t="array" ref="J13">sum(if(I$3:I$28&lt;I13,E$3:E$28,0))</f>
        <v>97419</v>
      </c>
    </row>
    <row r="14">
      <c r="B14" s="25" t="str">
        <f>'Master Scoring Sheet'!B40</f>
        <v>CryptoLogic, DeFacto, Bedrock Solutions, TFA</v>
      </c>
      <c r="C14" s="53" t="str">
        <f>'Master Scoring Sheet'!C40</f>
        <v>BEDROCK-CRYPTOLOGIC-DEFACTO-TFA-002</v>
      </c>
      <c r="D14" s="25" t="str">
        <f>'Master Scoring Sheet'!D40</f>
        <v>Factom Open Node Continuity</v>
      </c>
      <c r="E14" s="25">
        <f>'Master Scoring Sheet'!E40</f>
        <v>545</v>
      </c>
      <c r="F14" s="55">
        <f>iferror(sum('Master Scoring Sheet'!F11:AI11)/countif('Master Scoring Sheet'!F11:AI11, "&gt;0"), "N/A")</f>
        <v>8.814814815</v>
      </c>
      <c r="G14" s="39" t="b">
        <f>iferror(if((countif('Master Scoring Sheet'!F40:AI40, "TRUE") / (countif('Master Scoring Sheet'!F40:AI40, "TRUE") + countif('Master Scoring Sheet'!F40:AI40, "FALSE"))) &gt;= 0.6, TRUE, FALSE), FALSE)</f>
        <v>1</v>
      </c>
      <c r="H14" s="39" t="b">
        <v>1</v>
      </c>
      <c r="I14" s="50">
        <v>12.0</v>
      </c>
      <c r="J14" s="50">
        <f t="array" ref="J14">sum(if(I$3:I$28&lt;I14,E$3:E$28,0))</f>
        <v>101019</v>
      </c>
    </row>
    <row r="15">
      <c r="B15" s="25" t="str">
        <f>'Master Scoring Sheet'!B39</f>
        <v>LayerTech</v>
      </c>
      <c r="C15" s="53" t="str">
        <f>'Master Scoring Sheet'!C39</f>
        <v>FACTOM-GRANT-LAYERTECH-001</v>
      </c>
      <c r="D15" s="25" t="str">
        <f>'Master Scoring Sheet'!D39</f>
        <v>Core Development (LayerTech)</v>
      </c>
      <c r="E15" s="25">
        <f>'Master Scoring Sheet'!E39</f>
        <v>5500</v>
      </c>
      <c r="F15" s="55">
        <f>iferror(sum('Master Scoring Sheet'!F10:AI10)/countif('Master Scoring Sheet'!F10:AI10, "&gt;0"), "N/A")</f>
        <v>8.862068966</v>
      </c>
      <c r="G15" s="39" t="b">
        <f>iferror(if((countif('Master Scoring Sheet'!F39:AI39, "TRUE") / (countif('Master Scoring Sheet'!F39:AI39, "TRUE") + countif('Master Scoring Sheet'!F39:AI39, "FALSE"))) &gt;= 0.6, TRUE, FALSE), FALSE)</f>
        <v>1</v>
      </c>
      <c r="H15" s="39" t="b">
        <v>1</v>
      </c>
      <c r="I15" s="57">
        <f>rank(F15,F$8:F$28,1)+5</f>
        <v>13</v>
      </c>
      <c r="J15" s="50">
        <f t="array" ref="J15">sum(if(I$3:I$28&lt;I15,E$3:E$28,0))</f>
        <v>101564</v>
      </c>
    </row>
    <row r="16">
      <c r="B16" s="25" t="str">
        <f>'Master Scoring Sheet'!B34</f>
        <v>Prestige IT</v>
      </c>
      <c r="C16" s="53" t="str">
        <f>'Master Scoring Sheet'!C34</f>
        <v>FACTOM-GRANT-PRESTIGE-IT-001</v>
      </c>
      <c r="D16" s="25" t="str">
        <f>'Master Scoring Sheet'!D34</f>
        <v>Blockchain Expo Global 2019</v>
      </c>
      <c r="E16" s="25">
        <f>'Master Scoring Sheet'!E34</f>
        <v>682</v>
      </c>
      <c r="F16" s="55">
        <f>iferror(sum('Master Scoring Sheet'!F5:AI5)/countif('Master Scoring Sheet'!F5:AI5, "&gt;0"), "N/A")</f>
        <v>8.896551724</v>
      </c>
      <c r="G16" s="39" t="b">
        <f>iferror(if((countif('Master Scoring Sheet'!F34:AI34, "TRUE") / (countif('Master Scoring Sheet'!F34:AI34, "TRUE") + countif('Master Scoring Sheet'!F34:AI34, "FALSE"))) &gt;= 0.6, TRUE, FALSE), FALSE)</f>
        <v>1</v>
      </c>
      <c r="H16" s="39" t="b">
        <v>1</v>
      </c>
      <c r="I16" s="50">
        <v>14.0</v>
      </c>
      <c r="J16" s="50">
        <f t="array" ref="J16">sum(if(I$3:I$28&lt;I16,E$3:E$28,0))</f>
        <v>107064</v>
      </c>
    </row>
    <row r="17">
      <c r="B17" s="25" t="str">
        <f>'Master Scoring Sheet'!B36</f>
        <v>Exchange Committee</v>
      </c>
      <c r="C17" s="53" t="str">
        <f>'Master Scoring Sheet'!C36</f>
        <v>FACTOM-GRANT-EXCHANGE-COMMITTEE-003</v>
      </c>
      <c r="D17" s="25" t="str">
        <f>'Master Scoring Sheet'!D36</f>
        <v>Exchange Committee funding</v>
      </c>
      <c r="E17" s="25">
        <f>'Master Scoring Sheet'!E36</f>
        <v>5000</v>
      </c>
      <c r="F17" s="55">
        <f>iferror(sum('Master Scoring Sheet'!F7:AI7)/countif('Master Scoring Sheet'!F7:AI7, "&gt;0"), "N/A")</f>
        <v>8.966666667</v>
      </c>
      <c r="G17" s="39" t="b">
        <f>iferror(if((countif('Master Scoring Sheet'!F36:AI36, "TRUE") / (countif('Master Scoring Sheet'!F36:AI36, "TRUE") + countif('Master Scoring Sheet'!F36:AI36, "FALSE"))) &gt;= 0.6, TRUE, FALSE), FALSE)</f>
        <v>1</v>
      </c>
      <c r="H17" s="39" t="b">
        <v>1</v>
      </c>
      <c r="I17" s="50">
        <v>15.0</v>
      </c>
      <c r="J17" s="50">
        <f t="array" ref="J17">sum(if(I$3:I$28&lt;I17,E$3:E$28,0))</f>
        <v>107746</v>
      </c>
    </row>
    <row r="18">
      <c r="B18" s="25" t="str">
        <f>'Master Scoring Sheet'!B32</f>
        <v>De Facto</v>
      </c>
      <c r="C18" s="53" t="str">
        <f>'Master Scoring Sheet'!C32</f>
        <v>FACTOM-GRANT-DEFACTO-001</v>
      </c>
      <c r="D18" s="25" t="str">
        <f>'Master Scoring Sheet'!D32</f>
        <v>Factom Open-source API</v>
      </c>
      <c r="E18" s="25">
        <f>'Master Scoring Sheet'!E32</f>
        <v>7380</v>
      </c>
      <c r="F18" s="55">
        <f>iferror(sum('Master Scoring Sheet'!F3:AI3)/countif('Master Scoring Sheet'!F3:AI3, "&gt;0"), "N/A")</f>
        <v>10.23333333</v>
      </c>
      <c r="G18" s="39" t="b">
        <f>iferror(if((countif('Master Scoring Sheet'!F32:AI32, "TRUE") / (countif('Master Scoring Sheet'!F32:AI32, "TRUE") + countif('Master Scoring Sheet'!F32:AI32, "FALSE"))) &gt;= 0.6, TRUE, FALSE), FALSE)</f>
        <v>1</v>
      </c>
      <c r="H18" s="39" t="b">
        <v>1</v>
      </c>
      <c r="I18" s="50">
        <v>16.0</v>
      </c>
      <c r="J18" s="50">
        <f t="array" ref="J18">sum(if(I$3:I$28&lt;I18,E$3:E$28,0))</f>
        <v>112746</v>
      </c>
    </row>
    <row r="19">
      <c r="B19" s="25" t="str">
        <f>'Master Scoring Sheet'!B48</f>
        <v>Marketing Committee</v>
      </c>
      <c r="C19" s="53" t="str">
        <f>'Master Scoring Sheet'!C48</f>
        <v>FACTOM-GRANT-MARKETING-COMMITEE-002</v>
      </c>
      <c r="D19" s="25" t="str">
        <f>'Master Scoring Sheet'!D48</f>
        <v>Explainer Video Grant</v>
      </c>
      <c r="E19" s="25">
        <f>'Master Scoring Sheet'!E48</f>
        <v>3000</v>
      </c>
      <c r="F19" s="55">
        <f>iferror(sum('Master Scoring Sheet'!F19:AI19)/countif('Master Scoring Sheet'!F19:AI19, "&gt;0"), "N/A")</f>
        <v>10.44827586</v>
      </c>
      <c r="G19" s="39" t="b">
        <f>iferror(if((countif('Master Scoring Sheet'!F48:AI48, "TRUE") / (countif('Master Scoring Sheet'!F48:AI48, "TRUE") + countif('Master Scoring Sheet'!F48:AI48, "FALSE"))) &gt;= 0.6, TRUE, FALSE), FALSE)</f>
        <v>1</v>
      </c>
      <c r="H19" s="39" t="b">
        <v>1</v>
      </c>
      <c r="I19" s="50">
        <v>17.0</v>
      </c>
      <c r="J19" s="50">
        <f t="array" ref="J19">sum(if(I$3:I$28&lt;I19,E$3:E$28,0))</f>
        <v>120126</v>
      </c>
    </row>
    <row r="20">
      <c r="B20" s="25" t="str">
        <f>'Master Scoring Sheet'!B38</f>
        <v>Factomize LLC</v>
      </c>
      <c r="C20" s="53" t="str">
        <f>'Master Scoring Sheet'!C38</f>
        <v>FACTOM-GRANT-FACTOMIZE-001</v>
      </c>
      <c r="D20" s="25" t="str">
        <f>'Master Scoring Sheet'!D38</f>
        <v>Marketing Videos</v>
      </c>
      <c r="E20" s="25">
        <f>'Master Scoring Sheet'!E38</f>
        <v>500</v>
      </c>
      <c r="F20" s="55">
        <f>iferror(sum('Master Scoring Sheet'!F9:AI9)/countif('Master Scoring Sheet'!F9:AI9, "&gt;0"), "N/A")</f>
        <v>11.24137931</v>
      </c>
      <c r="G20" s="39" t="b">
        <f>iferror(if((countif('Master Scoring Sheet'!F38:AI38, "TRUE") / (countif('Master Scoring Sheet'!F38:AI38, "TRUE") + countif('Master Scoring Sheet'!F38:AI38, "FALSE"))) &gt;= 0.6, TRUE, FALSE), FALSE)</f>
        <v>1</v>
      </c>
      <c r="H20" s="39" t="b">
        <v>1</v>
      </c>
      <c r="I20" s="57">
        <f t="shared" ref="I20:I23" si="2">rank(F20,F$8:F$28,1)+5</f>
        <v>18</v>
      </c>
      <c r="J20" s="50">
        <f t="array" ref="J20">sum(if(I$3:I$28&lt;I20,E$3:E$28,0))</f>
        <v>123126</v>
      </c>
    </row>
    <row r="21">
      <c r="B21" s="71" t="str">
        <f>'Master Scoring Sheet'!B51</f>
        <v>Bedrock, DeFacto</v>
      </c>
      <c r="C21" s="72" t="str">
        <f>'Master Scoring Sheet'!C51</f>
        <v>FACTOM-GRANT-BEDROCK-DEFACTO-001</v>
      </c>
      <c r="D21" s="71" t="str">
        <f>'Master Scoring Sheet'!D51</f>
        <v>Factom Open Node Enhancement</v>
      </c>
      <c r="E21" s="71">
        <f>'Master Scoring Sheet'!E51</f>
        <v>1300</v>
      </c>
      <c r="F21" s="73">
        <f>iferror(sum('Master Scoring Sheet'!F22:AI22)/countif('Master Scoring Sheet'!F22:AI22, "&gt;0"), "N/A")</f>
        <v>12</v>
      </c>
      <c r="G21" s="74" t="b">
        <f>iferror(if((countif('Master Scoring Sheet'!F51:AI51, "TRUE") / (countif('Master Scoring Sheet'!F51:AI51, "TRUE") + countif('Master Scoring Sheet'!F51:AI51, "FALSE"))) &gt;= 0.6, TRUE, FALSE), FALSE)</f>
        <v>1</v>
      </c>
      <c r="H21" s="74" t="b">
        <v>0</v>
      </c>
      <c r="I21" s="57">
        <f t="shared" si="2"/>
        <v>19</v>
      </c>
      <c r="J21" s="50">
        <f t="array" ref="J21">sum(if(I$3:I$28&lt;I21,E$3:E$28,0))</f>
        <v>123626</v>
      </c>
    </row>
    <row r="22">
      <c r="B22" s="25" t="str">
        <f>'Master Scoring Sheet'!B33</f>
        <v>Triall</v>
      </c>
      <c r="C22" s="53" t="str">
        <f>'Master Scoring Sheet'!C33</f>
        <v>FACTOM-GRANT-TRIALL-001</v>
      </c>
      <c r="D22" s="25" t="str">
        <f>'Master Scoring Sheet'!D33</f>
        <v>Document processing and data management application for clinical trials</v>
      </c>
      <c r="E22" s="25">
        <f>'Master Scoring Sheet'!E33</f>
        <v>3000</v>
      </c>
      <c r="F22" s="55">
        <f>iferror(sum('Master Scoring Sheet'!F4:AI4)/countif('Master Scoring Sheet'!F4:AI4, "&gt;0"), "N/A")</f>
        <v>14.31034483</v>
      </c>
      <c r="G22" s="39" t="b">
        <f>iferror(if((countif('Master Scoring Sheet'!F33:AI33, "TRUE") / (countif('Master Scoring Sheet'!F33:AI33, "TRUE") + countif('Master Scoring Sheet'!F33:AI33, "FALSE"))) &gt;= 0.6, TRUE, FALSE), FALSE)</f>
        <v>1</v>
      </c>
      <c r="H22" s="39" t="b">
        <v>0</v>
      </c>
      <c r="I22" s="57">
        <f t="shared" si="2"/>
        <v>20</v>
      </c>
      <c r="J22" s="50">
        <f t="array" ref="J22">sum(if(I$3:I$28&lt;I22,E$3:E$28,0))</f>
        <v>124926</v>
      </c>
    </row>
    <row r="23">
      <c r="B23" s="25" t="str">
        <f>'Master Scoring Sheet'!B43</f>
        <v>Stamp-IT</v>
      </c>
      <c r="C23" s="53" t="str">
        <f>'Master Scoring Sheet'!C43</f>
        <v>FACTOM-GRANT-STAMP-IT-001</v>
      </c>
      <c r="D23" s="25" t="str">
        <f>'Master Scoring Sheet'!D43</f>
        <v>IoT gateway for Factom</v>
      </c>
      <c r="E23" s="25">
        <f>'Master Scoring Sheet'!E43</f>
        <v>2800</v>
      </c>
      <c r="F23" s="55">
        <f>iferror(sum('Master Scoring Sheet'!F14:AI14)/countif('Master Scoring Sheet'!F14:AI14, "&gt;0"), "N/A")</f>
        <v>14.57142857</v>
      </c>
      <c r="G23" s="39" t="b">
        <f>iferror(if((countif('Master Scoring Sheet'!F43:AI43, "TRUE") / (countif('Master Scoring Sheet'!F43:AI43, "TRUE") + countif('Master Scoring Sheet'!F43:AI43, "FALSE"))) &gt;= 0.6, TRUE, FALSE), FALSE)</f>
        <v>1</v>
      </c>
      <c r="H23" s="39" t="b">
        <v>0</v>
      </c>
      <c r="I23" s="57">
        <f t="shared" si="2"/>
        <v>21</v>
      </c>
      <c r="J23" s="50">
        <f t="array" ref="J23">sum(if(I$3:I$28&lt;I23,E$3:E$28,0))</f>
        <v>127926</v>
      </c>
    </row>
    <row r="24">
      <c r="B24" s="25" t="str">
        <f>'Master Scoring Sheet'!B46</f>
        <v>Blockchain Innovation Foundation</v>
      </c>
      <c r="C24" s="53" t="str">
        <f>'Master Scoring Sheet'!C46</f>
        <v>FACTOM-GRANT-BIF-005</v>
      </c>
      <c r="D24" s="25" t="str">
        <f>'Master Scoring Sheet'!D46</f>
        <v>Core Development (BIF#2)</v>
      </c>
      <c r="E24" s="25">
        <f>'Master Scoring Sheet'!E46</f>
        <v>5000</v>
      </c>
      <c r="F24" s="55">
        <f>iferror(sum('Master Scoring Sheet'!F17:AI17)/countif('Master Scoring Sheet'!F17:AI17, "&gt;0"), "N/A")</f>
        <v>16</v>
      </c>
      <c r="G24" s="39" t="b">
        <f>iferror(if((countif('Master Scoring Sheet'!F46:AI46, "TRUE") / (countif('Master Scoring Sheet'!F46:AI46, "TRUE") + countif('Master Scoring Sheet'!F46:AI46, "FALSE"))) &gt;= 0.6, TRUE, FALSE), FALSE)</f>
        <v>1</v>
      </c>
      <c r="H24" s="39" t="b">
        <v>0</v>
      </c>
      <c r="I24" s="50">
        <v>22.0</v>
      </c>
      <c r="J24" s="50">
        <f t="array" ref="J24">sum(if(I$3:I$28&lt;I24,E$3:E$28,0))</f>
        <v>130726</v>
      </c>
    </row>
    <row r="25">
      <c r="B25" s="25" t="str">
        <f>'Master Scoring Sheet'!B41</f>
        <v>Growth Fixer</v>
      </c>
      <c r="C25" s="53" t="str">
        <f>'Master Scoring Sheet'!C41</f>
        <v>FACTOM-GRANT-GROWTH-FIXER-001</v>
      </c>
      <c r="D25" s="25" t="str">
        <f>'Master Scoring Sheet'!D41</f>
        <v>Marketing Strategy including content</v>
      </c>
      <c r="E25" s="25">
        <f>'Master Scoring Sheet'!E41</f>
        <v>9350</v>
      </c>
      <c r="F25" s="55">
        <f>iferror(sum('Master Scoring Sheet'!F12:AI12)/countif('Master Scoring Sheet'!F12:AI12, "&gt;0"), "N/A")</f>
        <v>16.03448276</v>
      </c>
      <c r="G25" s="39" t="b">
        <f>iferror(if((countif('Master Scoring Sheet'!F41:AI41, "TRUE") / (countif('Master Scoring Sheet'!F41:AI41, "TRUE") + countif('Master Scoring Sheet'!F41:AI41, "FALSE"))) &gt;= 0.6, TRUE, FALSE), FALSE)</f>
        <v>1</v>
      </c>
      <c r="H25" s="39" t="b">
        <v>0</v>
      </c>
      <c r="I25" s="50">
        <v>23.0</v>
      </c>
      <c r="J25" s="50">
        <f t="array" ref="J25">sum(if(I$3:I$28&lt;I25,E$3:E$28,0))</f>
        <v>135726</v>
      </c>
    </row>
    <row r="26">
      <c r="B26" s="25" t="str">
        <f>'Master Scoring Sheet'!B47</f>
        <v>Sphereon</v>
      </c>
      <c r="C26" s="53" t="str">
        <f>'Master Scoring Sheet'!C47</f>
        <v>FACTOM-GRANT-SPHEREON-XXX</v>
      </c>
      <c r="D26" s="25" t="str">
        <f>'Master Scoring Sheet'!D47</f>
        <v>Core Development Project Manager</v>
      </c>
      <c r="E26" s="25">
        <f>'Master Scoring Sheet'!E47</f>
        <v>2000</v>
      </c>
      <c r="F26" s="55">
        <f>iferror(sum('Master Scoring Sheet'!F18:AI18)/countif('Master Scoring Sheet'!F18:AI18, "&gt;0"), "N/A")</f>
        <v>17</v>
      </c>
      <c r="G26" s="39" t="b">
        <f>iferror(if((countif('Master Scoring Sheet'!F47:AI47, "TRUE") / (countif('Master Scoring Sheet'!F47:AI47, "TRUE") + countif('Master Scoring Sheet'!F47:AI47, "FALSE"))) &gt;= 0.6, TRUE, FALSE), FALSE)</f>
        <v>1</v>
      </c>
      <c r="H26" s="39" t="b">
        <v>0</v>
      </c>
      <c r="I26" s="57">
        <f t="shared" ref="I26:I28" si="3">rank(F26,F$8:F$28,1)+5</f>
        <v>24</v>
      </c>
      <c r="J26" s="50">
        <f t="array" ref="J26">sum(if(I$3:I$28&lt;I26,E$3:E$28,0))</f>
        <v>145076</v>
      </c>
    </row>
    <row r="27">
      <c r="B27" s="25" t="str">
        <f>'Master Scoring Sheet'!B35</f>
        <v>De Facto</v>
      </c>
      <c r="C27" s="53" t="str">
        <f>'Master Scoring Sheet'!C35</f>
        <v>FACTOM-GRANT-DEFACTO-004</v>
      </c>
      <c r="D27" s="25" t="str">
        <f>'Master Scoring Sheet'!D35</f>
        <v>Telegram Wallet for Factom</v>
      </c>
      <c r="E27" s="25">
        <f>'Master Scoring Sheet'!E35</f>
        <v>5909</v>
      </c>
      <c r="F27" s="55">
        <f>iferror(sum('Master Scoring Sheet'!F6:AI6)/countif('Master Scoring Sheet'!F6:AI6, "&gt;0"), "N/A")</f>
        <v>18.72413793</v>
      </c>
      <c r="G27" s="39" t="b">
        <f>iferror(if((countif('Master Scoring Sheet'!F35:AI35, "TRUE") / (countif('Master Scoring Sheet'!F35:AI35, "TRUE") + countif('Master Scoring Sheet'!F35:AI35, "FALSE"))) &gt;= 0.6, TRUE, FALSE), FALSE)</f>
        <v>1</v>
      </c>
      <c r="H27" s="39" t="b">
        <v>0</v>
      </c>
      <c r="I27" s="57">
        <f t="shared" si="3"/>
        <v>25</v>
      </c>
      <c r="J27" s="50">
        <f t="array" ref="J27">sum(if(I$3:I$28&lt;I27,E$3:E$28,0))</f>
        <v>147076</v>
      </c>
    </row>
    <row r="28">
      <c r="B28" s="25" t="str">
        <f>'Master Scoring Sheet'!B37</f>
        <v>Factom Protocol Guides</v>
      </c>
      <c r="C28" s="53" t="str">
        <f>'Master Scoring Sheet'!C37</f>
        <v>FACTOM-GRANT-GUIDES-004</v>
      </c>
      <c r="D28" s="25" t="str">
        <f>'Master Scoring Sheet'!D37</f>
        <v>Guide Compensation - 1 Month Extension</v>
      </c>
      <c r="E28" s="25">
        <f>'Master Scoring Sheet'!E37</f>
        <v>3000</v>
      </c>
      <c r="F28" s="55">
        <f>iferror(sum('Master Scoring Sheet'!F8:AI8)/countif('Master Scoring Sheet'!F8:AI8, "&gt;0"), "N/A")</f>
        <v>19.19230769</v>
      </c>
      <c r="G28" s="39" t="b">
        <f>iferror(if((countif('Master Scoring Sheet'!F37:AI37, "TRUE") / (countif('Master Scoring Sheet'!F37:AI37, "TRUE") + countif('Master Scoring Sheet'!F37:AI37, "FALSE"))) &gt;= 0.6, TRUE, FALSE), FALSE)</f>
        <v>0</v>
      </c>
      <c r="H28" s="39" t="b">
        <v>0</v>
      </c>
      <c r="I28" s="57">
        <f t="shared" si="3"/>
        <v>26</v>
      </c>
      <c r="J28" s="50">
        <f t="array" ref="J28">sum(if(I$3:I$28&lt;I28,E$3:E$28,0))</f>
        <v>152985</v>
      </c>
    </row>
    <row r="29">
      <c r="B29" s="75"/>
      <c r="C29" s="76" t="s">
        <v>93</v>
      </c>
      <c r="E29" s="76"/>
    </row>
    <row r="30">
      <c r="C30" s="77" t="s">
        <v>94</v>
      </c>
      <c r="D30" s="78">
        <v>124000.0</v>
      </c>
    </row>
    <row r="31">
      <c r="C31" s="77" t="s">
        <v>95</v>
      </c>
      <c r="D31" s="79">
        <f>sumifs(E3:E27,H3:H27,True)</f>
        <v>123626</v>
      </c>
    </row>
    <row r="32">
      <c r="C32" s="77" t="s">
        <v>96</v>
      </c>
      <c r="D32" s="79">
        <f>countif(H3:H27,True)</f>
        <v>18</v>
      </c>
    </row>
  </sheetData>
  <autoFilter ref="$B$2:$H$27">
    <sortState ref="B2:H27">
      <sortCondition descending="1" ref="F2:F27"/>
    </sortState>
  </autoFilter>
  <customSheetViews>
    <customSheetView guid="{D91D76A2-49AC-49D5-8CAD-41F99933F3AC}" filter="1" showAutoFilter="1">
      <autoFilter ref="$F$8:$F$27"/>
    </customSheetView>
  </customSheetViews>
  <mergeCells count="5">
    <mergeCell ref="C29:D29"/>
    <mergeCell ref="B29:B32"/>
    <mergeCell ref="B1:H1"/>
    <mergeCell ref="A1:A32"/>
    <mergeCell ref="E29:J32"/>
  </mergeCells>
  <conditionalFormatting sqref="J3:J28">
    <cfRule type="cellIs" dxfId="0" priority="1" operator="lessThanOrEqual">
      <formula>124000</formula>
    </cfRule>
  </conditionalFormatting>
  <conditionalFormatting sqref="J3:J28">
    <cfRule type="cellIs" dxfId="1" priority="2" operator="greaterThanOrEqual">
      <formula>124000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1.43"/>
    <col customWidth="1" min="3" max="3" width="59.14"/>
    <col customWidth="1" min="4" max="4" width="65.71"/>
    <col customWidth="1" min="5" max="5" width="14.71"/>
    <col customWidth="1" min="6" max="6" width="19.29"/>
    <col customWidth="1" min="7" max="7" width="18.14"/>
    <col customWidth="1" min="10" max="10" width="15.57"/>
    <col customWidth="1" min="12" max="12" width="15.43"/>
    <col customWidth="1" min="14" max="14" width="14.14"/>
  </cols>
  <sheetData>
    <row r="1">
      <c r="A1" s="4" t="s">
        <v>0</v>
      </c>
      <c r="B1" s="8" t="s">
        <v>2</v>
      </c>
      <c r="F1" s="8"/>
      <c r="AE1" s="8"/>
      <c r="AF1" s="8"/>
      <c r="AG1" s="8"/>
      <c r="AH1" s="8"/>
      <c r="AI1" s="8"/>
    </row>
    <row r="2" ht="39.0" customHeight="1">
      <c r="A2" s="12"/>
      <c r="B2" s="14" t="s">
        <v>4</v>
      </c>
      <c r="C2" s="16" t="s">
        <v>5</v>
      </c>
      <c r="D2" s="16" t="s">
        <v>6</v>
      </c>
      <c r="E2" s="16" t="s">
        <v>7</v>
      </c>
      <c r="F2" s="19" t="s">
        <v>8</v>
      </c>
      <c r="G2" s="19" t="s">
        <v>14</v>
      </c>
      <c r="H2" s="19" t="s">
        <v>15</v>
      </c>
      <c r="I2" s="19" t="s">
        <v>16</v>
      </c>
      <c r="J2" s="19" t="s">
        <v>17</v>
      </c>
      <c r="K2" s="19" t="s">
        <v>18</v>
      </c>
      <c r="L2" s="19" t="s">
        <v>19</v>
      </c>
      <c r="M2" s="19" t="s">
        <v>20</v>
      </c>
      <c r="N2" s="19" t="s">
        <v>21</v>
      </c>
      <c r="O2" s="19" t="s">
        <v>22</v>
      </c>
      <c r="P2" s="19" t="s">
        <v>23</v>
      </c>
      <c r="Q2" s="19" t="s">
        <v>24</v>
      </c>
      <c r="R2" s="19" t="s">
        <v>25</v>
      </c>
      <c r="S2" s="19" t="s">
        <v>26</v>
      </c>
      <c r="T2" s="19" t="s">
        <v>27</v>
      </c>
      <c r="U2" s="19" t="s">
        <v>29</v>
      </c>
      <c r="V2" s="19" t="s">
        <v>30</v>
      </c>
      <c r="W2" s="19" t="s">
        <v>31</v>
      </c>
      <c r="X2" s="19" t="s">
        <v>32</v>
      </c>
      <c r="Y2" s="19" t="s">
        <v>33</v>
      </c>
      <c r="Z2" s="19" t="s">
        <v>34</v>
      </c>
      <c r="AA2" s="19" t="s">
        <v>35</v>
      </c>
      <c r="AB2" s="19" t="s">
        <v>36</v>
      </c>
      <c r="AC2" s="19" t="s">
        <v>37</v>
      </c>
      <c r="AD2" s="19" t="s">
        <v>38</v>
      </c>
      <c r="AE2" s="19" t="s">
        <v>39</v>
      </c>
      <c r="AF2" s="22" t="s">
        <v>40</v>
      </c>
      <c r="AG2" s="22" t="s">
        <v>43</v>
      </c>
      <c r="AH2" s="22" t="s">
        <v>44</v>
      </c>
      <c r="AI2" s="24" t="s">
        <v>45</v>
      </c>
    </row>
    <row r="3">
      <c r="B3" s="26" t="s">
        <v>46</v>
      </c>
      <c r="C3" s="26" t="str">
        <f>HYPERLINK("https://factomize.com/forums/threads/defacto-001-factom-open-api-open-source-rest-graphql-api-for-factom.1493/#post-10325","FACTOM-GRANT-DEFACTO-001")</f>
        <v>FACTOM-GRANT-DEFACTO-001</v>
      </c>
      <c r="D3" s="29" t="s">
        <v>47</v>
      </c>
      <c r="E3" s="29">
        <v>7380.0</v>
      </c>
      <c r="F3" s="33">
        <f t="shared" ref="F3:AI3" si="1">indirect("'" &amp; F$2 &amp; "'!D" &amp; text(ROW( ) + 8,"#"))</f>
        <v>11</v>
      </c>
      <c r="G3" s="35">
        <f t="shared" si="1"/>
        <v>18</v>
      </c>
      <c r="H3" s="33">
        <f t="shared" si="1"/>
        <v>14</v>
      </c>
      <c r="I3" s="35">
        <f t="shared" si="1"/>
        <v>16</v>
      </c>
      <c r="J3" s="33">
        <f t="shared" si="1"/>
        <v>15</v>
      </c>
      <c r="K3" s="35">
        <f t="shared" si="1"/>
        <v>4</v>
      </c>
      <c r="L3" s="33">
        <f t="shared" si="1"/>
        <v>18</v>
      </c>
      <c r="M3" s="35">
        <f t="shared" si="1"/>
        <v>1</v>
      </c>
      <c r="N3" s="33">
        <f t="shared" si="1"/>
        <v>16</v>
      </c>
      <c r="O3" s="35">
        <f t="shared" si="1"/>
        <v>14</v>
      </c>
      <c r="P3" s="33">
        <f t="shared" si="1"/>
        <v>3</v>
      </c>
      <c r="Q3" s="35">
        <f t="shared" si="1"/>
        <v>12</v>
      </c>
      <c r="R3" s="33">
        <f t="shared" si="1"/>
        <v>1</v>
      </c>
      <c r="S3" s="35">
        <f t="shared" si="1"/>
        <v>8</v>
      </c>
      <c r="T3" s="33">
        <f t="shared" si="1"/>
        <v>11</v>
      </c>
      <c r="U3" s="35">
        <f t="shared" si="1"/>
        <v>10</v>
      </c>
      <c r="V3" s="33">
        <f t="shared" si="1"/>
        <v>7</v>
      </c>
      <c r="W3" s="35">
        <f t="shared" si="1"/>
        <v>6</v>
      </c>
      <c r="X3" s="33">
        <f t="shared" si="1"/>
        <v>12</v>
      </c>
      <c r="Y3" s="35">
        <f t="shared" si="1"/>
        <v>12</v>
      </c>
      <c r="Z3" s="33">
        <f t="shared" si="1"/>
        <v>13</v>
      </c>
      <c r="AA3" s="35">
        <f t="shared" si="1"/>
        <v>13</v>
      </c>
      <c r="AB3" s="33">
        <f t="shared" si="1"/>
        <v>11</v>
      </c>
      <c r="AC3" s="35">
        <f t="shared" si="1"/>
        <v>2</v>
      </c>
      <c r="AD3" s="33">
        <f t="shared" si="1"/>
        <v>3</v>
      </c>
      <c r="AE3" s="37">
        <f t="shared" si="1"/>
        <v>18</v>
      </c>
      <c r="AF3" s="33">
        <f t="shared" si="1"/>
        <v>11</v>
      </c>
      <c r="AG3" s="37">
        <f t="shared" si="1"/>
        <v>16</v>
      </c>
      <c r="AH3" s="33">
        <f t="shared" si="1"/>
        <v>8</v>
      </c>
      <c r="AI3" s="37">
        <f t="shared" si="1"/>
        <v>3</v>
      </c>
    </row>
    <row r="4">
      <c r="B4" s="38" t="s">
        <v>49</v>
      </c>
      <c r="C4" s="38" t="str">
        <f>HYPERLINK("https://factomize.com/forums/threads/factom-grant-proposal-triall.1531/","FACTOM-GRANT-TRIALL-001")</f>
        <v>FACTOM-GRANT-TRIALL-001</v>
      </c>
      <c r="D4" s="29" t="s">
        <v>50</v>
      </c>
      <c r="E4" s="29">
        <v>3000.0</v>
      </c>
      <c r="F4" s="33">
        <f t="shared" ref="F4:AI4" si="2">indirect("'" &amp; F$2 &amp; "'!D" &amp; text(ROW( ) + 8,"#"))</f>
        <v>12</v>
      </c>
      <c r="G4" s="35" t="str">
        <f t="shared" si="2"/>
        <v/>
      </c>
      <c r="H4" s="33">
        <f t="shared" si="2"/>
        <v>19</v>
      </c>
      <c r="I4" s="35">
        <f t="shared" si="2"/>
        <v>14</v>
      </c>
      <c r="J4" s="33">
        <f t="shared" si="2"/>
        <v>10</v>
      </c>
      <c r="K4" s="35">
        <f t="shared" si="2"/>
        <v>13</v>
      </c>
      <c r="L4" s="33">
        <f t="shared" si="2"/>
        <v>1</v>
      </c>
      <c r="M4" s="35">
        <f t="shared" si="2"/>
        <v>18</v>
      </c>
      <c r="N4" s="33">
        <f t="shared" si="2"/>
        <v>21</v>
      </c>
      <c r="O4" s="35">
        <f t="shared" si="2"/>
        <v>7</v>
      </c>
      <c r="P4" s="33">
        <f t="shared" si="2"/>
        <v>16</v>
      </c>
      <c r="Q4" s="35">
        <f t="shared" si="2"/>
        <v>18</v>
      </c>
      <c r="R4" s="33">
        <f t="shared" si="2"/>
        <v>17</v>
      </c>
      <c r="S4" s="35">
        <f t="shared" si="2"/>
        <v>13</v>
      </c>
      <c r="T4" s="33">
        <f t="shared" si="2"/>
        <v>13</v>
      </c>
      <c r="U4" s="35">
        <f t="shared" si="2"/>
        <v>8</v>
      </c>
      <c r="V4" s="33">
        <f t="shared" si="2"/>
        <v>19</v>
      </c>
      <c r="W4" s="35">
        <f t="shared" si="2"/>
        <v>18</v>
      </c>
      <c r="X4" s="33">
        <f t="shared" si="2"/>
        <v>18</v>
      </c>
      <c r="Y4" s="35">
        <f t="shared" si="2"/>
        <v>14</v>
      </c>
      <c r="Z4" s="33">
        <f t="shared" si="2"/>
        <v>12</v>
      </c>
      <c r="AA4" s="35">
        <f t="shared" si="2"/>
        <v>21</v>
      </c>
      <c r="AB4" s="33">
        <f t="shared" si="2"/>
        <v>19</v>
      </c>
      <c r="AC4" s="35">
        <f t="shared" si="2"/>
        <v>14</v>
      </c>
      <c r="AD4" s="33">
        <f t="shared" si="2"/>
        <v>13</v>
      </c>
      <c r="AE4" s="37">
        <f t="shared" si="2"/>
        <v>9</v>
      </c>
      <c r="AF4" s="33">
        <f t="shared" si="2"/>
        <v>12</v>
      </c>
      <c r="AG4" s="37">
        <f t="shared" si="2"/>
        <v>14</v>
      </c>
      <c r="AH4" s="33">
        <f t="shared" si="2"/>
        <v>12</v>
      </c>
      <c r="AI4" s="37">
        <f t="shared" si="2"/>
        <v>20</v>
      </c>
    </row>
    <row r="5">
      <c r="B5" s="43" t="s">
        <v>53</v>
      </c>
      <c r="C5" s="43" t="str">
        <f>HYPERLINK("https://factomize.com/forums/threads/prestige_it-001-blockchain-expo-global-2019-london.1543/","FACTOM-GRANT-PRESTIGE-IT-001")</f>
        <v>FACTOM-GRANT-PRESTIGE-IT-001</v>
      </c>
      <c r="D5" s="47" t="s">
        <v>54</v>
      </c>
      <c r="E5" s="47">
        <v>682.0</v>
      </c>
      <c r="F5" s="33">
        <f t="shared" ref="F5:AI5" si="3">indirect("'" &amp; F$2 &amp; "'!D" &amp; text(ROW( ) + 8,"#"))</f>
        <v>8</v>
      </c>
      <c r="G5" s="35">
        <f t="shared" si="3"/>
        <v>14</v>
      </c>
      <c r="H5" s="33">
        <f t="shared" si="3"/>
        <v>10</v>
      </c>
      <c r="I5" s="35">
        <f t="shared" si="3"/>
        <v>8</v>
      </c>
      <c r="J5" s="33">
        <f t="shared" si="3"/>
        <v>4</v>
      </c>
      <c r="K5" s="35">
        <f t="shared" si="3"/>
        <v>10</v>
      </c>
      <c r="L5" s="33">
        <f t="shared" si="3"/>
        <v>13</v>
      </c>
      <c r="M5" s="35">
        <f t="shared" si="3"/>
        <v>13</v>
      </c>
      <c r="N5" s="33">
        <f t="shared" si="3"/>
        <v>6</v>
      </c>
      <c r="O5" s="35">
        <f t="shared" si="3"/>
        <v>9</v>
      </c>
      <c r="P5" s="33">
        <f t="shared" si="3"/>
        <v>17</v>
      </c>
      <c r="Q5" s="35">
        <f t="shared" si="3"/>
        <v>8</v>
      </c>
      <c r="R5" s="33">
        <f t="shared" si="3"/>
        <v>12</v>
      </c>
      <c r="S5" s="35">
        <f t="shared" si="3"/>
        <v>12</v>
      </c>
      <c r="T5" s="33">
        <f t="shared" si="3"/>
        <v>8</v>
      </c>
      <c r="U5" s="35">
        <f t="shared" si="3"/>
        <v>6</v>
      </c>
      <c r="V5" s="33">
        <f t="shared" si="3"/>
        <v>3</v>
      </c>
      <c r="W5" s="35">
        <f t="shared" si="3"/>
        <v>10</v>
      </c>
      <c r="X5" s="33">
        <f t="shared" si="3"/>
        <v>10</v>
      </c>
      <c r="Y5" s="35">
        <f t="shared" si="3"/>
        <v>8</v>
      </c>
      <c r="Z5" s="33">
        <f t="shared" si="3"/>
        <v>7</v>
      </c>
      <c r="AA5" s="35">
        <f t="shared" si="3"/>
        <v>4</v>
      </c>
      <c r="AB5" s="33">
        <f t="shared" si="3"/>
        <v>8</v>
      </c>
      <c r="AC5" s="35">
        <f t="shared" si="3"/>
        <v>8</v>
      </c>
      <c r="AD5" s="33">
        <f t="shared" si="3"/>
        <v>14</v>
      </c>
      <c r="AE5" s="37">
        <f t="shared" si="3"/>
        <v>6</v>
      </c>
      <c r="AF5" s="33">
        <f t="shared" si="3"/>
        <v>8</v>
      </c>
      <c r="AG5" s="37">
        <f t="shared" si="3"/>
        <v>8</v>
      </c>
      <c r="AH5" s="33">
        <f t="shared" si="3"/>
        <v>6</v>
      </c>
      <c r="AI5" s="37" t="str">
        <f t="shared" si="3"/>
        <v/>
      </c>
    </row>
    <row r="6">
      <c r="B6" s="43" t="s">
        <v>46</v>
      </c>
      <c r="C6" s="43" t="str">
        <f>HYPERLINK("https://factomize.com/forums/threads/defacto-004-telegram-wallet-for-factom.1545/","FACTOM-GRANT-DEFACTO-004")</f>
        <v>FACTOM-GRANT-DEFACTO-004</v>
      </c>
      <c r="D6" s="47" t="s">
        <v>55</v>
      </c>
      <c r="E6" s="47">
        <v>5909.0</v>
      </c>
      <c r="F6" s="33">
        <f t="shared" ref="F6:AI6" si="4">indirect("'" &amp; F$2 &amp; "'!D" &amp; text(ROW( ) + 8,"#"))</f>
        <v>16</v>
      </c>
      <c r="G6" s="35">
        <f t="shared" si="4"/>
        <v>20</v>
      </c>
      <c r="H6" s="33">
        <f t="shared" si="4"/>
        <v>20</v>
      </c>
      <c r="I6" s="35">
        <f t="shared" si="4"/>
        <v>17</v>
      </c>
      <c r="J6" s="33">
        <f t="shared" si="4"/>
        <v>20</v>
      </c>
      <c r="K6" s="35">
        <f t="shared" si="4"/>
        <v>19</v>
      </c>
      <c r="L6" s="33">
        <f t="shared" si="4"/>
        <v>20</v>
      </c>
      <c r="M6" s="35">
        <f t="shared" si="4"/>
        <v>20</v>
      </c>
      <c r="N6" s="33">
        <f t="shared" si="4"/>
        <v>20</v>
      </c>
      <c r="O6" s="35">
        <f t="shared" si="4"/>
        <v>20</v>
      </c>
      <c r="P6" s="33">
        <f t="shared" si="4"/>
        <v>18</v>
      </c>
      <c r="Q6" s="35">
        <f t="shared" si="4"/>
        <v>20</v>
      </c>
      <c r="R6" s="33">
        <f t="shared" si="4"/>
        <v>11</v>
      </c>
      <c r="S6" s="35">
        <f t="shared" si="4"/>
        <v>19</v>
      </c>
      <c r="T6" s="33">
        <f t="shared" si="4"/>
        <v>19</v>
      </c>
      <c r="U6" s="35">
        <f t="shared" si="4"/>
        <v>19</v>
      </c>
      <c r="V6" s="33">
        <f t="shared" si="4"/>
        <v>20</v>
      </c>
      <c r="W6" s="35">
        <f t="shared" si="4"/>
        <v>20</v>
      </c>
      <c r="X6" s="33">
        <f t="shared" si="4"/>
        <v>19</v>
      </c>
      <c r="Y6" s="35">
        <f t="shared" si="4"/>
        <v>18</v>
      </c>
      <c r="Z6" s="33">
        <f t="shared" si="4"/>
        <v>19</v>
      </c>
      <c r="AA6" s="35">
        <f t="shared" si="4"/>
        <v>20</v>
      </c>
      <c r="AB6" s="33">
        <f t="shared" si="4"/>
        <v>21</v>
      </c>
      <c r="AC6" s="35">
        <f t="shared" si="4"/>
        <v>17</v>
      </c>
      <c r="AD6" s="33" t="str">
        <f t="shared" si="4"/>
        <v/>
      </c>
      <c r="AE6" s="37">
        <f t="shared" si="4"/>
        <v>20</v>
      </c>
      <c r="AF6" s="33">
        <f t="shared" si="4"/>
        <v>16</v>
      </c>
      <c r="AG6" s="37">
        <f t="shared" si="4"/>
        <v>17</v>
      </c>
      <c r="AH6" s="33">
        <f t="shared" si="4"/>
        <v>19</v>
      </c>
      <c r="AI6" s="37">
        <f t="shared" si="4"/>
        <v>19</v>
      </c>
    </row>
    <row r="7">
      <c r="B7" s="43" t="s">
        <v>56</v>
      </c>
      <c r="C7" s="43" t="str">
        <f>HYPERLINK("https://factomize.com/forums/threads/exchange-committee-003-committee-funding.1546/","FACTOM-GRANT-EXCHANGE-COMMITTEE-003")</f>
        <v>FACTOM-GRANT-EXCHANGE-COMMITTEE-003</v>
      </c>
      <c r="D7" s="51" t="s">
        <v>57</v>
      </c>
      <c r="E7" s="29">
        <v>5000.0</v>
      </c>
      <c r="F7" s="33">
        <f t="shared" ref="F7:AI7" si="5">indirect("'" &amp; F$2 &amp; "'!D" &amp; text(ROW( ) + 8,"#"))</f>
        <v>13</v>
      </c>
      <c r="G7" s="35">
        <f t="shared" si="5"/>
        <v>5</v>
      </c>
      <c r="H7" s="33">
        <f t="shared" si="5"/>
        <v>9</v>
      </c>
      <c r="I7" s="35">
        <f t="shared" si="5"/>
        <v>5</v>
      </c>
      <c r="J7" s="33">
        <f t="shared" si="5"/>
        <v>7</v>
      </c>
      <c r="K7" s="35">
        <f t="shared" si="5"/>
        <v>11</v>
      </c>
      <c r="L7" s="33">
        <f t="shared" si="5"/>
        <v>14</v>
      </c>
      <c r="M7" s="35">
        <f t="shared" si="5"/>
        <v>6</v>
      </c>
      <c r="N7" s="33">
        <f t="shared" si="5"/>
        <v>5</v>
      </c>
      <c r="O7" s="35">
        <f t="shared" si="5"/>
        <v>10</v>
      </c>
      <c r="P7" s="33">
        <f t="shared" si="5"/>
        <v>8</v>
      </c>
      <c r="Q7" s="35">
        <f t="shared" si="5"/>
        <v>14</v>
      </c>
      <c r="R7" s="33">
        <f t="shared" si="5"/>
        <v>10</v>
      </c>
      <c r="S7" s="35">
        <f t="shared" si="5"/>
        <v>3</v>
      </c>
      <c r="T7" s="33">
        <f t="shared" si="5"/>
        <v>15</v>
      </c>
      <c r="U7" s="35">
        <f t="shared" si="5"/>
        <v>4</v>
      </c>
      <c r="V7" s="33">
        <f t="shared" si="5"/>
        <v>9</v>
      </c>
      <c r="W7" s="35">
        <f t="shared" si="5"/>
        <v>15</v>
      </c>
      <c r="X7" s="33">
        <f t="shared" si="5"/>
        <v>11</v>
      </c>
      <c r="Y7" s="35">
        <f t="shared" si="5"/>
        <v>7</v>
      </c>
      <c r="Z7" s="33">
        <f t="shared" si="5"/>
        <v>14</v>
      </c>
      <c r="AA7" s="35">
        <f t="shared" si="5"/>
        <v>5</v>
      </c>
      <c r="AB7" s="33">
        <f t="shared" si="5"/>
        <v>5</v>
      </c>
      <c r="AC7" s="35">
        <f t="shared" si="5"/>
        <v>12</v>
      </c>
      <c r="AD7" s="33">
        <f t="shared" si="5"/>
        <v>9</v>
      </c>
      <c r="AE7" s="37">
        <f t="shared" si="5"/>
        <v>11</v>
      </c>
      <c r="AF7" s="33">
        <f t="shared" si="5"/>
        <v>13</v>
      </c>
      <c r="AG7" s="37">
        <f t="shared" si="5"/>
        <v>5</v>
      </c>
      <c r="AH7" s="33">
        <f t="shared" si="5"/>
        <v>7</v>
      </c>
      <c r="AI7" s="37">
        <f t="shared" si="5"/>
        <v>7</v>
      </c>
    </row>
    <row r="8">
      <c r="B8" s="43" t="s">
        <v>58</v>
      </c>
      <c r="C8" s="43" t="str">
        <f>HYPERLINK("https://factomize.com/forums/threads/guides-004-guide-compensation-1-month-extension.1548/","FACTOM-GRANT-GUIDES-004")</f>
        <v>FACTOM-GRANT-GUIDES-004</v>
      </c>
      <c r="D8" s="47" t="s">
        <v>59</v>
      </c>
      <c r="E8" s="47">
        <v>3000.0</v>
      </c>
      <c r="F8" s="33">
        <f t="shared" ref="F8:AI8" si="6">indirect("'" &amp; F$2 &amp; "'!D" &amp; text(ROW( ) + 8,"#"))</f>
        <v>21</v>
      </c>
      <c r="G8" s="35" t="str">
        <f t="shared" si="6"/>
        <v/>
      </c>
      <c r="H8" s="33" t="str">
        <f t="shared" si="6"/>
        <v/>
      </c>
      <c r="I8" s="35">
        <f t="shared" si="6"/>
        <v>15</v>
      </c>
      <c r="J8" s="33" t="str">
        <f t="shared" si="6"/>
        <v/>
      </c>
      <c r="K8" s="35">
        <f t="shared" si="6"/>
        <v>21</v>
      </c>
      <c r="L8" s="33">
        <f t="shared" si="6"/>
        <v>21</v>
      </c>
      <c r="M8" s="35">
        <f t="shared" si="6"/>
        <v>21</v>
      </c>
      <c r="N8" s="33">
        <f t="shared" si="6"/>
        <v>14</v>
      </c>
      <c r="O8" s="35">
        <f t="shared" si="6"/>
        <v>21</v>
      </c>
      <c r="P8" s="33">
        <f t="shared" si="6"/>
        <v>21</v>
      </c>
      <c r="Q8" s="35">
        <f t="shared" si="6"/>
        <v>21</v>
      </c>
      <c r="R8" s="33">
        <f t="shared" si="6"/>
        <v>21</v>
      </c>
      <c r="S8" s="35">
        <f t="shared" si="6"/>
        <v>21</v>
      </c>
      <c r="T8" s="33">
        <f t="shared" si="6"/>
        <v>21</v>
      </c>
      <c r="U8" s="35">
        <f t="shared" si="6"/>
        <v>20</v>
      </c>
      <c r="V8" s="33">
        <f t="shared" si="6"/>
        <v>21</v>
      </c>
      <c r="W8" s="35">
        <f t="shared" si="6"/>
        <v>19</v>
      </c>
      <c r="X8" s="33">
        <f t="shared" si="6"/>
        <v>21</v>
      </c>
      <c r="Y8" s="35">
        <f t="shared" si="6"/>
        <v>21</v>
      </c>
      <c r="Z8" s="33">
        <f t="shared" si="6"/>
        <v>21</v>
      </c>
      <c r="AA8" s="35">
        <f t="shared" si="6"/>
        <v>14</v>
      </c>
      <c r="AB8" s="33">
        <f t="shared" si="6"/>
        <v>18</v>
      </c>
      <c r="AC8" s="35">
        <f t="shared" si="6"/>
        <v>16</v>
      </c>
      <c r="AD8" s="33">
        <f t="shared" si="6"/>
        <v>11</v>
      </c>
      <c r="AE8" s="37" t="str">
        <f t="shared" si="6"/>
        <v/>
      </c>
      <c r="AF8" s="33">
        <f t="shared" si="6"/>
        <v>21</v>
      </c>
      <c r="AG8" s="37">
        <f t="shared" si="6"/>
        <v>15</v>
      </c>
      <c r="AH8" s="33">
        <f t="shared" si="6"/>
        <v>21</v>
      </c>
      <c r="AI8" s="37">
        <f t="shared" si="6"/>
        <v>21</v>
      </c>
    </row>
    <row r="9">
      <c r="B9" s="52" t="s">
        <v>60</v>
      </c>
      <c r="C9" s="52" t="str">
        <f>HYPERLINK("https://factomize.com/forums/threads/factomize-001-marketing-videos.1549/","FACTOM-GRANT-FACTOMIZE-001")</f>
        <v>FACTOM-GRANT-FACTOMIZE-001</v>
      </c>
      <c r="D9" s="47" t="s">
        <v>61</v>
      </c>
      <c r="E9" s="47">
        <v>500.0</v>
      </c>
      <c r="F9" s="33">
        <f t="shared" ref="F9:AI9" si="7">indirect("'" &amp; F$2 &amp; "'!D" &amp; text(ROW( ) + 8,"#"))</f>
        <v>9</v>
      </c>
      <c r="G9" s="35">
        <f t="shared" si="7"/>
        <v>10</v>
      </c>
      <c r="H9" s="33">
        <f t="shared" si="7"/>
        <v>6</v>
      </c>
      <c r="I9" s="35">
        <f t="shared" si="7"/>
        <v>11</v>
      </c>
      <c r="J9" s="33">
        <f t="shared" si="7"/>
        <v>12</v>
      </c>
      <c r="K9" s="35">
        <f t="shared" si="7"/>
        <v>17</v>
      </c>
      <c r="L9" s="33">
        <f t="shared" si="7"/>
        <v>12</v>
      </c>
      <c r="M9" s="35">
        <f t="shared" si="7"/>
        <v>19</v>
      </c>
      <c r="N9" s="33">
        <f t="shared" si="7"/>
        <v>3</v>
      </c>
      <c r="O9" s="35">
        <f t="shared" si="7"/>
        <v>16</v>
      </c>
      <c r="P9" s="33">
        <f t="shared" si="7"/>
        <v>20</v>
      </c>
      <c r="Q9" s="35">
        <f t="shared" si="7"/>
        <v>10</v>
      </c>
      <c r="R9" s="33">
        <f t="shared" si="7"/>
        <v>7</v>
      </c>
      <c r="S9" s="35">
        <f t="shared" si="7"/>
        <v>4</v>
      </c>
      <c r="T9" s="33">
        <f t="shared" si="7"/>
        <v>18</v>
      </c>
      <c r="U9" s="35">
        <f t="shared" si="7"/>
        <v>13</v>
      </c>
      <c r="V9" s="33">
        <f t="shared" si="7"/>
        <v>10</v>
      </c>
      <c r="W9" s="35">
        <f t="shared" si="7"/>
        <v>13</v>
      </c>
      <c r="X9" s="33" t="str">
        <f t="shared" si="7"/>
        <v/>
      </c>
      <c r="Y9" s="35">
        <f t="shared" si="7"/>
        <v>11</v>
      </c>
      <c r="Z9" s="33">
        <f t="shared" si="7"/>
        <v>8</v>
      </c>
      <c r="AA9" s="35">
        <f t="shared" si="7"/>
        <v>6</v>
      </c>
      <c r="AB9" s="33">
        <f t="shared" si="7"/>
        <v>7</v>
      </c>
      <c r="AC9" s="35">
        <f t="shared" si="7"/>
        <v>15</v>
      </c>
      <c r="AD9" s="33">
        <f t="shared" si="7"/>
        <v>8</v>
      </c>
      <c r="AE9" s="37">
        <f t="shared" si="7"/>
        <v>8</v>
      </c>
      <c r="AF9" s="33">
        <f t="shared" si="7"/>
        <v>9</v>
      </c>
      <c r="AG9" s="37">
        <f t="shared" si="7"/>
        <v>11</v>
      </c>
      <c r="AH9" s="33">
        <f t="shared" si="7"/>
        <v>15</v>
      </c>
      <c r="AI9" s="37">
        <f t="shared" si="7"/>
        <v>18</v>
      </c>
    </row>
    <row r="10">
      <c r="B10" s="43" t="s">
        <v>62</v>
      </c>
      <c r="C10" s="43" t="str">
        <f>HYPERLINK("https://factomize.com/forums/threads/layertech-001-core-code-development-grant.1550/","FACTOM-GRANT-LAYERTECH-001")</f>
        <v>FACTOM-GRANT-LAYERTECH-001</v>
      </c>
      <c r="D10" s="47" t="s">
        <v>63</v>
      </c>
      <c r="E10" s="47">
        <v>5500.0</v>
      </c>
      <c r="F10" s="33">
        <f t="shared" ref="F10:AI10" si="8">indirect("'" &amp; F$2 &amp; "'!D" &amp; text(ROW( ) + 8,"#"))</f>
        <v>6</v>
      </c>
      <c r="G10" s="35">
        <f t="shared" si="8"/>
        <v>3</v>
      </c>
      <c r="H10" s="33" t="str">
        <f t="shared" si="8"/>
        <v/>
      </c>
      <c r="I10" s="35">
        <f t="shared" si="8"/>
        <v>13</v>
      </c>
      <c r="J10" s="33">
        <f t="shared" si="8"/>
        <v>9</v>
      </c>
      <c r="K10" s="35">
        <f t="shared" si="8"/>
        <v>15</v>
      </c>
      <c r="L10" s="33">
        <f t="shared" si="8"/>
        <v>6</v>
      </c>
      <c r="M10" s="35">
        <f t="shared" si="8"/>
        <v>9</v>
      </c>
      <c r="N10" s="33">
        <f t="shared" si="8"/>
        <v>11</v>
      </c>
      <c r="O10" s="35">
        <f t="shared" si="8"/>
        <v>5</v>
      </c>
      <c r="P10" s="33">
        <f t="shared" si="8"/>
        <v>15</v>
      </c>
      <c r="Q10" s="35">
        <f t="shared" si="8"/>
        <v>5</v>
      </c>
      <c r="R10" s="33">
        <f t="shared" si="8"/>
        <v>18</v>
      </c>
      <c r="S10" s="35">
        <f t="shared" si="8"/>
        <v>16</v>
      </c>
      <c r="T10" s="33">
        <f t="shared" si="8"/>
        <v>7</v>
      </c>
      <c r="U10" s="35">
        <f t="shared" si="8"/>
        <v>14</v>
      </c>
      <c r="V10" s="33">
        <f t="shared" si="8"/>
        <v>5</v>
      </c>
      <c r="W10" s="35">
        <f t="shared" si="8"/>
        <v>2</v>
      </c>
      <c r="X10" s="33">
        <f t="shared" si="8"/>
        <v>3</v>
      </c>
      <c r="Y10" s="35">
        <f t="shared" si="8"/>
        <v>1</v>
      </c>
      <c r="Z10" s="33">
        <f t="shared" si="8"/>
        <v>10</v>
      </c>
      <c r="AA10" s="35">
        <f t="shared" si="8"/>
        <v>15</v>
      </c>
      <c r="AB10" s="33">
        <f t="shared" si="8"/>
        <v>4</v>
      </c>
      <c r="AC10" s="35">
        <f t="shared" si="8"/>
        <v>21</v>
      </c>
      <c r="AD10" s="33">
        <f t="shared" si="8"/>
        <v>10</v>
      </c>
      <c r="AE10" s="37">
        <f t="shared" si="8"/>
        <v>5</v>
      </c>
      <c r="AF10" s="33">
        <f t="shared" si="8"/>
        <v>6</v>
      </c>
      <c r="AG10" s="37">
        <f t="shared" si="8"/>
        <v>13</v>
      </c>
      <c r="AH10" s="33">
        <f t="shared" si="8"/>
        <v>2</v>
      </c>
      <c r="AI10" s="37">
        <f t="shared" si="8"/>
        <v>8</v>
      </c>
    </row>
    <row r="11">
      <c r="B11" s="43" t="s">
        <v>64</v>
      </c>
      <c r="C11" s="43" t="str">
        <f>HYPERLINK("https://factomize.com/forums/threads/bedrock-cryptlogic-defacto-tfa-002-factom-open-node-ex-courtesy-node-continuity.1552/","BEDROCK-CRYPTOLOGIC-DEFACTO-TFA-002")</f>
        <v>BEDROCK-CRYPTOLOGIC-DEFACTO-TFA-002</v>
      </c>
      <c r="D11" s="47" t="s">
        <v>65</v>
      </c>
      <c r="E11" s="47">
        <v>545.0</v>
      </c>
      <c r="F11" s="33">
        <f t="shared" ref="F11:AI11" si="9">indirect("'" &amp; F$2 &amp; "'!D" &amp; text(ROW( ) + 8,"#"))</f>
        <v>10</v>
      </c>
      <c r="G11" s="35">
        <f t="shared" si="9"/>
        <v>11</v>
      </c>
      <c r="H11" s="33">
        <f t="shared" si="9"/>
        <v>11</v>
      </c>
      <c r="I11" s="35">
        <f t="shared" si="9"/>
        <v>6</v>
      </c>
      <c r="J11" s="33" t="str">
        <f t="shared" si="9"/>
        <v/>
      </c>
      <c r="K11" s="35">
        <f t="shared" si="9"/>
        <v>8</v>
      </c>
      <c r="L11" s="33">
        <f t="shared" si="9"/>
        <v>15</v>
      </c>
      <c r="M11" s="35">
        <f t="shared" si="9"/>
        <v>12</v>
      </c>
      <c r="N11" s="33">
        <f t="shared" si="9"/>
        <v>7</v>
      </c>
      <c r="O11" s="35" t="str">
        <f t="shared" si="9"/>
        <v/>
      </c>
      <c r="P11" s="33">
        <f t="shared" si="9"/>
        <v>9</v>
      </c>
      <c r="Q11" s="35">
        <f t="shared" si="9"/>
        <v>7</v>
      </c>
      <c r="R11" s="33">
        <f t="shared" si="9"/>
        <v>4</v>
      </c>
      <c r="S11" s="35">
        <f t="shared" si="9"/>
        <v>9</v>
      </c>
      <c r="T11" s="33">
        <f t="shared" si="9"/>
        <v>4</v>
      </c>
      <c r="U11" s="35">
        <f t="shared" si="9"/>
        <v>12</v>
      </c>
      <c r="V11" s="33">
        <f t="shared" si="9"/>
        <v>13</v>
      </c>
      <c r="W11" s="35">
        <f t="shared" si="9"/>
        <v>7</v>
      </c>
      <c r="X11" s="33">
        <f t="shared" si="9"/>
        <v>2</v>
      </c>
      <c r="Y11" s="35">
        <f t="shared" si="9"/>
        <v>9</v>
      </c>
      <c r="Z11" s="33">
        <f t="shared" si="9"/>
        <v>11</v>
      </c>
      <c r="AA11" s="35">
        <f t="shared" si="9"/>
        <v>3</v>
      </c>
      <c r="AB11" s="33">
        <f t="shared" si="9"/>
        <v>9</v>
      </c>
      <c r="AC11" s="35">
        <f t="shared" si="9"/>
        <v>9</v>
      </c>
      <c r="AD11" s="33">
        <f t="shared" si="9"/>
        <v>7</v>
      </c>
      <c r="AE11" s="37" t="str">
        <f t="shared" si="9"/>
        <v/>
      </c>
      <c r="AF11" s="33">
        <f t="shared" si="9"/>
        <v>10</v>
      </c>
      <c r="AG11" s="37">
        <f t="shared" si="9"/>
        <v>6</v>
      </c>
      <c r="AH11" s="33">
        <f t="shared" si="9"/>
        <v>10</v>
      </c>
      <c r="AI11" s="37">
        <f t="shared" si="9"/>
        <v>17</v>
      </c>
    </row>
    <row r="12">
      <c r="B12" s="43" t="s">
        <v>66</v>
      </c>
      <c r="C12" s="43" t="str">
        <f>HYPERLINK("https://factomize.com/forums/threads/growth-fixer-001-marketing-strategy-including-content.1553/","FACTOM-GRANT-GROWTH-FIXER-001")</f>
        <v>FACTOM-GRANT-GROWTH-FIXER-001</v>
      </c>
      <c r="D12" s="47" t="s">
        <v>67</v>
      </c>
      <c r="E12" s="47">
        <v>9350.0</v>
      </c>
      <c r="F12" s="33">
        <f t="shared" ref="F12:AI12" si="10">indirect("'" &amp; F$2 &amp; "'!D" &amp; text(ROW( ) + 8,"#"))</f>
        <v>20</v>
      </c>
      <c r="G12" s="35">
        <f t="shared" si="10"/>
        <v>16</v>
      </c>
      <c r="H12" s="33">
        <f t="shared" si="10"/>
        <v>18</v>
      </c>
      <c r="I12" s="35">
        <f t="shared" si="10"/>
        <v>19</v>
      </c>
      <c r="J12" s="33">
        <f t="shared" si="10"/>
        <v>19</v>
      </c>
      <c r="K12" s="35">
        <f t="shared" si="10"/>
        <v>14</v>
      </c>
      <c r="L12" s="33">
        <f t="shared" si="10"/>
        <v>11</v>
      </c>
      <c r="M12" s="35">
        <f t="shared" si="10"/>
        <v>14</v>
      </c>
      <c r="N12" s="33">
        <f t="shared" si="10"/>
        <v>4</v>
      </c>
      <c r="O12" s="35">
        <f t="shared" si="10"/>
        <v>15</v>
      </c>
      <c r="P12" s="33">
        <f t="shared" si="10"/>
        <v>7</v>
      </c>
      <c r="Q12" s="35">
        <f t="shared" si="10"/>
        <v>19</v>
      </c>
      <c r="R12" s="33">
        <f t="shared" si="10"/>
        <v>19</v>
      </c>
      <c r="S12" s="35">
        <f t="shared" si="10"/>
        <v>20</v>
      </c>
      <c r="T12" s="33">
        <f t="shared" si="10"/>
        <v>20</v>
      </c>
      <c r="U12" s="35">
        <f t="shared" si="10"/>
        <v>21</v>
      </c>
      <c r="V12" s="33">
        <f t="shared" si="10"/>
        <v>12</v>
      </c>
      <c r="W12" s="35">
        <f t="shared" si="10"/>
        <v>21</v>
      </c>
      <c r="X12" s="33" t="str">
        <f t="shared" si="10"/>
        <v/>
      </c>
      <c r="Y12" s="35">
        <f t="shared" si="10"/>
        <v>16</v>
      </c>
      <c r="Z12" s="33">
        <f t="shared" si="10"/>
        <v>15</v>
      </c>
      <c r="AA12" s="35">
        <f t="shared" si="10"/>
        <v>7</v>
      </c>
      <c r="AB12" s="33">
        <f t="shared" si="10"/>
        <v>20</v>
      </c>
      <c r="AC12" s="35">
        <f t="shared" si="10"/>
        <v>20</v>
      </c>
      <c r="AD12" s="33">
        <f t="shared" si="10"/>
        <v>15</v>
      </c>
      <c r="AE12" s="37">
        <f t="shared" si="10"/>
        <v>14</v>
      </c>
      <c r="AF12" s="33">
        <f t="shared" si="10"/>
        <v>20</v>
      </c>
      <c r="AG12" s="37">
        <f t="shared" si="10"/>
        <v>19</v>
      </c>
      <c r="AH12" s="33">
        <f t="shared" si="10"/>
        <v>20</v>
      </c>
      <c r="AI12" s="37">
        <f t="shared" si="10"/>
        <v>10</v>
      </c>
    </row>
    <row r="13">
      <c r="B13" s="43" t="s">
        <v>60</v>
      </c>
      <c r="C13" s="43" t="str">
        <f>HYPERLINK("https://factomize.com/forums/threads/factomize-002-core-development.1555/","FACTOM-GRANT-FACTOMIZE-002")</f>
        <v>FACTOM-GRANT-FACTOMIZE-002</v>
      </c>
      <c r="D13" s="47" t="s">
        <v>68</v>
      </c>
      <c r="E13" s="47">
        <v>6000.0</v>
      </c>
      <c r="F13" s="33">
        <f t="shared" ref="F13:AI13" si="11">indirect("'" &amp; F$2 &amp; "'!D" &amp; text(ROW( ) + 8,"#"))</f>
        <v>5</v>
      </c>
      <c r="G13" s="35">
        <f t="shared" si="11"/>
        <v>2</v>
      </c>
      <c r="H13" s="33">
        <f t="shared" si="11"/>
        <v>3</v>
      </c>
      <c r="I13" s="35">
        <f t="shared" si="11"/>
        <v>4</v>
      </c>
      <c r="J13" s="33">
        <f t="shared" si="11"/>
        <v>3</v>
      </c>
      <c r="K13" s="35">
        <f t="shared" si="11"/>
        <v>5</v>
      </c>
      <c r="L13" s="33">
        <f t="shared" si="11"/>
        <v>5</v>
      </c>
      <c r="M13" s="35">
        <f t="shared" si="11"/>
        <v>2</v>
      </c>
      <c r="N13" s="33">
        <f t="shared" si="11"/>
        <v>10</v>
      </c>
      <c r="O13" s="35">
        <f t="shared" si="11"/>
        <v>3</v>
      </c>
      <c r="P13" s="33">
        <f t="shared" si="11"/>
        <v>14</v>
      </c>
      <c r="Q13" s="35">
        <f t="shared" si="11"/>
        <v>2</v>
      </c>
      <c r="R13" s="33">
        <f t="shared" si="11"/>
        <v>6</v>
      </c>
      <c r="S13" s="35">
        <f t="shared" si="11"/>
        <v>6</v>
      </c>
      <c r="T13" s="33">
        <f t="shared" si="11"/>
        <v>1</v>
      </c>
      <c r="U13" s="35">
        <f t="shared" si="11"/>
        <v>5</v>
      </c>
      <c r="V13" s="33">
        <f t="shared" si="11"/>
        <v>6</v>
      </c>
      <c r="W13" s="35">
        <f t="shared" si="11"/>
        <v>1</v>
      </c>
      <c r="X13" s="33">
        <f t="shared" si="11"/>
        <v>4</v>
      </c>
      <c r="Y13" s="35">
        <f t="shared" si="11"/>
        <v>2</v>
      </c>
      <c r="Z13" s="33">
        <f t="shared" si="11"/>
        <v>2</v>
      </c>
      <c r="AA13" s="35">
        <f t="shared" si="11"/>
        <v>8</v>
      </c>
      <c r="AB13" s="33">
        <f t="shared" si="11"/>
        <v>3</v>
      </c>
      <c r="AC13" s="35">
        <f t="shared" si="11"/>
        <v>7</v>
      </c>
      <c r="AD13" s="33">
        <f t="shared" si="11"/>
        <v>4</v>
      </c>
      <c r="AE13" s="37">
        <f t="shared" si="11"/>
        <v>4</v>
      </c>
      <c r="AF13" s="33">
        <f t="shared" si="11"/>
        <v>5</v>
      </c>
      <c r="AG13" s="37">
        <f t="shared" si="11"/>
        <v>4</v>
      </c>
      <c r="AH13" s="33">
        <f t="shared" si="11"/>
        <v>1</v>
      </c>
      <c r="AI13" s="37">
        <f t="shared" si="11"/>
        <v>9</v>
      </c>
    </row>
    <row r="14">
      <c r="B14" s="43" t="s">
        <v>69</v>
      </c>
      <c r="C14" s="43" t="str">
        <f>HYPERLINK("https://factomize.com/forums/threads/stamp-it-001-iot-gateway-for-factom%C2%AE.1556/#post-10472","FACTOM-GRANT-STAMP-IT-001")</f>
        <v>FACTOM-GRANT-STAMP-IT-001</v>
      </c>
      <c r="D14" s="47" t="s">
        <v>70</v>
      </c>
      <c r="E14" s="54">
        <v>2800.0</v>
      </c>
      <c r="F14" s="33">
        <f t="shared" ref="F14:AI14" si="12">indirect("'" &amp; F$2 &amp; "'!D" &amp; text(ROW( ) + 8,"#"))</f>
        <v>17</v>
      </c>
      <c r="G14" s="35">
        <f t="shared" si="12"/>
        <v>19</v>
      </c>
      <c r="H14" s="33">
        <f t="shared" si="12"/>
        <v>17</v>
      </c>
      <c r="I14" s="35">
        <f t="shared" si="12"/>
        <v>18</v>
      </c>
      <c r="J14" s="33">
        <f t="shared" si="12"/>
        <v>17</v>
      </c>
      <c r="K14" s="35">
        <f t="shared" si="12"/>
        <v>18</v>
      </c>
      <c r="L14" s="33">
        <f t="shared" si="12"/>
        <v>16</v>
      </c>
      <c r="M14" s="35">
        <f t="shared" si="12"/>
        <v>7</v>
      </c>
      <c r="N14" s="33">
        <f t="shared" si="12"/>
        <v>19</v>
      </c>
      <c r="O14" s="35">
        <f t="shared" si="12"/>
        <v>19</v>
      </c>
      <c r="P14" s="33">
        <f t="shared" si="12"/>
        <v>4</v>
      </c>
      <c r="Q14" s="35">
        <f t="shared" si="12"/>
        <v>9</v>
      </c>
      <c r="R14" s="33">
        <f t="shared" si="12"/>
        <v>15</v>
      </c>
      <c r="S14" s="35">
        <f t="shared" si="12"/>
        <v>15</v>
      </c>
      <c r="T14" s="33">
        <f t="shared" si="12"/>
        <v>14</v>
      </c>
      <c r="U14" s="35">
        <f t="shared" si="12"/>
        <v>15</v>
      </c>
      <c r="V14" s="33">
        <f t="shared" si="12"/>
        <v>15</v>
      </c>
      <c r="W14" s="35">
        <f t="shared" si="12"/>
        <v>9</v>
      </c>
      <c r="X14" s="33" t="str">
        <f t="shared" si="12"/>
        <v/>
      </c>
      <c r="Y14" s="35">
        <f t="shared" si="12"/>
        <v>13</v>
      </c>
      <c r="Z14" s="33">
        <f t="shared" si="12"/>
        <v>17</v>
      </c>
      <c r="AA14" s="35">
        <f t="shared" si="12"/>
        <v>16</v>
      </c>
      <c r="AB14" s="33">
        <f t="shared" si="12"/>
        <v>17</v>
      </c>
      <c r="AC14" s="35">
        <f t="shared" si="12"/>
        <v>1</v>
      </c>
      <c r="AD14" s="33" t="str">
        <f t="shared" si="12"/>
        <v/>
      </c>
      <c r="AE14" s="37">
        <f t="shared" si="12"/>
        <v>17</v>
      </c>
      <c r="AF14" s="33">
        <f t="shared" si="12"/>
        <v>17</v>
      </c>
      <c r="AG14" s="37">
        <f t="shared" si="12"/>
        <v>18</v>
      </c>
      <c r="AH14" s="33">
        <f t="shared" si="12"/>
        <v>13</v>
      </c>
      <c r="AI14" s="37">
        <f t="shared" si="12"/>
        <v>16</v>
      </c>
    </row>
    <row r="15">
      <c r="B15" s="43" t="s">
        <v>71</v>
      </c>
      <c r="C15" s="43" t="str">
        <f>HYPERLINK("https://factomize.com/forums/threads/marketing-committee-hackathon-grant.1557/","FACTOM-GRANT-MARKETING-COMMITEE-003")</f>
        <v>FACTOM-GRANT-MARKETING-COMMITEE-003</v>
      </c>
      <c r="D15" s="47" t="s">
        <v>72</v>
      </c>
      <c r="E15" s="47">
        <v>3600.0</v>
      </c>
      <c r="F15" s="33">
        <f t="shared" ref="F15:AI15" si="13">indirect("'" &amp; F$2 &amp; "'!D" &amp; text(ROW( ) + 8,"#"))</f>
        <v>7</v>
      </c>
      <c r="G15" s="35">
        <f t="shared" si="13"/>
        <v>12</v>
      </c>
      <c r="H15" s="33">
        <f t="shared" si="13"/>
        <v>8</v>
      </c>
      <c r="I15" s="35">
        <f t="shared" si="13"/>
        <v>12</v>
      </c>
      <c r="J15" s="33">
        <f t="shared" si="13"/>
        <v>6</v>
      </c>
      <c r="K15" s="35">
        <f t="shared" si="13"/>
        <v>9</v>
      </c>
      <c r="L15" s="33">
        <f t="shared" si="13"/>
        <v>2</v>
      </c>
      <c r="M15" s="35">
        <f t="shared" si="13"/>
        <v>16</v>
      </c>
      <c r="N15" s="33">
        <f t="shared" si="13"/>
        <v>1</v>
      </c>
      <c r="O15" s="35">
        <f t="shared" si="13"/>
        <v>8</v>
      </c>
      <c r="P15" s="33">
        <f t="shared" si="13"/>
        <v>5</v>
      </c>
      <c r="Q15" s="35">
        <f t="shared" si="13"/>
        <v>11</v>
      </c>
      <c r="R15" s="33">
        <f t="shared" si="13"/>
        <v>3</v>
      </c>
      <c r="S15" s="35">
        <f t="shared" si="13"/>
        <v>11</v>
      </c>
      <c r="T15" s="33">
        <f t="shared" si="13"/>
        <v>10</v>
      </c>
      <c r="U15" s="35">
        <f t="shared" si="13"/>
        <v>3</v>
      </c>
      <c r="V15" s="33">
        <f t="shared" si="13"/>
        <v>2</v>
      </c>
      <c r="W15" s="35">
        <f t="shared" si="13"/>
        <v>11</v>
      </c>
      <c r="X15" s="33">
        <f t="shared" si="13"/>
        <v>7</v>
      </c>
      <c r="Y15" s="35">
        <f t="shared" si="13"/>
        <v>15</v>
      </c>
      <c r="Z15" s="33">
        <f t="shared" si="13"/>
        <v>3</v>
      </c>
      <c r="AA15" s="35">
        <f t="shared" si="13"/>
        <v>2</v>
      </c>
      <c r="AB15" s="33">
        <f t="shared" si="13"/>
        <v>12</v>
      </c>
      <c r="AC15" s="35">
        <f t="shared" si="13"/>
        <v>13</v>
      </c>
      <c r="AD15" s="33" t="str">
        <f t="shared" si="13"/>
        <v/>
      </c>
      <c r="AE15" s="37">
        <f t="shared" si="13"/>
        <v>7</v>
      </c>
      <c r="AF15" s="33">
        <f t="shared" si="13"/>
        <v>7</v>
      </c>
      <c r="AG15" s="37">
        <f t="shared" si="13"/>
        <v>12</v>
      </c>
      <c r="AH15" s="33">
        <f t="shared" si="13"/>
        <v>9</v>
      </c>
      <c r="AI15" s="37">
        <f t="shared" si="13"/>
        <v>5</v>
      </c>
    </row>
    <row r="16">
      <c r="B16" s="58" t="s">
        <v>73</v>
      </c>
      <c r="C16" s="58" t="str">
        <f>HYPERLINK("https://factomize.com/forums/threads/bif-004-core-development.1558/","FACTOM-GRANT-BIF-004")</f>
        <v>FACTOM-GRANT-BIF-004</v>
      </c>
      <c r="D16" s="51" t="s">
        <v>74</v>
      </c>
      <c r="E16" s="51">
        <v>500.0</v>
      </c>
      <c r="F16" s="33">
        <f t="shared" ref="F16:AI16" si="14">indirect("'" &amp; F$2 &amp; "'!D" &amp; text(ROW( ) + 8,"#"))</f>
        <v>3</v>
      </c>
      <c r="G16" s="35" t="str">
        <f t="shared" si="14"/>
        <v/>
      </c>
      <c r="H16" s="33">
        <f t="shared" si="14"/>
        <v>4</v>
      </c>
      <c r="I16" s="35">
        <f t="shared" si="14"/>
        <v>7</v>
      </c>
      <c r="J16" s="33">
        <f t="shared" si="14"/>
        <v>5</v>
      </c>
      <c r="K16" s="35">
        <f t="shared" si="14"/>
        <v>6</v>
      </c>
      <c r="L16" s="33">
        <f t="shared" si="14"/>
        <v>4</v>
      </c>
      <c r="M16" s="35">
        <f t="shared" si="14"/>
        <v>4</v>
      </c>
      <c r="N16" s="33">
        <f t="shared" si="14"/>
        <v>8</v>
      </c>
      <c r="O16" s="35">
        <f t="shared" si="14"/>
        <v>4</v>
      </c>
      <c r="P16" s="33">
        <f t="shared" si="14"/>
        <v>13</v>
      </c>
      <c r="Q16" s="35">
        <f t="shared" si="14"/>
        <v>6</v>
      </c>
      <c r="R16" s="33">
        <f t="shared" si="14"/>
        <v>13</v>
      </c>
      <c r="S16" s="35">
        <f t="shared" si="14"/>
        <v>5</v>
      </c>
      <c r="T16" s="33">
        <f t="shared" si="14"/>
        <v>9</v>
      </c>
      <c r="U16" s="35">
        <f t="shared" si="14"/>
        <v>7</v>
      </c>
      <c r="V16" s="33">
        <f t="shared" si="14"/>
        <v>4</v>
      </c>
      <c r="W16" s="35">
        <f t="shared" si="14"/>
        <v>14</v>
      </c>
      <c r="X16" s="33">
        <f t="shared" si="14"/>
        <v>6</v>
      </c>
      <c r="Y16" s="35">
        <f t="shared" si="14"/>
        <v>3</v>
      </c>
      <c r="Z16" s="33">
        <f t="shared" si="14"/>
        <v>6</v>
      </c>
      <c r="AA16" s="35">
        <f t="shared" si="14"/>
        <v>18</v>
      </c>
      <c r="AB16" s="33">
        <f t="shared" si="14"/>
        <v>10</v>
      </c>
      <c r="AC16" s="35">
        <f t="shared" si="14"/>
        <v>3</v>
      </c>
      <c r="AD16" s="33">
        <f t="shared" si="14"/>
        <v>12</v>
      </c>
      <c r="AE16" s="37">
        <f t="shared" si="14"/>
        <v>3</v>
      </c>
      <c r="AF16" s="33">
        <f t="shared" si="14"/>
        <v>4</v>
      </c>
      <c r="AG16" s="37">
        <f t="shared" si="14"/>
        <v>7</v>
      </c>
      <c r="AH16" s="33">
        <f t="shared" si="14"/>
        <v>11</v>
      </c>
      <c r="AI16" s="37">
        <f t="shared" si="14"/>
        <v>14</v>
      </c>
    </row>
    <row r="17">
      <c r="B17" s="52" t="s">
        <v>73</v>
      </c>
      <c r="C17" s="52" t="str">
        <f>HYPERLINK("https://factomize.com/forums/threads/bif-005-core-development.1559/","FACTOM-GRANT-BIF-005")</f>
        <v>FACTOM-GRANT-BIF-005</v>
      </c>
      <c r="D17" s="47" t="s">
        <v>75</v>
      </c>
      <c r="E17" s="47">
        <v>5000.0</v>
      </c>
      <c r="F17" s="33">
        <f t="shared" ref="F17:AI17" si="15">indirect("'" &amp; F$2 &amp; "'!D" &amp; text(ROW( ) + 8,"#"))</f>
        <v>18</v>
      </c>
      <c r="G17" s="35" t="str">
        <f t="shared" si="15"/>
        <v/>
      </c>
      <c r="H17" s="33">
        <f t="shared" si="15"/>
        <v>15</v>
      </c>
      <c r="I17" s="35">
        <f t="shared" si="15"/>
        <v>20</v>
      </c>
      <c r="J17" s="33">
        <f t="shared" si="15"/>
        <v>16</v>
      </c>
      <c r="K17" s="35">
        <f t="shared" si="15"/>
        <v>16</v>
      </c>
      <c r="L17" s="33">
        <f t="shared" si="15"/>
        <v>7</v>
      </c>
      <c r="M17" s="35">
        <f t="shared" si="15"/>
        <v>11</v>
      </c>
      <c r="N17" s="33">
        <f t="shared" si="15"/>
        <v>9</v>
      </c>
      <c r="O17" s="35">
        <f t="shared" si="15"/>
        <v>17</v>
      </c>
      <c r="P17" s="33">
        <f t="shared" si="15"/>
        <v>12</v>
      </c>
      <c r="Q17" s="35">
        <f t="shared" si="15"/>
        <v>16</v>
      </c>
      <c r="R17" s="33">
        <f t="shared" si="15"/>
        <v>14</v>
      </c>
      <c r="S17" s="35">
        <f t="shared" si="15"/>
        <v>18</v>
      </c>
      <c r="T17" s="33">
        <f t="shared" si="15"/>
        <v>17</v>
      </c>
      <c r="U17" s="35">
        <f t="shared" si="15"/>
        <v>17</v>
      </c>
      <c r="V17" s="33">
        <f t="shared" si="15"/>
        <v>17</v>
      </c>
      <c r="W17" s="35">
        <f t="shared" si="15"/>
        <v>17</v>
      </c>
      <c r="X17" s="33" t="str">
        <f t="shared" si="15"/>
        <v/>
      </c>
      <c r="Y17" s="35">
        <f t="shared" si="15"/>
        <v>19</v>
      </c>
      <c r="Z17" s="33">
        <f t="shared" si="15"/>
        <v>20</v>
      </c>
      <c r="AA17" s="35">
        <f t="shared" si="15"/>
        <v>19</v>
      </c>
      <c r="AB17" s="33">
        <f t="shared" si="15"/>
        <v>14</v>
      </c>
      <c r="AC17" s="35">
        <f t="shared" si="15"/>
        <v>18</v>
      </c>
      <c r="AD17" s="33">
        <f t="shared" si="15"/>
        <v>17</v>
      </c>
      <c r="AE17" s="37">
        <f t="shared" si="15"/>
        <v>15</v>
      </c>
      <c r="AF17" s="33">
        <f t="shared" si="15"/>
        <v>18</v>
      </c>
      <c r="AG17" s="37">
        <f t="shared" si="15"/>
        <v>20</v>
      </c>
      <c r="AH17" s="33">
        <f t="shared" si="15"/>
        <v>16</v>
      </c>
      <c r="AI17" s="37">
        <f t="shared" si="15"/>
        <v>15</v>
      </c>
    </row>
    <row r="18">
      <c r="B18" s="43" t="s">
        <v>76</v>
      </c>
      <c r="C18" s="43" t="str">
        <f>HYPERLINK("https://factomize.com/forums/threads/sphereon-core-development-project-manager.1560/","FACTOM-GRANT-SPHEREON-XXX")</f>
        <v>FACTOM-GRANT-SPHEREON-XXX</v>
      </c>
      <c r="D18" s="47" t="s">
        <v>77</v>
      </c>
      <c r="E18" s="47">
        <v>2000.0</v>
      </c>
      <c r="F18" s="33">
        <f t="shared" ref="F18:AI18" si="16">indirect("'" &amp; F$2 &amp; "'!D" &amp; text(ROW( ) + 8,"#"))</f>
        <v>19</v>
      </c>
      <c r="G18" s="35" t="str">
        <f t="shared" si="16"/>
        <v/>
      </c>
      <c r="H18" s="33">
        <f t="shared" si="16"/>
        <v>16</v>
      </c>
      <c r="I18" s="35">
        <f t="shared" si="16"/>
        <v>21</v>
      </c>
      <c r="J18" s="33">
        <f t="shared" si="16"/>
        <v>13</v>
      </c>
      <c r="K18" s="35">
        <f t="shared" si="16"/>
        <v>20</v>
      </c>
      <c r="L18" s="33">
        <f t="shared" si="16"/>
        <v>8</v>
      </c>
      <c r="M18" s="35">
        <f t="shared" si="16"/>
        <v>17</v>
      </c>
      <c r="N18" s="33">
        <f t="shared" si="16"/>
        <v>18</v>
      </c>
      <c r="O18" s="35">
        <f t="shared" si="16"/>
        <v>18</v>
      </c>
      <c r="P18" s="33">
        <f t="shared" si="16"/>
        <v>11</v>
      </c>
      <c r="Q18" s="35">
        <f t="shared" si="16"/>
        <v>17</v>
      </c>
      <c r="R18" s="33">
        <f t="shared" si="16"/>
        <v>20</v>
      </c>
      <c r="S18" s="35">
        <f t="shared" si="16"/>
        <v>17</v>
      </c>
      <c r="T18" s="33">
        <f t="shared" si="16"/>
        <v>16</v>
      </c>
      <c r="U18" s="35">
        <f t="shared" si="16"/>
        <v>18</v>
      </c>
      <c r="V18" s="33">
        <f t="shared" si="16"/>
        <v>16</v>
      </c>
      <c r="W18" s="35">
        <f t="shared" si="16"/>
        <v>16</v>
      </c>
      <c r="X18" s="33">
        <f t="shared" si="16"/>
        <v>20</v>
      </c>
      <c r="Y18" s="35">
        <f t="shared" si="16"/>
        <v>20</v>
      </c>
      <c r="Z18" s="33">
        <f t="shared" si="16"/>
        <v>18</v>
      </c>
      <c r="AA18" s="35">
        <f t="shared" si="16"/>
        <v>17</v>
      </c>
      <c r="AB18" s="33">
        <f t="shared" si="16"/>
        <v>16</v>
      </c>
      <c r="AC18" s="35">
        <f t="shared" si="16"/>
        <v>19</v>
      </c>
      <c r="AD18" s="33">
        <f t="shared" si="16"/>
        <v>16</v>
      </c>
      <c r="AE18" s="37">
        <f t="shared" si="16"/>
        <v>16</v>
      </c>
      <c r="AF18" s="33">
        <f t="shared" si="16"/>
        <v>19</v>
      </c>
      <c r="AG18" s="37">
        <f t="shared" si="16"/>
        <v>21</v>
      </c>
      <c r="AH18" s="33">
        <f t="shared" si="16"/>
        <v>18</v>
      </c>
      <c r="AI18" s="37">
        <f t="shared" si="16"/>
        <v>12</v>
      </c>
    </row>
    <row r="19">
      <c r="B19" s="52" t="s">
        <v>71</v>
      </c>
      <c r="C19" s="52" t="str">
        <f>HYPERLINK("https://factomize.com/forums/threads/marketing-committee-explainer-video-grant.1561/","FACTOM-GRANT-MARKETING-COMMITEE-002")</f>
        <v>FACTOM-GRANT-MARKETING-COMMITEE-002</v>
      </c>
      <c r="D19" s="47" t="s">
        <v>78</v>
      </c>
      <c r="E19" s="47">
        <v>3000.0</v>
      </c>
      <c r="F19" s="33">
        <f t="shared" ref="F19:AI19" si="17">indirect("'" &amp; F$2 &amp; "'!D" &amp; text(ROW( ) + 8,"#"))</f>
        <v>15</v>
      </c>
      <c r="G19" s="35">
        <f t="shared" si="17"/>
        <v>15</v>
      </c>
      <c r="H19" s="33">
        <f t="shared" si="17"/>
        <v>13</v>
      </c>
      <c r="I19" s="35">
        <f t="shared" si="17"/>
        <v>10</v>
      </c>
      <c r="J19" s="33">
        <f t="shared" si="17"/>
        <v>14</v>
      </c>
      <c r="K19" s="35">
        <f t="shared" si="17"/>
        <v>12</v>
      </c>
      <c r="L19" s="33">
        <f t="shared" si="17"/>
        <v>10</v>
      </c>
      <c r="M19" s="35">
        <f t="shared" si="17"/>
        <v>8</v>
      </c>
      <c r="N19" s="33">
        <f t="shared" si="17"/>
        <v>2</v>
      </c>
      <c r="O19" s="35">
        <f t="shared" si="17"/>
        <v>13</v>
      </c>
      <c r="P19" s="33">
        <f t="shared" si="17"/>
        <v>6</v>
      </c>
      <c r="Q19" s="35">
        <f t="shared" si="17"/>
        <v>15</v>
      </c>
      <c r="R19" s="33">
        <f t="shared" si="17"/>
        <v>2</v>
      </c>
      <c r="S19" s="35">
        <f t="shared" si="17"/>
        <v>14</v>
      </c>
      <c r="T19" s="33">
        <f t="shared" si="17"/>
        <v>12</v>
      </c>
      <c r="U19" s="35">
        <f t="shared" si="17"/>
        <v>11</v>
      </c>
      <c r="V19" s="33">
        <f t="shared" si="17"/>
        <v>11</v>
      </c>
      <c r="W19" s="35">
        <f t="shared" si="17"/>
        <v>12</v>
      </c>
      <c r="X19" s="33">
        <f t="shared" si="17"/>
        <v>8</v>
      </c>
      <c r="Y19" s="35">
        <f t="shared" si="17"/>
        <v>10</v>
      </c>
      <c r="Z19" s="33">
        <f t="shared" si="17"/>
        <v>9</v>
      </c>
      <c r="AA19" s="35">
        <f t="shared" si="17"/>
        <v>1</v>
      </c>
      <c r="AB19" s="33">
        <f t="shared" si="17"/>
        <v>15</v>
      </c>
      <c r="AC19" s="35">
        <f t="shared" si="17"/>
        <v>10</v>
      </c>
      <c r="AD19" s="33" t="str">
        <f t="shared" si="17"/>
        <v/>
      </c>
      <c r="AE19" s="37">
        <f t="shared" si="17"/>
        <v>12</v>
      </c>
      <c r="AF19" s="33">
        <f t="shared" si="17"/>
        <v>15</v>
      </c>
      <c r="AG19" s="37">
        <f t="shared" si="17"/>
        <v>10</v>
      </c>
      <c r="AH19" s="33">
        <f t="shared" si="17"/>
        <v>14</v>
      </c>
      <c r="AI19" s="37">
        <f t="shared" si="17"/>
        <v>4</v>
      </c>
    </row>
    <row r="20">
      <c r="B20" s="43" t="s">
        <v>79</v>
      </c>
      <c r="C20" s="43" t="str">
        <f>HYPERLINK("https://factomize.com/forums/threads/factom-grant-factom-inc-012-protocol-development.1563/","FACTOM-GRANT-FACTOM, INC-012")</f>
        <v>FACTOM-GRANT-FACTOM, INC-012</v>
      </c>
      <c r="D20" s="54" t="s">
        <v>80</v>
      </c>
      <c r="E20" s="47">
        <v>37259.0</v>
      </c>
      <c r="F20" s="33">
        <f t="shared" ref="F20:AI20" si="18">indirect("'" &amp; F$2 &amp; "'!D" &amp; text(ROW( ) + 8,"#"))</f>
        <v>2</v>
      </c>
      <c r="G20" s="35">
        <f t="shared" si="18"/>
        <v>4</v>
      </c>
      <c r="H20" s="33">
        <f t="shared" si="18"/>
        <v>2</v>
      </c>
      <c r="I20" s="35">
        <f t="shared" si="18"/>
        <v>3</v>
      </c>
      <c r="J20" s="33">
        <f t="shared" si="18"/>
        <v>2</v>
      </c>
      <c r="K20" s="35">
        <f t="shared" si="18"/>
        <v>1</v>
      </c>
      <c r="L20" s="33">
        <f t="shared" si="18"/>
        <v>3</v>
      </c>
      <c r="M20" s="35">
        <f t="shared" si="18"/>
        <v>15</v>
      </c>
      <c r="N20" s="33">
        <f t="shared" si="18"/>
        <v>15</v>
      </c>
      <c r="O20" s="35">
        <f t="shared" si="18"/>
        <v>1</v>
      </c>
      <c r="P20" s="33">
        <f t="shared" si="18"/>
        <v>2</v>
      </c>
      <c r="Q20" s="35">
        <f t="shared" si="18"/>
        <v>4</v>
      </c>
      <c r="R20" s="33">
        <f t="shared" si="18"/>
        <v>16</v>
      </c>
      <c r="S20" s="35" t="str">
        <f t="shared" si="18"/>
        <v/>
      </c>
      <c r="T20" s="33">
        <f t="shared" si="18"/>
        <v>2</v>
      </c>
      <c r="U20" s="35">
        <f t="shared" si="18"/>
        <v>1</v>
      </c>
      <c r="V20" s="33">
        <f t="shared" si="18"/>
        <v>18</v>
      </c>
      <c r="W20" s="35">
        <f t="shared" si="18"/>
        <v>5</v>
      </c>
      <c r="X20" s="33">
        <f t="shared" si="18"/>
        <v>5</v>
      </c>
      <c r="Y20" s="35">
        <f t="shared" si="18"/>
        <v>4</v>
      </c>
      <c r="Z20" s="33">
        <f t="shared" si="18"/>
        <v>4</v>
      </c>
      <c r="AA20" s="35">
        <f t="shared" si="18"/>
        <v>9</v>
      </c>
      <c r="AB20" s="33">
        <f t="shared" si="18"/>
        <v>2</v>
      </c>
      <c r="AC20" s="35">
        <f t="shared" si="18"/>
        <v>5</v>
      </c>
      <c r="AD20" s="33">
        <f t="shared" si="18"/>
        <v>1</v>
      </c>
      <c r="AE20" s="37">
        <f t="shared" si="18"/>
        <v>2</v>
      </c>
      <c r="AF20" s="33">
        <f t="shared" si="18"/>
        <v>3</v>
      </c>
      <c r="AG20" s="37">
        <f t="shared" si="18"/>
        <v>3</v>
      </c>
      <c r="AH20" s="33" t="str">
        <f t="shared" si="18"/>
        <v/>
      </c>
      <c r="AI20" s="37">
        <f t="shared" si="18"/>
        <v>1</v>
      </c>
    </row>
    <row r="21">
      <c r="B21" s="43" t="s">
        <v>79</v>
      </c>
      <c r="C21" s="43" t="str">
        <f>HYPERLINK("https://factomize.com/forums/threads/factom-grant-factom-inc-009-protocol-development-continuation.1564/","FACTOM-GRANT-FACTOM, INC-009")</f>
        <v>FACTOM-GRANT-FACTOM, INC-009</v>
      </c>
      <c r="D21" s="54" t="s">
        <v>81</v>
      </c>
      <c r="E21" s="54">
        <v>29440.0</v>
      </c>
      <c r="F21" s="33">
        <f t="shared" ref="F21:AI21" si="19">indirect("'" &amp; F$2 &amp; "'!D" &amp; text(ROW( ) + 8,"#"))</f>
        <v>1</v>
      </c>
      <c r="G21" s="35">
        <f t="shared" si="19"/>
        <v>7</v>
      </c>
      <c r="H21" s="33">
        <f t="shared" si="19"/>
        <v>1</v>
      </c>
      <c r="I21" s="35">
        <f t="shared" si="19"/>
        <v>1</v>
      </c>
      <c r="J21" s="33">
        <f t="shared" si="19"/>
        <v>1</v>
      </c>
      <c r="K21" s="35">
        <f t="shared" si="19"/>
        <v>2</v>
      </c>
      <c r="L21" s="33">
        <f t="shared" si="19"/>
        <v>19</v>
      </c>
      <c r="M21" s="35">
        <f t="shared" si="19"/>
        <v>5</v>
      </c>
      <c r="N21" s="33">
        <f t="shared" si="19"/>
        <v>13</v>
      </c>
      <c r="O21" s="35">
        <f t="shared" si="19"/>
        <v>2</v>
      </c>
      <c r="P21" s="33">
        <f t="shared" si="19"/>
        <v>19</v>
      </c>
      <c r="Q21" s="35">
        <f t="shared" si="19"/>
        <v>1</v>
      </c>
      <c r="R21" s="33">
        <f t="shared" si="19"/>
        <v>8</v>
      </c>
      <c r="S21" s="35" t="str">
        <f t="shared" si="19"/>
        <v/>
      </c>
      <c r="T21" s="33">
        <f t="shared" si="19"/>
        <v>3</v>
      </c>
      <c r="U21" s="35">
        <f t="shared" si="19"/>
        <v>2</v>
      </c>
      <c r="V21" s="33">
        <f t="shared" si="19"/>
        <v>1</v>
      </c>
      <c r="W21" s="35">
        <f t="shared" si="19"/>
        <v>4</v>
      </c>
      <c r="X21" s="33">
        <f t="shared" si="19"/>
        <v>1</v>
      </c>
      <c r="Y21" s="35">
        <f t="shared" si="19"/>
        <v>5</v>
      </c>
      <c r="Z21" s="33">
        <f t="shared" si="19"/>
        <v>5</v>
      </c>
      <c r="AA21" s="35">
        <f t="shared" si="19"/>
        <v>10</v>
      </c>
      <c r="AB21" s="33">
        <f t="shared" si="19"/>
        <v>1</v>
      </c>
      <c r="AC21" s="35">
        <f t="shared" si="19"/>
        <v>4</v>
      </c>
      <c r="AD21" s="33">
        <f t="shared" si="19"/>
        <v>2</v>
      </c>
      <c r="AE21" s="37">
        <f t="shared" si="19"/>
        <v>1</v>
      </c>
      <c r="AF21" s="33">
        <f t="shared" si="19"/>
        <v>1</v>
      </c>
      <c r="AG21" s="37">
        <f t="shared" si="19"/>
        <v>1</v>
      </c>
      <c r="AH21" s="33" t="str">
        <f t="shared" si="19"/>
        <v/>
      </c>
      <c r="AI21" s="37">
        <f t="shared" si="19"/>
        <v>2</v>
      </c>
    </row>
    <row r="22">
      <c r="B22" s="43" t="s">
        <v>82</v>
      </c>
      <c r="C22" s="43" t="str">
        <f>HYPERLINK("https://factomize.com/forums/threads/bedrock-defacto-001-factom-open-node-enhancement.1567/","FACTOM-GRANT-BEDROCK-DEFACTO-001")</f>
        <v>FACTOM-GRANT-BEDROCK-DEFACTO-001</v>
      </c>
      <c r="D22" s="54" t="s">
        <v>83</v>
      </c>
      <c r="E22" s="54">
        <v>1300.0</v>
      </c>
      <c r="F22" s="33">
        <f t="shared" ref="F22:AI22" si="20">indirect("'" &amp; F$2 &amp; "'!D" &amp; text(ROW( ) + 8,"#"))</f>
        <v>14</v>
      </c>
      <c r="G22" s="35">
        <f t="shared" si="20"/>
        <v>17</v>
      </c>
      <c r="H22" s="33">
        <f t="shared" si="20"/>
        <v>12</v>
      </c>
      <c r="I22" s="35">
        <f t="shared" si="20"/>
        <v>9</v>
      </c>
      <c r="J22" s="33" t="str">
        <f t="shared" si="20"/>
        <v/>
      </c>
      <c r="K22" s="35">
        <f t="shared" si="20"/>
        <v>7</v>
      </c>
      <c r="L22" s="33">
        <f t="shared" si="20"/>
        <v>17</v>
      </c>
      <c r="M22" s="35">
        <f t="shared" si="20"/>
        <v>10</v>
      </c>
      <c r="N22" s="33">
        <f t="shared" si="20"/>
        <v>17</v>
      </c>
      <c r="O22" s="35" t="str">
        <f t="shared" si="20"/>
        <v/>
      </c>
      <c r="P22" s="33">
        <f t="shared" si="20"/>
        <v>10</v>
      </c>
      <c r="Q22" s="35">
        <f t="shared" si="20"/>
        <v>13</v>
      </c>
      <c r="R22" s="33">
        <f t="shared" si="20"/>
        <v>5</v>
      </c>
      <c r="S22" s="35">
        <f t="shared" si="20"/>
        <v>10</v>
      </c>
      <c r="T22" s="33">
        <f t="shared" si="20"/>
        <v>6</v>
      </c>
      <c r="U22" s="35">
        <f t="shared" si="20"/>
        <v>16</v>
      </c>
      <c r="V22" s="33">
        <f t="shared" si="20"/>
        <v>14</v>
      </c>
      <c r="W22" s="35">
        <f t="shared" si="20"/>
        <v>8</v>
      </c>
      <c r="X22" s="33" t="str">
        <f t="shared" si="20"/>
        <v/>
      </c>
      <c r="Y22" s="35">
        <f t="shared" si="20"/>
        <v>17</v>
      </c>
      <c r="Z22" s="33">
        <f t="shared" si="20"/>
        <v>16</v>
      </c>
      <c r="AA22" s="35">
        <f t="shared" si="20"/>
        <v>12</v>
      </c>
      <c r="AB22" s="33">
        <f t="shared" si="20"/>
        <v>13</v>
      </c>
      <c r="AC22" s="35">
        <f t="shared" si="20"/>
        <v>11</v>
      </c>
      <c r="AD22" s="33">
        <f t="shared" si="20"/>
        <v>5</v>
      </c>
      <c r="AE22" s="37" t="str">
        <f t="shared" si="20"/>
        <v/>
      </c>
      <c r="AF22" s="33">
        <f t="shared" si="20"/>
        <v>14</v>
      </c>
      <c r="AG22" s="37">
        <f t="shared" si="20"/>
        <v>9</v>
      </c>
      <c r="AH22" s="33">
        <f t="shared" si="20"/>
        <v>17</v>
      </c>
      <c r="AI22" s="37">
        <f t="shared" si="20"/>
        <v>13</v>
      </c>
    </row>
    <row r="23">
      <c r="B23" s="43" t="s">
        <v>84</v>
      </c>
      <c r="C23" s="43" t="str">
        <f>HYPERLINK("https://factomize.com/forums/threads/factom-grant-dbgrow-luciap-canonical-ledgers-002-fat-protocol-development-grant-ii.1570/","FACTOM-GRANT-DBGROW-LUCIAP-CANONICALLEDGERS-002")</f>
        <v>FACTOM-GRANT-DBGROW-LUCIAP-CANONICALLEDGERS-002</v>
      </c>
      <c r="D23" s="54" t="s">
        <v>85</v>
      </c>
      <c r="E23" s="54">
        <v>12700.0</v>
      </c>
      <c r="F23" s="33">
        <f t="shared" ref="F23:AI23" si="21">indirect("'" &amp; F$2 &amp; "'!D" &amp; text(ROW( ) + 8,"#"))</f>
        <v>4</v>
      </c>
      <c r="G23" s="35">
        <f t="shared" si="21"/>
        <v>8</v>
      </c>
      <c r="H23" s="33" t="str">
        <f t="shared" si="21"/>
        <v/>
      </c>
      <c r="I23" s="35">
        <f t="shared" si="21"/>
        <v>2</v>
      </c>
      <c r="J23" s="33">
        <f t="shared" si="21"/>
        <v>8</v>
      </c>
      <c r="K23" s="35">
        <f t="shared" si="21"/>
        <v>3</v>
      </c>
      <c r="L23" s="33">
        <f t="shared" si="21"/>
        <v>9</v>
      </c>
      <c r="M23" s="35">
        <f t="shared" si="21"/>
        <v>3</v>
      </c>
      <c r="N23" s="33">
        <f t="shared" si="21"/>
        <v>12</v>
      </c>
      <c r="O23" s="35">
        <f t="shared" si="21"/>
        <v>6</v>
      </c>
      <c r="P23" s="33">
        <f t="shared" si="21"/>
        <v>1</v>
      </c>
      <c r="Q23" s="35">
        <f t="shared" si="21"/>
        <v>3</v>
      </c>
      <c r="R23" s="33">
        <f t="shared" si="21"/>
        <v>9</v>
      </c>
      <c r="S23" s="35">
        <f t="shared" si="21"/>
        <v>7</v>
      </c>
      <c r="T23" s="33">
        <f t="shared" si="21"/>
        <v>5</v>
      </c>
      <c r="U23" s="35">
        <f t="shared" si="21"/>
        <v>9</v>
      </c>
      <c r="V23" s="33">
        <f t="shared" si="21"/>
        <v>8</v>
      </c>
      <c r="W23" s="35">
        <f t="shared" si="21"/>
        <v>3</v>
      </c>
      <c r="X23" s="33">
        <f t="shared" si="21"/>
        <v>9</v>
      </c>
      <c r="Y23" s="35">
        <f t="shared" si="21"/>
        <v>6</v>
      </c>
      <c r="Z23" s="33">
        <f t="shared" si="21"/>
        <v>1</v>
      </c>
      <c r="AA23" s="35">
        <f t="shared" si="21"/>
        <v>11</v>
      </c>
      <c r="AB23" s="33">
        <f t="shared" si="21"/>
        <v>6</v>
      </c>
      <c r="AC23" s="35">
        <f t="shared" si="21"/>
        <v>6</v>
      </c>
      <c r="AD23" s="33">
        <f t="shared" si="21"/>
        <v>6</v>
      </c>
      <c r="AE23" s="37">
        <f t="shared" si="21"/>
        <v>10</v>
      </c>
      <c r="AF23" s="33">
        <f t="shared" si="21"/>
        <v>2</v>
      </c>
      <c r="AG23" s="37">
        <f t="shared" si="21"/>
        <v>2</v>
      </c>
      <c r="AH23" s="33">
        <f t="shared" si="21"/>
        <v>5</v>
      </c>
      <c r="AI23" s="37">
        <f t="shared" si="21"/>
        <v>11</v>
      </c>
    </row>
    <row r="24">
      <c r="B24" s="59" t="s">
        <v>86</v>
      </c>
      <c r="C24" s="60"/>
      <c r="D24" s="60"/>
      <c r="E24" s="61"/>
      <c r="F24" s="62" t="b">
        <v>1</v>
      </c>
      <c r="G24" s="62" t="b">
        <v>1</v>
      </c>
      <c r="H24" s="62" t="b">
        <v>1</v>
      </c>
      <c r="I24" s="62" t="b">
        <v>1</v>
      </c>
      <c r="J24" s="62" t="b">
        <v>1</v>
      </c>
      <c r="K24" s="62" t="b">
        <v>1</v>
      </c>
      <c r="L24" s="62" t="b">
        <v>1</v>
      </c>
      <c r="M24" s="62" t="b">
        <v>1</v>
      </c>
      <c r="N24" s="62" t="b">
        <v>1</v>
      </c>
      <c r="O24" s="62" t="b">
        <v>1</v>
      </c>
      <c r="P24" s="62" t="b">
        <v>1</v>
      </c>
      <c r="Q24" s="62" t="b">
        <v>1</v>
      </c>
      <c r="R24" s="62" t="b">
        <v>1</v>
      </c>
      <c r="S24" s="62" t="b">
        <v>1</v>
      </c>
      <c r="T24" s="62" t="b">
        <v>1</v>
      </c>
      <c r="U24" s="62" t="b">
        <v>1</v>
      </c>
      <c r="V24" s="62" t="b">
        <v>1</v>
      </c>
      <c r="W24" s="62" t="b">
        <v>1</v>
      </c>
      <c r="X24" s="62" t="b">
        <v>1</v>
      </c>
      <c r="Y24" s="62" t="b">
        <v>1</v>
      </c>
      <c r="Z24" s="62" t="b">
        <v>1</v>
      </c>
      <c r="AA24" s="62" t="b">
        <v>1</v>
      </c>
      <c r="AB24" s="62" t="b">
        <v>1</v>
      </c>
      <c r="AC24" s="62" t="b">
        <v>1</v>
      </c>
      <c r="AD24" s="62" t="b">
        <v>1</v>
      </c>
      <c r="AE24" s="62" t="b">
        <v>1</v>
      </c>
      <c r="AF24" s="62" t="b">
        <v>1</v>
      </c>
      <c r="AG24" s="62" t="b">
        <v>1</v>
      </c>
      <c r="AH24" s="62" t="b">
        <v>1</v>
      </c>
      <c r="AI24" s="62" t="b">
        <v>1</v>
      </c>
    </row>
    <row r="25" ht="32.25" customHeight="1">
      <c r="A25" s="12"/>
      <c r="AE25" s="12"/>
      <c r="AF25" s="12"/>
      <c r="AG25" s="12"/>
      <c r="AH25" s="12"/>
      <c r="AI25" s="12"/>
    </row>
    <row r="26">
      <c r="A26" s="12"/>
      <c r="B26" s="63" t="s">
        <v>87</v>
      </c>
      <c r="F26" s="19" t="str">
        <f t="shared" ref="F26:AI26" si="22">F2</f>
        <v>Guide: Canonical Ledgers</v>
      </c>
      <c r="G26" s="19" t="str">
        <f t="shared" si="22"/>
        <v>Guide: Centis BV</v>
      </c>
      <c r="H26" s="19" t="str">
        <f t="shared" si="22"/>
        <v>Guide: DBGrow Inc.</v>
      </c>
      <c r="I26" s="19" t="str">
        <f t="shared" si="22"/>
        <v>Guide: Factom Inc</v>
      </c>
      <c r="J26" s="19" t="str">
        <f t="shared" si="22"/>
        <v>Guide: The 42ND Factoid AS</v>
      </c>
      <c r="K26" s="19" t="str">
        <f t="shared" si="22"/>
        <v>ANO: Bedrock Solutions</v>
      </c>
      <c r="L26" s="19" t="str">
        <f t="shared" si="22"/>
        <v>ANO: Blockchain Innovation Foundation</v>
      </c>
      <c r="M26" s="19" t="str">
        <f t="shared" si="22"/>
        <v>ANO: Blockrock Mining</v>
      </c>
      <c r="N26" s="19" t="str">
        <f t="shared" si="22"/>
        <v>ANO: Building Innovation Management</v>
      </c>
      <c r="O26" s="19" t="str">
        <f t="shared" si="22"/>
        <v>ANO: CryptoLogic</v>
      </c>
      <c r="P26" s="19" t="str">
        <f t="shared" si="22"/>
        <v>ANO: Cube3</v>
      </c>
      <c r="Q26" s="19" t="str">
        <f t="shared" si="22"/>
        <v>ANO: DBGrow</v>
      </c>
      <c r="R26" s="19" t="str">
        <f t="shared" si="22"/>
        <v>ANO: DeFacto</v>
      </c>
      <c r="S26" s="19" t="str">
        <f t="shared" si="22"/>
        <v>ANO: Factomatic</v>
      </c>
      <c r="T26" s="19" t="str">
        <f t="shared" si="22"/>
        <v>ANO: Factomize</v>
      </c>
      <c r="U26" s="19" t="str">
        <f t="shared" si="22"/>
        <v>ANO: Factoshi</v>
      </c>
      <c r="V26" s="19" t="str">
        <f t="shared" si="22"/>
        <v>ANO: Federate This</v>
      </c>
      <c r="W26" s="19" t="str">
        <f t="shared" si="22"/>
        <v>ANO: Go Immutable</v>
      </c>
      <c r="X26" s="19" t="str">
        <f t="shared" si="22"/>
        <v>ANO: Hash-n-Store</v>
      </c>
      <c r="Y26" s="19" t="str">
        <f t="shared" si="22"/>
        <v>ANO: Layertech</v>
      </c>
      <c r="Z26" s="19" t="str">
        <f t="shared" si="22"/>
        <v>ANO: LUCIAP</v>
      </c>
      <c r="AA26" s="19" t="str">
        <f t="shared" si="22"/>
        <v>ANO: Matter of Fact</v>
      </c>
      <c r="AB26" s="19" t="str">
        <f t="shared" si="22"/>
        <v>ANO: RewardChain</v>
      </c>
      <c r="AC26" s="19" t="str">
        <f t="shared" si="22"/>
        <v>ANO: Stamp-IT</v>
      </c>
      <c r="AD26" s="19" t="str">
        <f t="shared" si="22"/>
        <v>ANO: Multicoin</v>
      </c>
      <c r="AE26" s="19" t="str">
        <f t="shared" si="22"/>
        <v>ANO: TFA</v>
      </c>
      <c r="AF26" s="19" t="str">
        <f t="shared" si="22"/>
        <v>ANO: Canonical Ledgers</v>
      </c>
      <c r="AG26" s="19" t="str">
        <f t="shared" si="22"/>
        <v>ANO: Factom Inc.</v>
      </c>
      <c r="AH26" s="19" t="str">
        <f t="shared" si="22"/>
        <v>ANO: VBIF</v>
      </c>
      <c r="AI26" s="19" t="str">
        <f t="shared" si="22"/>
        <v>ANO: Prestige IT</v>
      </c>
    </row>
    <row r="27">
      <c r="B27" s="64" t="s">
        <v>79</v>
      </c>
      <c r="C27" s="65" t="str">
        <f>HYPERLINK("https://factomize.com/forums/threads/factom-grant-factom-inc-008-anchor-master-continuation.1568/","FACTOM-GRANT-FACTOM, INC-008")</f>
        <v>FACTOM-GRANT-FACTOM, INC-008</v>
      </c>
      <c r="D27" s="66" t="s">
        <v>88</v>
      </c>
      <c r="E27" s="66">
        <v>660.0</v>
      </c>
      <c r="F27" s="67" t="b">
        <f t="shared" ref="F27:AI27" si="23">if(indirect("'" &amp; F$26 &amp; "'!E" &amp; text(ROW( ) - 23,"#")),"",indirect("'" &amp; F$26 &amp; "'!F" &amp; text(ROW( ) - 23,"#")))</f>
        <v>1</v>
      </c>
      <c r="G27" s="67" t="b">
        <f t="shared" si="23"/>
        <v>1</v>
      </c>
      <c r="H27" s="67" t="b">
        <f t="shared" si="23"/>
        <v>1</v>
      </c>
      <c r="I27" s="67" t="b">
        <f t="shared" si="23"/>
        <v>1</v>
      </c>
      <c r="J27" s="67" t="b">
        <f t="shared" si="23"/>
        <v>1</v>
      </c>
      <c r="K27" s="67" t="b">
        <f t="shared" si="23"/>
        <v>1</v>
      </c>
      <c r="L27" s="67" t="b">
        <f t="shared" si="23"/>
        <v>1</v>
      </c>
      <c r="M27" s="67" t="b">
        <f t="shared" si="23"/>
        <v>1</v>
      </c>
      <c r="N27" s="67" t="b">
        <f t="shared" si="23"/>
        <v>1</v>
      </c>
      <c r="O27" s="67" t="b">
        <f t="shared" si="23"/>
        <v>1</v>
      </c>
      <c r="P27" s="67" t="b">
        <f t="shared" si="23"/>
        <v>1</v>
      </c>
      <c r="Q27" s="67" t="b">
        <f t="shared" si="23"/>
        <v>1</v>
      </c>
      <c r="R27" s="67" t="b">
        <f t="shared" si="23"/>
        <v>1</v>
      </c>
      <c r="S27" s="67" t="b">
        <f t="shared" si="23"/>
        <v>1</v>
      </c>
      <c r="T27" s="67" t="b">
        <f t="shared" si="23"/>
        <v>1</v>
      </c>
      <c r="U27" s="67" t="b">
        <f t="shared" si="23"/>
        <v>1</v>
      </c>
      <c r="V27" s="67" t="b">
        <f t="shared" si="23"/>
        <v>1</v>
      </c>
      <c r="W27" s="67" t="b">
        <f t="shared" si="23"/>
        <v>1</v>
      </c>
      <c r="X27" s="67" t="b">
        <f t="shared" si="23"/>
        <v>1</v>
      </c>
      <c r="Y27" s="67" t="b">
        <f t="shared" si="23"/>
        <v>1</v>
      </c>
      <c r="Z27" s="67" t="b">
        <f t="shared" si="23"/>
        <v>1</v>
      </c>
      <c r="AA27" s="67" t="b">
        <f t="shared" si="23"/>
        <v>1</v>
      </c>
      <c r="AB27" s="67" t="b">
        <f t="shared" si="23"/>
        <v>1</v>
      </c>
      <c r="AC27" s="67" t="b">
        <f t="shared" si="23"/>
        <v>1</v>
      </c>
      <c r="AD27" s="67" t="b">
        <f t="shared" si="23"/>
        <v>1</v>
      </c>
      <c r="AE27" s="67" t="b">
        <f t="shared" si="23"/>
        <v>1</v>
      </c>
      <c r="AF27" s="67" t="b">
        <f t="shared" si="23"/>
        <v>1</v>
      </c>
      <c r="AG27" s="67" t="b">
        <f t="shared" si="23"/>
        <v>1</v>
      </c>
      <c r="AH27" s="67" t="b">
        <f t="shared" si="23"/>
        <v>1</v>
      </c>
      <c r="AI27" s="67" t="b">
        <f t="shared" si="23"/>
        <v>1</v>
      </c>
    </row>
    <row r="28">
      <c r="B28" s="64" t="s">
        <v>79</v>
      </c>
      <c r="C28" s="65" t="str">
        <f>HYPERLINK("https://factomize.com/forums/threads/factom-grant-factom-inc-011-anchor-master.1569/","FACTOM-GRANT-FACTOM, INC-011")</f>
        <v>FACTOM-GRANT-FACTOM, INC-011</v>
      </c>
      <c r="D28" s="66" t="s">
        <v>89</v>
      </c>
      <c r="E28" s="66">
        <v>660.0</v>
      </c>
      <c r="F28" s="67" t="b">
        <f t="shared" ref="F28:AI28" si="24">if(indirect("'" &amp; F$26 &amp; "'!E" &amp; text(ROW( ) - 23,"#")),"",indirect("'" &amp; F$26 &amp; "'!F" &amp; text(ROW( ) - 23,"#")))</f>
        <v>1</v>
      </c>
      <c r="G28" s="67" t="b">
        <f t="shared" si="24"/>
        <v>1</v>
      </c>
      <c r="H28" s="67" t="b">
        <f t="shared" si="24"/>
        <v>1</v>
      </c>
      <c r="I28" s="67" t="b">
        <f t="shared" si="24"/>
        <v>1</v>
      </c>
      <c r="J28" s="67" t="b">
        <f t="shared" si="24"/>
        <v>1</v>
      </c>
      <c r="K28" s="67" t="b">
        <f t="shared" si="24"/>
        <v>1</v>
      </c>
      <c r="L28" s="67" t="b">
        <f t="shared" si="24"/>
        <v>1</v>
      </c>
      <c r="M28" s="67" t="b">
        <f t="shared" si="24"/>
        <v>1</v>
      </c>
      <c r="N28" s="67" t="b">
        <f t="shared" si="24"/>
        <v>1</v>
      </c>
      <c r="O28" s="67" t="b">
        <f t="shared" si="24"/>
        <v>1</v>
      </c>
      <c r="P28" s="67" t="b">
        <f t="shared" si="24"/>
        <v>1</v>
      </c>
      <c r="Q28" s="67" t="b">
        <f t="shared" si="24"/>
        <v>1</v>
      </c>
      <c r="R28" s="67" t="b">
        <f t="shared" si="24"/>
        <v>1</v>
      </c>
      <c r="S28" s="67" t="b">
        <f t="shared" si="24"/>
        <v>1</v>
      </c>
      <c r="T28" s="67" t="b">
        <f t="shared" si="24"/>
        <v>1</v>
      </c>
      <c r="U28" s="67" t="b">
        <f t="shared" si="24"/>
        <v>1</v>
      </c>
      <c r="V28" s="67" t="b">
        <f t="shared" si="24"/>
        <v>1</v>
      </c>
      <c r="W28" s="67" t="b">
        <f t="shared" si="24"/>
        <v>1</v>
      </c>
      <c r="X28" s="67" t="b">
        <f t="shared" si="24"/>
        <v>1</v>
      </c>
      <c r="Y28" s="67" t="b">
        <f t="shared" si="24"/>
        <v>1</v>
      </c>
      <c r="Z28" s="67" t="b">
        <f t="shared" si="24"/>
        <v>1</v>
      </c>
      <c r="AA28" s="67" t="b">
        <f t="shared" si="24"/>
        <v>1</v>
      </c>
      <c r="AB28" s="67" t="b">
        <f t="shared" si="24"/>
        <v>1</v>
      </c>
      <c r="AC28" s="67" t="b">
        <f t="shared" si="24"/>
        <v>1</v>
      </c>
      <c r="AD28" s="67" t="b">
        <f t="shared" si="24"/>
        <v>1</v>
      </c>
      <c r="AE28" s="67" t="b">
        <f t="shared" si="24"/>
        <v>1</v>
      </c>
      <c r="AF28" s="67" t="b">
        <f t="shared" si="24"/>
        <v>1</v>
      </c>
      <c r="AG28" s="67" t="b">
        <f t="shared" si="24"/>
        <v>1</v>
      </c>
      <c r="AH28" s="67" t="b">
        <f t="shared" si="24"/>
        <v>1</v>
      </c>
      <c r="AI28" s="67" t="b">
        <f t="shared" si="24"/>
        <v>1</v>
      </c>
    </row>
    <row r="29">
      <c r="B29" s="64" t="s">
        <v>79</v>
      </c>
      <c r="C29" s="65" t="str">
        <f>HYPERLINK("https://factomize.com/forums/threads/factom-grant-factom-inc-007-oracle-master-continuation.1566/","FACTOM-GRANT-FACTOM, INC-007")</f>
        <v>FACTOM-GRANT-FACTOM, INC-007</v>
      </c>
      <c r="D29" s="66" t="s">
        <v>90</v>
      </c>
      <c r="E29" s="66">
        <v>900.0</v>
      </c>
      <c r="F29" s="67" t="b">
        <f t="shared" ref="F29:AI29" si="25">if(indirect("'" &amp; F$26 &amp; "'!E" &amp; text(ROW( ) - 23,"#")),"",indirect("'" &amp; F$26 &amp; "'!F" &amp; text(ROW( ) - 23,"#")))</f>
        <v>1</v>
      </c>
      <c r="G29" s="67" t="b">
        <f t="shared" si="25"/>
        <v>1</v>
      </c>
      <c r="H29" s="67" t="b">
        <f t="shared" si="25"/>
        <v>1</v>
      </c>
      <c r="I29" s="67" t="b">
        <f t="shared" si="25"/>
        <v>1</v>
      </c>
      <c r="J29" s="67" t="b">
        <f t="shared" si="25"/>
        <v>1</v>
      </c>
      <c r="K29" s="67" t="b">
        <f t="shared" si="25"/>
        <v>1</v>
      </c>
      <c r="L29" s="67" t="b">
        <f t="shared" si="25"/>
        <v>1</v>
      </c>
      <c r="M29" s="67" t="b">
        <f t="shared" si="25"/>
        <v>1</v>
      </c>
      <c r="N29" s="67" t="b">
        <f t="shared" si="25"/>
        <v>1</v>
      </c>
      <c r="O29" s="67" t="b">
        <f t="shared" si="25"/>
        <v>1</v>
      </c>
      <c r="P29" s="67" t="b">
        <f t="shared" si="25"/>
        <v>1</v>
      </c>
      <c r="Q29" s="67" t="b">
        <f t="shared" si="25"/>
        <v>1</v>
      </c>
      <c r="R29" s="67" t="b">
        <f t="shared" si="25"/>
        <v>1</v>
      </c>
      <c r="S29" s="67" t="b">
        <f t="shared" si="25"/>
        <v>1</v>
      </c>
      <c r="T29" s="67" t="b">
        <f t="shared" si="25"/>
        <v>1</v>
      </c>
      <c r="U29" s="67" t="b">
        <f t="shared" si="25"/>
        <v>1</v>
      </c>
      <c r="V29" s="67" t="b">
        <f t="shared" si="25"/>
        <v>1</v>
      </c>
      <c r="W29" s="67" t="b">
        <f t="shared" si="25"/>
        <v>1</v>
      </c>
      <c r="X29" s="67" t="b">
        <f t="shared" si="25"/>
        <v>1</v>
      </c>
      <c r="Y29" s="67" t="b">
        <f t="shared" si="25"/>
        <v>1</v>
      </c>
      <c r="Z29" s="67" t="b">
        <f t="shared" si="25"/>
        <v>1</v>
      </c>
      <c r="AA29" s="67" t="b">
        <f t="shared" si="25"/>
        <v>1</v>
      </c>
      <c r="AB29" s="67" t="b">
        <f t="shared" si="25"/>
        <v>1</v>
      </c>
      <c r="AC29" s="67" t="b">
        <f t="shared" si="25"/>
        <v>1</v>
      </c>
      <c r="AD29" s="67" t="b">
        <f t="shared" si="25"/>
        <v>1</v>
      </c>
      <c r="AE29" s="67" t="b">
        <f t="shared" si="25"/>
        <v>1</v>
      </c>
      <c r="AF29" s="67" t="b">
        <f t="shared" si="25"/>
        <v>1</v>
      </c>
      <c r="AG29" s="67" t="b">
        <f t="shared" si="25"/>
        <v>1</v>
      </c>
      <c r="AH29" s="67" t="b">
        <f t="shared" si="25"/>
        <v>1</v>
      </c>
      <c r="AI29" s="67" t="b">
        <f t="shared" si="25"/>
        <v>1</v>
      </c>
    </row>
    <row r="30">
      <c r="B30" s="64" t="s">
        <v>79</v>
      </c>
      <c r="C30" s="65" t="str">
        <f>HYPERLINK("https://factomize.com/forums/threads/factom-grant-factom-inc-010-oracle-master.1565/","FACTOM-GRANT-FACTOM, INC-010")</f>
        <v>FACTOM-GRANT-FACTOM, INC-010</v>
      </c>
      <c r="D30" s="66" t="s">
        <v>91</v>
      </c>
      <c r="E30" s="66">
        <v>900.0</v>
      </c>
      <c r="F30" s="67" t="b">
        <f t="shared" ref="F30:AI30" si="26">if(indirect("'" &amp; F$26 &amp; "'!E" &amp; text(ROW( ) - 23,"#")),"",indirect("'" &amp; F$26 &amp; "'!F" &amp; text(ROW( ) - 23,"#")))</f>
        <v>1</v>
      </c>
      <c r="G30" s="67" t="b">
        <f t="shared" si="26"/>
        <v>1</v>
      </c>
      <c r="H30" s="67" t="b">
        <f t="shared" si="26"/>
        <v>1</v>
      </c>
      <c r="I30" s="67" t="b">
        <f t="shared" si="26"/>
        <v>1</v>
      </c>
      <c r="J30" s="67" t="b">
        <f t="shared" si="26"/>
        <v>1</v>
      </c>
      <c r="K30" s="67" t="b">
        <f t="shared" si="26"/>
        <v>1</v>
      </c>
      <c r="L30" s="67" t="b">
        <f t="shared" si="26"/>
        <v>1</v>
      </c>
      <c r="M30" s="67" t="b">
        <f t="shared" si="26"/>
        <v>1</v>
      </c>
      <c r="N30" s="67" t="b">
        <f t="shared" si="26"/>
        <v>1</v>
      </c>
      <c r="O30" s="67" t="b">
        <f t="shared" si="26"/>
        <v>1</v>
      </c>
      <c r="P30" s="67" t="b">
        <f t="shared" si="26"/>
        <v>1</v>
      </c>
      <c r="Q30" s="67" t="b">
        <f t="shared" si="26"/>
        <v>1</v>
      </c>
      <c r="R30" s="67" t="b">
        <f t="shared" si="26"/>
        <v>1</v>
      </c>
      <c r="S30" s="67" t="b">
        <f t="shared" si="26"/>
        <v>1</v>
      </c>
      <c r="T30" s="67" t="b">
        <f t="shared" si="26"/>
        <v>1</v>
      </c>
      <c r="U30" s="67" t="b">
        <f t="shared" si="26"/>
        <v>1</v>
      </c>
      <c r="V30" s="67" t="b">
        <f t="shared" si="26"/>
        <v>1</v>
      </c>
      <c r="W30" s="67" t="b">
        <f t="shared" si="26"/>
        <v>1</v>
      </c>
      <c r="X30" s="67" t="b">
        <f t="shared" si="26"/>
        <v>1</v>
      </c>
      <c r="Y30" s="67" t="b">
        <f t="shared" si="26"/>
        <v>1</v>
      </c>
      <c r="Z30" s="67" t="b">
        <f t="shared" si="26"/>
        <v>1</v>
      </c>
      <c r="AA30" s="67" t="b">
        <f t="shared" si="26"/>
        <v>1</v>
      </c>
      <c r="AB30" s="67" t="b">
        <f t="shared" si="26"/>
        <v>1</v>
      </c>
      <c r="AC30" s="67" t="b">
        <f t="shared" si="26"/>
        <v>1</v>
      </c>
      <c r="AD30" s="67" t="b">
        <f t="shared" si="26"/>
        <v>1</v>
      </c>
      <c r="AE30" s="67" t="b">
        <f t="shared" si="26"/>
        <v>1</v>
      </c>
      <c r="AF30" s="67" t="b">
        <f t="shared" si="26"/>
        <v>1</v>
      </c>
      <c r="AG30" s="67" t="b">
        <f t="shared" si="26"/>
        <v>1</v>
      </c>
      <c r="AH30" s="67" t="b">
        <f t="shared" si="26"/>
        <v>1</v>
      </c>
      <c r="AI30" s="67" t="b">
        <f t="shared" si="26"/>
        <v>1</v>
      </c>
    </row>
    <row r="31">
      <c r="B31" s="64" t="s">
        <v>58</v>
      </c>
      <c r="C31" s="65" t="str">
        <f>HYPERLINK("https://factomize.com/forums/threads/guides-003-guide-compensation.1537/","FACTOM-GRANT-GUIDES-003")</f>
        <v>FACTOM-GRANT-GUIDES-003</v>
      </c>
      <c r="D31" s="66" t="s">
        <v>92</v>
      </c>
      <c r="E31" s="66">
        <v>8400.0</v>
      </c>
      <c r="F31" s="67" t="b">
        <f t="shared" ref="F31:AI31" si="27">if(indirect("'" &amp; F$26 &amp; "'!E" &amp; text(ROW( ) - 23,"#")),"",indirect("'" &amp; F$26 &amp; "'!F" &amp; text(ROW( ) - 23,"#")))</f>
        <v>1</v>
      </c>
      <c r="G31" s="67" t="str">
        <f t="shared" si="27"/>
        <v/>
      </c>
      <c r="H31" s="67" t="b">
        <f t="shared" si="27"/>
        <v>1</v>
      </c>
      <c r="I31" s="67" t="b">
        <f t="shared" si="27"/>
        <v>1</v>
      </c>
      <c r="J31" s="67" t="str">
        <f t="shared" si="27"/>
        <v/>
      </c>
      <c r="K31" s="67" t="b">
        <f t="shared" si="27"/>
        <v>1</v>
      </c>
      <c r="L31" s="67" t="b">
        <f t="shared" si="27"/>
        <v>1</v>
      </c>
      <c r="M31" s="67" t="b">
        <f t="shared" si="27"/>
        <v>1</v>
      </c>
      <c r="N31" s="67" t="b">
        <f t="shared" si="27"/>
        <v>1</v>
      </c>
      <c r="O31" s="67" t="b">
        <f t="shared" si="27"/>
        <v>1</v>
      </c>
      <c r="P31" s="67" t="b">
        <f t="shared" si="27"/>
        <v>1</v>
      </c>
      <c r="Q31" s="67" t="b">
        <f t="shared" si="27"/>
        <v>1</v>
      </c>
      <c r="R31" s="67" t="b">
        <f t="shared" si="27"/>
        <v>1</v>
      </c>
      <c r="S31" s="67" t="b">
        <f t="shared" si="27"/>
        <v>1</v>
      </c>
      <c r="T31" s="67" t="b">
        <f t="shared" si="27"/>
        <v>1</v>
      </c>
      <c r="U31" s="67" t="b">
        <f t="shared" si="27"/>
        <v>1</v>
      </c>
      <c r="V31" s="67" t="b">
        <f t="shared" si="27"/>
        <v>1</v>
      </c>
      <c r="W31" s="67" t="b">
        <f t="shared" si="27"/>
        <v>1</v>
      </c>
      <c r="X31" s="67" t="b">
        <f t="shared" si="27"/>
        <v>1</v>
      </c>
      <c r="Y31" s="67" t="b">
        <f t="shared" si="27"/>
        <v>1</v>
      </c>
      <c r="Z31" s="67" t="b">
        <f t="shared" si="27"/>
        <v>1</v>
      </c>
      <c r="AA31" s="67" t="b">
        <f t="shared" si="27"/>
        <v>1</v>
      </c>
      <c r="AB31" s="67" t="b">
        <f t="shared" si="27"/>
        <v>1</v>
      </c>
      <c r="AC31" s="67" t="b">
        <f t="shared" si="27"/>
        <v>1</v>
      </c>
      <c r="AD31" s="67" t="b">
        <f t="shared" si="27"/>
        <v>1</v>
      </c>
      <c r="AE31" s="67" t="str">
        <f t="shared" si="27"/>
        <v/>
      </c>
      <c r="AF31" s="67" t="b">
        <f t="shared" si="27"/>
        <v>1</v>
      </c>
      <c r="AG31" s="67" t="b">
        <f t="shared" si="27"/>
        <v>1</v>
      </c>
      <c r="AH31" s="67" t="b">
        <f t="shared" si="27"/>
        <v>1</v>
      </c>
      <c r="AI31" s="67" t="b">
        <f t="shared" si="27"/>
        <v>1</v>
      </c>
    </row>
    <row r="32">
      <c r="A32" s="4"/>
      <c r="B32" s="68" t="str">
        <f t="shared" ref="B32:E32" si="28">B3</f>
        <v>De Facto</v>
      </c>
      <c r="C32" s="69" t="str">
        <f t="shared" si="28"/>
        <v>FACTOM-GRANT-DEFACTO-001</v>
      </c>
      <c r="D32" s="68" t="str">
        <f t="shared" si="28"/>
        <v>Factom Open-source API</v>
      </c>
      <c r="E32" s="70">
        <f t="shared" si="28"/>
        <v>7380</v>
      </c>
      <c r="F32" s="67" t="b">
        <f t="shared" ref="F32:AI32" si="29">if(indirect("'" &amp; F$26 &amp; "'!E" &amp; text(ROW( ) - 21,"#")),"",indirect("'" &amp; F$26 &amp; "'!F" &amp; text(ROW( ) - 21,"#")))</f>
        <v>1</v>
      </c>
      <c r="G32" s="67" t="b">
        <f t="shared" si="29"/>
        <v>0</v>
      </c>
      <c r="H32" s="67" t="b">
        <f t="shared" si="29"/>
        <v>1</v>
      </c>
      <c r="I32" s="67" t="b">
        <f t="shared" si="29"/>
        <v>1</v>
      </c>
      <c r="J32" s="67" t="b">
        <f t="shared" si="29"/>
        <v>1</v>
      </c>
      <c r="K32" s="67" t="b">
        <f t="shared" si="29"/>
        <v>1</v>
      </c>
      <c r="L32" s="67" t="b">
        <f t="shared" si="29"/>
        <v>1</v>
      </c>
      <c r="M32" s="67" t="b">
        <f t="shared" si="29"/>
        <v>1</v>
      </c>
      <c r="N32" s="67" t="b">
        <f t="shared" si="29"/>
        <v>1</v>
      </c>
      <c r="O32" s="67" t="b">
        <f t="shared" si="29"/>
        <v>1</v>
      </c>
      <c r="P32" s="67" t="b">
        <f t="shared" si="29"/>
        <v>1</v>
      </c>
      <c r="Q32" s="67" t="b">
        <f t="shared" si="29"/>
        <v>1</v>
      </c>
      <c r="R32" s="67" t="b">
        <f t="shared" si="29"/>
        <v>1</v>
      </c>
      <c r="S32" s="67" t="b">
        <f t="shared" si="29"/>
        <v>1</v>
      </c>
      <c r="T32" s="67" t="b">
        <f t="shared" si="29"/>
        <v>1</v>
      </c>
      <c r="U32" s="67" t="b">
        <f t="shared" si="29"/>
        <v>1</v>
      </c>
      <c r="V32" s="67" t="b">
        <f t="shared" si="29"/>
        <v>1</v>
      </c>
      <c r="W32" s="67" t="b">
        <f t="shared" si="29"/>
        <v>1</v>
      </c>
      <c r="X32" s="67" t="b">
        <f t="shared" si="29"/>
        <v>1</v>
      </c>
      <c r="Y32" s="67" t="b">
        <f t="shared" si="29"/>
        <v>1</v>
      </c>
      <c r="Z32" s="67" t="b">
        <f t="shared" si="29"/>
        <v>1</v>
      </c>
      <c r="AA32" s="67" t="b">
        <f t="shared" si="29"/>
        <v>1</v>
      </c>
      <c r="AB32" s="67" t="b">
        <f t="shared" si="29"/>
        <v>1</v>
      </c>
      <c r="AC32" s="67" t="b">
        <f t="shared" si="29"/>
        <v>1</v>
      </c>
      <c r="AD32" s="67" t="b">
        <f t="shared" si="29"/>
        <v>1</v>
      </c>
      <c r="AE32" s="67" t="b">
        <f t="shared" si="29"/>
        <v>1</v>
      </c>
      <c r="AF32" s="67" t="b">
        <f t="shared" si="29"/>
        <v>1</v>
      </c>
      <c r="AG32" s="67" t="b">
        <f t="shared" si="29"/>
        <v>1</v>
      </c>
      <c r="AH32" s="67" t="b">
        <f t="shared" si="29"/>
        <v>1</v>
      </c>
      <c r="AI32" s="67" t="b">
        <f t="shared" si="29"/>
        <v>1</v>
      </c>
    </row>
    <row r="33">
      <c r="A33" s="12"/>
      <c r="B33" s="68" t="str">
        <f t="shared" ref="B33:E33" si="30">B4</f>
        <v>Triall</v>
      </c>
      <c r="C33" s="69" t="str">
        <f t="shared" si="30"/>
        <v>FACTOM-GRANT-TRIALL-001</v>
      </c>
      <c r="D33" s="68" t="str">
        <f t="shared" si="30"/>
        <v>Document processing and data management application for clinical trials</v>
      </c>
      <c r="E33" s="70">
        <f t="shared" si="30"/>
        <v>3000</v>
      </c>
      <c r="F33" s="67" t="b">
        <f t="shared" ref="F33:AI33" si="31">if(indirect("'" &amp; F$26 &amp; "'!E" &amp; text(ROW( ) - 21,"#")),"",indirect("'" &amp; F$26 &amp; "'!F" &amp; text(ROW( ) - 21,"#")))</f>
        <v>1</v>
      </c>
      <c r="G33" s="67" t="str">
        <f t="shared" si="31"/>
        <v/>
      </c>
      <c r="H33" s="67" t="b">
        <f t="shared" si="31"/>
        <v>1</v>
      </c>
      <c r="I33" s="67" t="b">
        <f t="shared" si="31"/>
        <v>1</v>
      </c>
      <c r="J33" s="67" t="b">
        <f t="shared" si="31"/>
        <v>1</v>
      </c>
      <c r="K33" s="67" t="b">
        <f t="shared" si="31"/>
        <v>1</v>
      </c>
      <c r="L33" s="67" t="b">
        <f t="shared" si="31"/>
        <v>1</v>
      </c>
      <c r="M33" s="67" t="b">
        <f t="shared" si="31"/>
        <v>0</v>
      </c>
      <c r="N33" s="67" t="b">
        <f t="shared" si="31"/>
        <v>1</v>
      </c>
      <c r="O33" s="67" t="b">
        <f t="shared" si="31"/>
        <v>1</v>
      </c>
      <c r="P33" s="67" t="b">
        <f t="shared" si="31"/>
        <v>1</v>
      </c>
      <c r="Q33" s="67" t="b">
        <f t="shared" si="31"/>
        <v>1</v>
      </c>
      <c r="R33" s="67" t="b">
        <f t="shared" si="31"/>
        <v>1</v>
      </c>
      <c r="S33" s="67" t="b">
        <f t="shared" si="31"/>
        <v>1</v>
      </c>
      <c r="T33" s="67" t="b">
        <f t="shared" si="31"/>
        <v>1</v>
      </c>
      <c r="U33" s="67" t="b">
        <f t="shared" si="31"/>
        <v>1</v>
      </c>
      <c r="V33" s="67" t="b">
        <f t="shared" si="31"/>
        <v>1</v>
      </c>
      <c r="W33" s="67" t="b">
        <f t="shared" si="31"/>
        <v>0</v>
      </c>
      <c r="X33" s="67" t="b">
        <f t="shared" si="31"/>
        <v>0</v>
      </c>
      <c r="Y33" s="67" t="b">
        <f t="shared" si="31"/>
        <v>1</v>
      </c>
      <c r="Z33" s="67" t="b">
        <f t="shared" si="31"/>
        <v>1</v>
      </c>
      <c r="AA33" s="67" t="b">
        <f t="shared" si="31"/>
        <v>0</v>
      </c>
      <c r="AB33" s="67" t="b">
        <f t="shared" si="31"/>
        <v>1</v>
      </c>
      <c r="AC33" s="67" t="b">
        <f t="shared" si="31"/>
        <v>1</v>
      </c>
      <c r="AD33" s="67" t="b">
        <f t="shared" si="31"/>
        <v>1</v>
      </c>
      <c r="AE33" s="67" t="b">
        <f t="shared" si="31"/>
        <v>1</v>
      </c>
      <c r="AF33" s="67" t="b">
        <f t="shared" si="31"/>
        <v>1</v>
      </c>
      <c r="AG33" s="67" t="b">
        <f t="shared" si="31"/>
        <v>1</v>
      </c>
      <c r="AH33" s="67" t="b">
        <f t="shared" si="31"/>
        <v>1</v>
      </c>
      <c r="AI33" s="67" t="b">
        <f t="shared" si="31"/>
        <v>0</v>
      </c>
    </row>
    <row r="34">
      <c r="A34" s="12"/>
      <c r="B34" s="68" t="str">
        <f t="shared" ref="B34:E34" si="32">B5</f>
        <v>Prestige IT</v>
      </c>
      <c r="C34" s="69" t="str">
        <f t="shared" si="32"/>
        <v>FACTOM-GRANT-PRESTIGE-IT-001</v>
      </c>
      <c r="D34" s="68" t="str">
        <f t="shared" si="32"/>
        <v>Blockchain Expo Global 2019</v>
      </c>
      <c r="E34" s="70">
        <f t="shared" si="32"/>
        <v>682</v>
      </c>
      <c r="F34" s="67" t="b">
        <f t="shared" ref="F34:AI34" si="33">if(indirect("'" &amp; F$26 &amp; "'!E" &amp; text(ROW( ) - 21,"#")),"",indirect("'" &amp; F$26 &amp; "'!F" &amp; text(ROW( ) - 21,"#")))</f>
        <v>1</v>
      </c>
      <c r="G34" s="67" t="b">
        <f t="shared" si="33"/>
        <v>0</v>
      </c>
      <c r="H34" s="67" t="b">
        <f t="shared" si="33"/>
        <v>1</v>
      </c>
      <c r="I34" s="67" t="b">
        <f t="shared" si="33"/>
        <v>1</v>
      </c>
      <c r="J34" s="67" t="b">
        <f t="shared" si="33"/>
        <v>1</v>
      </c>
      <c r="K34" s="67" t="b">
        <f t="shared" si="33"/>
        <v>1</v>
      </c>
      <c r="L34" s="67" t="b">
        <f t="shared" si="33"/>
        <v>1</v>
      </c>
      <c r="M34" s="67" t="b">
        <f t="shared" si="33"/>
        <v>1</v>
      </c>
      <c r="N34" s="67" t="b">
        <f t="shared" si="33"/>
        <v>1</v>
      </c>
      <c r="O34" s="67" t="b">
        <f t="shared" si="33"/>
        <v>1</v>
      </c>
      <c r="P34" s="67" t="b">
        <f t="shared" si="33"/>
        <v>1</v>
      </c>
      <c r="Q34" s="67" t="b">
        <f t="shared" si="33"/>
        <v>1</v>
      </c>
      <c r="R34" s="67" t="b">
        <f t="shared" si="33"/>
        <v>1</v>
      </c>
      <c r="S34" s="67" t="b">
        <f t="shared" si="33"/>
        <v>1</v>
      </c>
      <c r="T34" s="67" t="b">
        <f t="shared" si="33"/>
        <v>1</v>
      </c>
      <c r="U34" s="67" t="b">
        <f t="shared" si="33"/>
        <v>1</v>
      </c>
      <c r="V34" s="67" t="b">
        <f t="shared" si="33"/>
        <v>1</v>
      </c>
      <c r="W34" s="67" t="b">
        <f t="shared" si="33"/>
        <v>1</v>
      </c>
      <c r="X34" s="67" t="b">
        <f t="shared" si="33"/>
        <v>1</v>
      </c>
      <c r="Y34" s="67" t="b">
        <f t="shared" si="33"/>
        <v>1</v>
      </c>
      <c r="Z34" s="67" t="b">
        <f t="shared" si="33"/>
        <v>1</v>
      </c>
      <c r="AA34" s="67" t="b">
        <f t="shared" si="33"/>
        <v>1</v>
      </c>
      <c r="AB34" s="67" t="b">
        <f t="shared" si="33"/>
        <v>1</v>
      </c>
      <c r="AC34" s="67" t="b">
        <f t="shared" si="33"/>
        <v>1</v>
      </c>
      <c r="AD34" s="67" t="b">
        <f t="shared" si="33"/>
        <v>1</v>
      </c>
      <c r="AE34" s="67" t="b">
        <f t="shared" si="33"/>
        <v>1</v>
      </c>
      <c r="AF34" s="67" t="b">
        <f t="shared" si="33"/>
        <v>1</v>
      </c>
      <c r="AG34" s="67" t="b">
        <f t="shared" si="33"/>
        <v>1</v>
      </c>
      <c r="AH34" s="67" t="b">
        <f t="shared" si="33"/>
        <v>1</v>
      </c>
      <c r="AI34" s="67" t="str">
        <f t="shared" si="33"/>
        <v/>
      </c>
    </row>
    <row r="35">
      <c r="A35" s="12"/>
      <c r="B35" s="68" t="str">
        <f t="shared" ref="B35:E35" si="34">B6</f>
        <v>De Facto</v>
      </c>
      <c r="C35" s="69" t="str">
        <f t="shared" si="34"/>
        <v>FACTOM-GRANT-DEFACTO-004</v>
      </c>
      <c r="D35" s="68" t="str">
        <f t="shared" si="34"/>
        <v>Telegram Wallet for Factom</v>
      </c>
      <c r="E35" s="70">
        <f t="shared" si="34"/>
        <v>5909</v>
      </c>
      <c r="F35" s="67" t="b">
        <f t="shared" ref="F35:AI35" si="35">if(indirect("'" &amp; F$26 &amp; "'!E" &amp; text(ROW( ) - 21,"#")),"",indirect("'" &amp; F$26 &amp; "'!F" &amp; text(ROW( ) - 21,"#")))</f>
        <v>1</v>
      </c>
      <c r="G35" s="67" t="b">
        <f t="shared" si="35"/>
        <v>0</v>
      </c>
      <c r="H35" s="67" t="b">
        <f t="shared" si="35"/>
        <v>1</v>
      </c>
      <c r="I35" s="67" t="b">
        <f t="shared" si="35"/>
        <v>1</v>
      </c>
      <c r="J35" s="67" t="b">
        <f t="shared" si="35"/>
        <v>1</v>
      </c>
      <c r="K35" s="67" t="b">
        <f t="shared" si="35"/>
        <v>1</v>
      </c>
      <c r="L35" s="67" t="b">
        <f t="shared" si="35"/>
        <v>1</v>
      </c>
      <c r="M35" s="67" t="b">
        <f t="shared" si="35"/>
        <v>0</v>
      </c>
      <c r="N35" s="67" t="b">
        <f t="shared" si="35"/>
        <v>1</v>
      </c>
      <c r="O35" s="67" t="b">
        <f t="shared" si="35"/>
        <v>1</v>
      </c>
      <c r="P35" s="67" t="b">
        <f t="shared" si="35"/>
        <v>1</v>
      </c>
      <c r="Q35" s="67" t="b">
        <f t="shared" si="35"/>
        <v>1</v>
      </c>
      <c r="R35" s="67" t="b">
        <f t="shared" si="35"/>
        <v>1</v>
      </c>
      <c r="S35" s="67" t="b">
        <f t="shared" si="35"/>
        <v>1</v>
      </c>
      <c r="T35" s="67" t="b">
        <f t="shared" si="35"/>
        <v>1</v>
      </c>
      <c r="U35" s="67" t="b">
        <f t="shared" si="35"/>
        <v>1</v>
      </c>
      <c r="V35" s="67" t="b">
        <f t="shared" si="35"/>
        <v>1</v>
      </c>
      <c r="W35" s="67" t="b">
        <f t="shared" si="35"/>
        <v>0</v>
      </c>
      <c r="X35" s="67" t="b">
        <f t="shared" si="35"/>
        <v>0</v>
      </c>
      <c r="Y35" s="67" t="b">
        <f t="shared" si="35"/>
        <v>1</v>
      </c>
      <c r="Z35" s="67" t="b">
        <f t="shared" si="35"/>
        <v>1</v>
      </c>
      <c r="AA35" s="67" t="b">
        <f t="shared" si="35"/>
        <v>0</v>
      </c>
      <c r="AB35" s="67" t="b">
        <f t="shared" si="35"/>
        <v>1</v>
      </c>
      <c r="AC35" s="67" t="b">
        <f t="shared" si="35"/>
        <v>0</v>
      </c>
      <c r="AD35" s="67" t="str">
        <f t="shared" si="35"/>
        <v/>
      </c>
      <c r="AE35" s="67" t="b">
        <f t="shared" si="35"/>
        <v>1</v>
      </c>
      <c r="AF35" s="67" t="b">
        <f t="shared" si="35"/>
        <v>1</v>
      </c>
      <c r="AG35" s="67" t="b">
        <f t="shared" si="35"/>
        <v>1</v>
      </c>
      <c r="AH35" s="67" t="b">
        <f t="shared" si="35"/>
        <v>1</v>
      </c>
      <c r="AI35" s="67" t="b">
        <f t="shared" si="35"/>
        <v>0</v>
      </c>
    </row>
    <row r="36">
      <c r="A36" s="12"/>
      <c r="B36" s="68" t="str">
        <f t="shared" ref="B36:E36" si="36">B7</f>
        <v>Exchange Committee</v>
      </c>
      <c r="C36" s="69" t="str">
        <f t="shared" si="36"/>
        <v>FACTOM-GRANT-EXCHANGE-COMMITTEE-003</v>
      </c>
      <c r="D36" s="68" t="str">
        <f t="shared" si="36"/>
        <v>Exchange Committee funding</v>
      </c>
      <c r="E36" s="70">
        <f t="shared" si="36"/>
        <v>5000</v>
      </c>
      <c r="F36" s="67" t="b">
        <f t="shared" ref="F36:AI36" si="37">if(indirect("'" &amp; F$26 &amp; "'!E" &amp; text(ROW( ) - 21,"#")),"",indirect("'" &amp; F$26 &amp; "'!F" &amp; text(ROW( ) - 21,"#")))</f>
        <v>1</v>
      </c>
      <c r="G36" s="67" t="b">
        <f t="shared" si="37"/>
        <v>0</v>
      </c>
      <c r="H36" s="67" t="b">
        <f t="shared" si="37"/>
        <v>1</v>
      </c>
      <c r="I36" s="67" t="b">
        <f t="shared" si="37"/>
        <v>1</v>
      </c>
      <c r="J36" s="67" t="b">
        <f t="shared" si="37"/>
        <v>1</v>
      </c>
      <c r="K36" s="67" t="b">
        <f t="shared" si="37"/>
        <v>1</v>
      </c>
      <c r="L36" s="67" t="b">
        <f t="shared" si="37"/>
        <v>1</v>
      </c>
      <c r="M36" s="67" t="b">
        <f t="shared" si="37"/>
        <v>1</v>
      </c>
      <c r="N36" s="67" t="b">
        <f t="shared" si="37"/>
        <v>1</v>
      </c>
      <c r="O36" s="67" t="b">
        <f t="shared" si="37"/>
        <v>1</v>
      </c>
      <c r="P36" s="67" t="b">
        <f t="shared" si="37"/>
        <v>1</v>
      </c>
      <c r="Q36" s="67" t="b">
        <f t="shared" si="37"/>
        <v>1</v>
      </c>
      <c r="R36" s="67" t="b">
        <f t="shared" si="37"/>
        <v>1</v>
      </c>
      <c r="S36" s="67" t="b">
        <f t="shared" si="37"/>
        <v>1</v>
      </c>
      <c r="T36" s="67" t="b">
        <f t="shared" si="37"/>
        <v>1</v>
      </c>
      <c r="U36" s="67" t="b">
        <f t="shared" si="37"/>
        <v>1</v>
      </c>
      <c r="V36" s="67" t="b">
        <f t="shared" si="37"/>
        <v>1</v>
      </c>
      <c r="W36" s="67" t="b">
        <f t="shared" si="37"/>
        <v>1</v>
      </c>
      <c r="X36" s="67" t="b">
        <f t="shared" si="37"/>
        <v>1</v>
      </c>
      <c r="Y36" s="67" t="b">
        <f t="shared" si="37"/>
        <v>1</v>
      </c>
      <c r="Z36" s="67" t="b">
        <f t="shared" si="37"/>
        <v>1</v>
      </c>
      <c r="AA36" s="67" t="b">
        <f t="shared" si="37"/>
        <v>1</v>
      </c>
      <c r="AB36" s="67" t="b">
        <f t="shared" si="37"/>
        <v>1</v>
      </c>
      <c r="AC36" s="67" t="b">
        <f t="shared" si="37"/>
        <v>1</v>
      </c>
      <c r="AD36" s="67" t="b">
        <f t="shared" si="37"/>
        <v>1</v>
      </c>
      <c r="AE36" s="67" t="b">
        <f t="shared" si="37"/>
        <v>1</v>
      </c>
      <c r="AF36" s="67" t="b">
        <f t="shared" si="37"/>
        <v>1</v>
      </c>
      <c r="AG36" s="67" t="b">
        <f t="shared" si="37"/>
        <v>1</v>
      </c>
      <c r="AH36" s="67" t="b">
        <f t="shared" si="37"/>
        <v>1</v>
      </c>
      <c r="AI36" s="67" t="b">
        <f t="shared" si="37"/>
        <v>1</v>
      </c>
    </row>
    <row r="37">
      <c r="A37" s="12"/>
      <c r="B37" s="68" t="str">
        <f t="shared" ref="B37:E37" si="38">B8</f>
        <v>Factom Protocol Guides</v>
      </c>
      <c r="C37" s="69" t="str">
        <f t="shared" si="38"/>
        <v>FACTOM-GRANT-GUIDES-004</v>
      </c>
      <c r="D37" s="68" t="str">
        <f t="shared" si="38"/>
        <v>Guide Compensation - 1 Month Extension</v>
      </c>
      <c r="E37" s="70">
        <f t="shared" si="38"/>
        <v>3000</v>
      </c>
      <c r="F37" s="67" t="b">
        <f t="shared" ref="F37:AI37" si="39">if(indirect("'" &amp; F$26 &amp; "'!E" &amp; text(ROW( ) - 21,"#")),"",indirect("'" &amp; F$26 &amp; "'!F" &amp; text(ROW( ) - 21,"#")))</f>
        <v>0</v>
      </c>
      <c r="G37" s="67" t="str">
        <f t="shared" si="39"/>
        <v/>
      </c>
      <c r="H37" s="67" t="str">
        <f t="shared" si="39"/>
        <v/>
      </c>
      <c r="I37" s="67" t="b">
        <f t="shared" si="39"/>
        <v>0</v>
      </c>
      <c r="J37" s="67" t="str">
        <f t="shared" si="39"/>
        <v/>
      </c>
      <c r="K37" s="67" t="b">
        <f t="shared" si="39"/>
        <v>0</v>
      </c>
      <c r="L37" s="67" t="b">
        <f t="shared" si="39"/>
        <v>1</v>
      </c>
      <c r="M37" s="67" t="b">
        <f t="shared" si="39"/>
        <v>0</v>
      </c>
      <c r="N37" s="67" t="b">
        <f t="shared" si="39"/>
        <v>1</v>
      </c>
      <c r="O37" s="67" t="b">
        <f t="shared" si="39"/>
        <v>1</v>
      </c>
      <c r="P37" s="67" t="b">
        <f t="shared" si="39"/>
        <v>1</v>
      </c>
      <c r="Q37" s="67" t="b">
        <f t="shared" si="39"/>
        <v>1</v>
      </c>
      <c r="R37" s="67" t="b">
        <f t="shared" si="39"/>
        <v>0</v>
      </c>
      <c r="S37" s="67" t="b">
        <f t="shared" si="39"/>
        <v>0</v>
      </c>
      <c r="T37" s="67" t="b">
        <f t="shared" si="39"/>
        <v>1</v>
      </c>
      <c r="U37" s="67" t="b">
        <f t="shared" si="39"/>
        <v>1</v>
      </c>
      <c r="V37" s="67" t="b">
        <f t="shared" si="39"/>
        <v>1</v>
      </c>
      <c r="W37" s="67" t="b">
        <f t="shared" si="39"/>
        <v>0</v>
      </c>
      <c r="X37" s="67" t="b">
        <f t="shared" si="39"/>
        <v>0</v>
      </c>
      <c r="Y37" s="67" t="b">
        <f t="shared" si="39"/>
        <v>0</v>
      </c>
      <c r="Z37" s="67" t="b">
        <f t="shared" si="39"/>
        <v>1</v>
      </c>
      <c r="AA37" s="67" t="b">
        <f t="shared" si="39"/>
        <v>1</v>
      </c>
      <c r="AB37" s="67" t="b">
        <f t="shared" si="39"/>
        <v>1</v>
      </c>
      <c r="AC37" s="67" t="b">
        <f t="shared" si="39"/>
        <v>0</v>
      </c>
      <c r="AD37" s="67" t="b">
        <f t="shared" si="39"/>
        <v>1</v>
      </c>
      <c r="AE37" s="67" t="str">
        <f t="shared" si="39"/>
        <v/>
      </c>
      <c r="AF37" s="67" t="b">
        <f t="shared" si="39"/>
        <v>0</v>
      </c>
      <c r="AG37" s="67" t="b">
        <f t="shared" si="39"/>
        <v>0</v>
      </c>
      <c r="AH37" s="67" t="b">
        <f t="shared" si="39"/>
        <v>0</v>
      </c>
      <c r="AI37" s="67" t="b">
        <f t="shared" si="39"/>
        <v>0</v>
      </c>
    </row>
    <row r="38">
      <c r="A38" s="12"/>
      <c r="B38" s="68" t="str">
        <f t="shared" ref="B38:E38" si="40">B9</f>
        <v>Factomize LLC</v>
      </c>
      <c r="C38" s="69" t="str">
        <f t="shared" si="40"/>
        <v>FACTOM-GRANT-FACTOMIZE-001</v>
      </c>
      <c r="D38" s="68" t="str">
        <f t="shared" si="40"/>
        <v>Marketing Videos</v>
      </c>
      <c r="E38" s="70">
        <f t="shared" si="40"/>
        <v>500</v>
      </c>
      <c r="F38" s="67" t="b">
        <f t="shared" ref="F38:AI38" si="41">if(indirect("'" &amp; F$26 &amp; "'!E" &amp; text(ROW( ) - 21,"#")),"",indirect("'" &amp; F$26 &amp; "'!F" &amp; text(ROW( ) - 21,"#")))</f>
        <v>1</v>
      </c>
      <c r="G38" s="67" t="b">
        <f t="shared" si="41"/>
        <v>0</v>
      </c>
      <c r="H38" s="67" t="b">
        <f t="shared" si="41"/>
        <v>1</v>
      </c>
      <c r="I38" s="67" t="b">
        <f t="shared" si="41"/>
        <v>1</v>
      </c>
      <c r="J38" s="67" t="b">
        <f t="shared" si="41"/>
        <v>1</v>
      </c>
      <c r="K38" s="67" t="b">
        <f t="shared" si="41"/>
        <v>1</v>
      </c>
      <c r="L38" s="67" t="b">
        <f t="shared" si="41"/>
        <v>1</v>
      </c>
      <c r="M38" s="67" t="b">
        <f t="shared" si="41"/>
        <v>0</v>
      </c>
      <c r="N38" s="67" t="b">
        <f t="shared" si="41"/>
        <v>1</v>
      </c>
      <c r="O38" s="67" t="b">
        <f t="shared" si="41"/>
        <v>1</v>
      </c>
      <c r="P38" s="67" t="b">
        <f t="shared" si="41"/>
        <v>1</v>
      </c>
      <c r="Q38" s="67" t="b">
        <f t="shared" si="41"/>
        <v>1</v>
      </c>
      <c r="R38" s="67" t="b">
        <f t="shared" si="41"/>
        <v>1</v>
      </c>
      <c r="S38" s="67" t="b">
        <f t="shared" si="41"/>
        <v>1</v>
      </c>
      <c r="T38" s="67" t="b">
        <f t="shared" si="41"/>
        <v>1</v>
      </c>
      <c r="U38" s="67" t="b">
        <f t="shared" si="41"/>
        <v>1</v>
      </c>
      <c r="V38" s="67" t="b">
        <f t="shared" si="41"/>
        <v>1</v>
      </c>
      <c r="W38" s="67" t="b">
        <f t="shared" si="41"/>
        <v>1</v>
      </c>
      <c r="X38" s="67" t="str">
        <f t="shared" si="41"/>
        <v/>
      </c>
      <c r="Y38" s="67" t="b">
        <f t="shared" si="41"/>
        <v>1</v>
      </c>
      <c r="Z38" s="67" t="b">
        <f t="shared" si="41"/>
        <v>1</v>
      </c>
      <c r="AA38" s="67" t="b">
        <f t="shared" si="41"/>
        <v>1</v>
      </c>
      <c r="AB38" s="67" t="b">
        <f t="shared" si="41"/>
        <v>1</v>
      </c>
      <c r="AC38" s="67" t="b">
        <f t="shared" si="41"/>
        <v>0</v>
      </c>
      <c r="AD38" s="67" t="b">
        <f t="shared" si="41"/>
        <v>1</v>
      </c>
      <c r="AE38" s="67" t="b">
        <f t="shared" si="41"/>
        <v>1</v>
      </c>
      <c r="AF38" s="67" t="b">
        <f t="shared" si="41"/>
        <v>1</v>
      </c>
      <c r="AG38" s="67" t="b">
        <f t="shared" si="41"/>
        <v>1</v>
      </c>
      <c r="AH38" s="67" t="b">
        <f t="shared" si="41"/>
        <v>1</v>
      </c>
      <c r="AI38" s="67" t="b">
        <f t="shared" si="41"/>
        <v>0</v>
      </c>
    </row>
    <row r="39">
      <c r="A39" s="12"/>
      <c r="B39" s="68" t="str">
        <f t="shared" ref="B39:E39" si="42">B10</f>
        <v>LayerTech</v>
      </c>
      <c r="C39" s="69" t="str">
        <f t="shared" si="42"/>
        <v>FACTOM-GRANT-LAYERTECH-001</v>
      </c>
      <c r="D39" s="68" t="str">
        <f t="shared" si="42"/>
        <v>Core Development (LayerTech)</v>
      </c>
      <c r="E39" s="70">
        <f t="shared" si="42"/>
        <v>5500</v>
      </c>
      <c r="F39" s="67" t="b">
        <f t="shared" ref="F39:AI39" si="43">if(indirect("'" &amp; F$26 &amp; "'!E" &amp; text(ROW( ) - 21,"#")),"",indirect("'" &amp; F$26 &amp; "'!F" &amp; text(ROW( ) - 21,"#")))</f>
        <v>1</v>
      </c>
      <c r="G39" s="67" t="b">
        <f t="shared" si="43"/>
        <v>0</v>
      </c>
      <c r="H39" s="67" t="str">
        <f t="shared" si="43"/>
        <v/>
      </c>
      <c r="I39" s="67" t="b">
        <f t="shared" si="43"/>
        <v>1</v>
      </c>
      <c r="J39" s="67" t="b">
        <f t="shared" si="43"/>
        <v>1</v>
      </c>
      <c r="K39" s="67" t="b">
        <f t="shared" si="43"/>
        <v>1</v>
      </c>
      <c r="L39" s="67" t="b">
        <f t="shared" si="43"/>
        <v>1</v>
      </c>
      <c r="M39" s="67" t="b">
        <f t="shared" si="43"/>
        <v>1</v>
      </c>
      <c r="N39" s="67" t="b">
        <f t="shared" si="43"/>
        <v>1</v>
      </c>
      <c r="O39" s="67" t="b">
        <f t="shared" si="43"/>
        <v>1</v>
      </c>
      <c r="P39" s="67" t="b">
        <f t="shared" si="43"/>
        <v>1</v>
      </c>
      <c r="Q39" s="67" t="b">
        <f t="shared" si="43"/>
        <v>1</v>
      </c>
      <c r="R39" s="67" t="b">
        <f t="shared" si="43"/>
        <v>1</v>
      </c>
      <c r="S39" s="67" t="b">
        <f t="shared" si="43"/>
        <v>0</v>
      </c>
      <c r="T39" s="67" t="b">
        <f t="shared" si="43"/>
        <v>1</v>
      </c>
      <c r="U39" s="67" t="b">
        <f t="shared" si="43"/>
        <v>1</v>
      </c>
      <c r="V39" s="67" t="b">
        <f t="shared" si="43"/>
        <v>1</v>
      </c>
      <c r="W39" s="67" t="b">
        <f t="shared" si="43"/>
        <v>1</v>
      </c>
      <c r="X39" s="67" t="b">
        <f t="shared" si="43"/>
        <v>1</v>
      </c>
      <c r="Y39" s="67" t="b">
        <f t="shared" si="43"/>
        <v>1</v>
      </c>
      <c r="Z39" s="67" t="b">
        <f t="shared" si="43"/>
        <v>1</v>
      </c>
      <c r="AA39" s="67" t="b">
        <f t="shared" si="43"/>
        <v>1</v>
      </c>
      <c r="AB39" s="67" t="b">
        <f t="shared" si="43"/>
        <v>1</v>
      </c>
      <c r="AC39" s="67" t="b">
        <f t="shared" si="43"/>
        <v>0</v>
      </c>
      <c r="AD39" s="67" t="b">
        <f t="shared" si="43"/>
        <v>1</v>
      </c>
      <c r="AE39" s="67" t="b">
        <f t="shared" si="43"/>
        <v>1</v>
      </c>
      <c r="AF39" s="67" t="b">
        <f t="shared" si="43"/>
        <v>1</v>
      </c>
      <c r="AG39" s="67" t="b">
        <f t="shared" si="43"/>
        <v>1</v>
      </c>
      <c r="AH39" s="67" t="b">
        <f t="shared" si="43"/>
        <v>1</v>
      </c>
      <c r="AI39" s="67" t="b">
        <f t="shared" si="43"/>
        <v>1</v>
      </c>
    </row>
    <row r="40">
      <c r="A40" s="12"/>
      <c r="B40" s="68" t="str">
        <f t="shared" ref="B40:E40" si="44">B11</f>
        <v>CryptoLogic, DeFacto, Bedrock Solutions, TFA</v>
      </c>
      <c r="C40" s="69" t="str">
        <f t="shared" si="44"/>
        <v>BEDROCK-CRYPTOLOGIC-DEFACTO-TFA-002</v>
      </c>
      <c r="D40" s="68" t="str">
        <f t="shared" si="44"/>
        <v>Factom Open Node Continuity</v>
      </c>
      <c r="E40" s="70">
        <f t="shared" si="44"/>
        <v>545</v>
      </c>
      <c r="F40" s="67" t="b">
        <f t="shared" ref="F40:AI40" si="45">if(indirect("'" &amp; F$26 &amp; "'!E" &amp; text(ROW( ) - 21,"#")),"",indirect("'" &amp; F$26 &amp; "'!F" &amp; text(ROW( ) - 21,"#")))</f>
        <v>1</v>
      </c>
      <c r="G40" s="67" t="b">
        <f t="shared" si="45"/>
        <v>0</v>
      </c>
      <c r="H40" s="67" t="b">
        <f t="shared" si="45"/>
        <v>1</v>
      </c>
      <c r="I40" s="67" t="b">
        <f t="shared" si="45"/>
        <v>1</v>
      </c>
      <c r="J40" s="67" t="str">
        <f t="shared" si="45"/>
        <v/>
      </c>
      <c r="K40" s="67" t="b">
        <f t="shared" si="45"/>
        <v>1</v>
      </c>
      <c r="L40" s="67" t="b">
        <f t="shared" si="45"/>
        <v>1</v>
      </c>
      <c r="M40" s="67" t="b">
        <f t="shared" si="45"/>
        <v>1</v>
      </c>
      <c r="N40" s="67" t="b">
        <f t="shared" si="45"/>
        <v>1</v>
      </c>
      <c r="O40" s="67" t="str">
        <f t="shared" si="45"/>
        <v/>
      </c>
      <c r="P40" s="67" t="b">
        <f t="shared" si="45"/>
        <v>1</v>
      </c>
      <c r="Q40" s="67" t="b">
        <f t="shared" si="45"/>
        <v>1</v>
      </c>
      <c r="R40" s="67" t="b">
        <f t="shared" si="45"/>
        <v>1</v>
      </c>
      <c r="S40" s="67" t="b">
        <f t="shared" si="45"/>
        <v>1</v>
      </c>
      <c r="T40" s="67" t="b">
        <f t="shared" si="45"/>
        <v>1</v>
      </c>
      <c r="U40" s="67" t="b">
        <f t="shared" si="45"/>
        <v>1</v>
      </c>
      <c r="V40" s="67" t="b">
        <f t="shared" si="45"/>
        <v>1</v>
      </c>
      <c r="W40" s="67" t="b">
        <f t="shared" si="45"/>
        <v>1</v>
      </c>
      <c r="X40" s="67" t="b">
        <f t="shared" si="45"/>
        <v>1</v>
      </c>
      <c r="Y40" s="67" t="b">
        <f t="shared" si="45"/>
        <v>1</v>
      </c>
      <c r="Z40" s="67" t="b">
        <f t="shared" si="45"/>
        <v>1</v>
      </c>
      <c r="AA40" s="67" t="b">
        <f t="shared" si="45"/>
        <v>1</v>
      </c>
      <c r="AB40" s="67" t="b">
        <f t="shared" si="45"/>
        <v>1</v>
      </c>
      <c r="AC40" s="67" t="b">
        <f t="shared" si="45"/>
        <v>1</v>
      </c>
      <c r="AD40" s="67" t="b">
        <f t="shared" si="45"/>
        <v>1</v>
      </c>
      <c r="AE40" s="67" t="str">
        <f t="shared" si="45"/>
        <v/>
      </c>
      <c r="AF40" s="67" t="b">
        <f t="shared" si="45"/>
        <v>1</v>
      </c>
      <c r="AG40" s="67" t="b">
        <f t="shared" si="45"/>
        <v>1</v>
      </c>
      <c r="AH40" s="67" t="b">
        <f t="shared" si="45"/>
        <v>1</v>
      </c>
      <c r="AI40" s="67" t="b">
        <f t="shared" si="45"/>
        <v>0</v>
      </c>
    </row>
    <row r="41">
      <c r="A41" s="12"/>
      <c r="B41" s="68" t="str">
        <f t="shared" ref="B41:E41" si="46">B12</f>
        <v>Growth Fixer</v>
      </c>
      <c r="C41" s="69" t="str">
        <f t="shared" si="46"/>
        <v>FACTOM-GRANT-GROWTH-FIXER-001</v>
      </c>
      <c r="D41" s="68" t="str">
        <f t="shared" si="46"/>
        <v>Marketing Strategy including content</v>
      </c>
      <c r="E41" s="70">
        <f t="shared" si="46"/>
        <v>9350</v>
      </c>
      <c r="F41" s="67" t="b">
        <f t="shared" ref="F41:AI41" si="47">if(indirect("'" &amp; F$26 &amp; "'!E" &amp; text(ROW( ) - 21,"#")),"",indirect("'" &amp; F$26 &amp; "'!F" &amp; text(ROW( ) - 21,"#")))</f>
        <v>1</v>
      </c>
      <c r="G41" s="67" t="b">
        <f t="shared" si="47"/>
        <v>0</v>
      </c>
      <c r="H41" s="67" t="b">
        <f t="shared" si="47"/>
        <v>1</v>
      </c>
      <c r="I41" s="67" t="b">
        <f t="shared" si="47"/>
        <v>0</v>
      </c>
      <c r="J41" s="67" t="b">
        <f t="shared" si="47"/>
        <v>1</v>
      </c>
      <c r="K41" s="67" t="b">
        <f t="shared" si="47"/>
        <v>1</v>
      </c>
      <c r="L41" s="67" t="b">
        <f t="shared" si="47"/>
        <v>1</v>
      </c>
      <c r="M41" s="67" t="b">
        <f t="shared" si="47"/>
        <v>1</v>
      </c>
      <c r="N41" s="67" t="b">
        <f t="shared" si="47"/>
        <v>1</v>
      </c>
      <c r="O41" s="67" t="b">
        <f t="shared" si="47"/>
        <v>1</v>
      </c>
      <c r="P41" s="67" t="b">
        <f t="shared" si="47"/>
        <v>1</v>
      </c>
      <c r="Q41" s="67" t="b">
        <f t="shared" si="47"/>
        <v>1</v>
      </c>
      <c r="R41" s="67" t="b">
        <f t="shared" si="47"/>
        <v>0</v>
      </c>
      <c r="S41" s="67" t="b">
        <f t="shared" si="47"/>
        <v>0</v>
      </c>
      <c r="T41" s="67" t="b">
        <f t="shared" si="47"/>
        <v>1</v>
      </c>
      <c r="U41" s="67" t="b">
        <f t="shared" si="47"/>
        <v>0</v>
      </c>
      <c r="V41" s="67" t="b">
        <f t="shared" si="47"/>
        <v>1</v>
      </c>
      <c r="W41" s="67" t="b">
        <f t="shared" si="47"/>
        <v>0</v>
      </c>
      <c r="X41" s="67" t="str">
        <f t="shared" si="47"/>
        <v/>
      </c>
      <c r="Y41" s="67" t="b">
        <f t="shared" si="47"/>
        <v>1</v>
      </c>
      <c r="Z41" s="67" t="b">
        <f t="shared" si="47"/>
        <v>1</v>
      </c>
      <c r="AA41" s="67" t="b">
        <f t="shared" si="47"/>
        <v>1</v>
      </c>
      <c r="AB41" s="67" t="b">
        <f t="shared" si="47"/>
        <v>1</v>
      </c>
      <c r="AC41" s="67" t="b">
        <f t="shared" si="47"/>
        <v>0</v>
      </c>
      <c r="AD41" s="67" t="b">
        <f t="shared" si="47"/>
        <v>1</v>
      </c>
      <c r="AE41" s="67" t="b">
        <f t="shared" si="47"/>
        <v>1</v>
      </c>
      <c r="AF41" s="67" t="b">
        <f t="shared" si="47"/>
        <v>1</v>
      </c>
      <c r="AG41" s="67" t="b">
        <f t="shared" si="47"/>
        <v>0</v>
      </c>
      <c r="AH41" s="67" t="b">
        <f t="shared" si="47"/>
        <v>0</v>
      </c>
      <c r="AI41" s="67" t="b">
        <f t="shared" si="47"/>
        <v>1</v>
      </c>
    </row>
    <row r="42">
      <c r="A42" s="12"/>
      <c r="B42" s="68" t="str">
        <f t="shared" ref="B42:E42" si="48">B13</f>
        <v>Factomize LLC</v>
      </c>
      <c r="C42" s="69" t="str">
        <f t="shared" si="48"/>
        <v>FACTOM-GRANT-FACTOMIZE-002</v>
      </c>
      <c r="D42" s="68" t="str">
        <f t="shared" si="48"/>
        <v>Core Development (Factomize)</v>
      </c>
      <c r="E42" s="70">
        <f t="shared" si="48"/>
        <v>6000</v>
      </c>
      <c r="F42" s="67" t="b">
        <f t="shared" ref="F42:AI42" si="49">if(indirect("'" &amp; F$26 &amp; "'!E" &amp; text(ROW( ) - 21,"#")),"",indirect("'" &amp; F$26 &amp; "'!F" &amp; text(ROW( ) - 21,"#")))</f>
        <v>1</v>
      </c>
      <c r="G42" s="67" t="b">
        <f t="shared" si="49"/>
        <v>0</v>
      </c>
      <c r="H42" s="67" t="b">
        <f t="shared" si="49"/>
        <v>1</v>
      </c>
      <c r="I42" s="67" t="b">
        <f t="shared" si="49"/>
        <v>1</v>
      </c>
      <c r="J42" s="67" t="b">
        <f t="shared" si="49"/>
        <v>1</v>
      </c>
      <c r="K42" s="67" t="b">
        <f t="shared" si="49"/>
        <v>1</v>
      </c>
      <c r="L42" s="67" t="b">
        <f t="shared" si="49"/>
        <v>1</v>
      </c>
      <c r="M42" s="67" t="b">
        <f t="shared" si="49"/>
        <v>1</v>
      </c>
      <c r="N42" s="67" t="b">
        <f t="shared" si="49"/>
        <v>1</v>
      </c>
      <c r="O42" s="67" t="b">
        <f t="shared" si="49"/>
        <v>1</v>
      </c>
      <c r="P42" s="67" t="b">
        <f t="shared" si="49"/>
        <v>1</v>
      </c>
      <c r="Q42" s="67" t="b">
        <f t="shared" si="49"/>
        <v>1</v>
      </c>
      <c r="R42" s="67" t="b">
        <f t="shared" si="49"/>
        <v>1</v>
      </c>
      <c r="S42" s="67" t="b">
        <f t="shared" si="49"/>
        <v>1</v>
      </c>
      <c r="T42" s="67" t="b">
        <f t="shared" si="49"/>
        <v>1</v>
      </c>
      <c r="U42" s="67" t="b">
        <f t="shared" si="49"/>
        <v>1</v>
      </c>
      <c r="V42" s="67" t="b">
        <f t="shared" si="49"/>
        <v>1</v>
      </c>
      <c r="W42" s="67" t="b">
        <f t="shared" si="49"/>
        <v>1</v>
      </c>
      <c r="X42" s="67" t="b">
        <f t="shared" si="49"/>
        <v>1</v>
      </c>
      <c r="Y42" s="67" t="b">
        <f t="shared" si="49"/>
        <v>1</v>
      </c>
      <c r="Z42" s="67" t="b">
        <f t="shared" si="49"/>
        <v>1</v>
      </c>
      <c r="AA42" s="67" t="b">
        <f t="shared" si="49"/>
        <v>1</v>
      </c>
      <c r="AB42" s="67" t="b">
        <f t="shared" si="49"/>
        <v>1</v>
      </c>
      <c r="AC42" s="67" t="b">
        <f t="shared" si="49"/>
        <v>1</v>
      </c>
      <c r="AD42" s="67" t="b">
        <f t="shared" si="49"/>
        <v>1</v>
      </c>
      <c r="AE42" s="67" t="b">
        <f t="shared" si="49"/>
        <v>1</v>
      </c>
      <c r="AF42" s="67" t="b">
        <f t="shared" si="49"/>
        <v>1</v>
      </c>
      <c r="AG42" s="67" t="b">
        <f t="shared" si="49"/>
        <v>1</v>
      </c>
      <c r="AH42" s="67" t="b">
        <f t="shared" si="49"/>
        <v>1</v>
      </c>
      <c r="AI42" s="67" t="b">
        <f t="shared" si="49"/>
        <v>1</v>
      </c>
    </row>
    <row r="43">
      <c r="A43" s="12"/>
      <c r="B43" s="68" t="str">
        <f t="shared" ref="B43:E43" si="50">B14</f>
        <v>Stamp-IT</v>
      </c>
      <c r="C43" s="69" t="str">
        <f t="shared" si="50"/>
        <v>FACTOM-GRANT-STAMP-IT-001</v>
      </c>
      <c r="D43" s="68" t="str">
        <f t="shared" si="50"/>
        <v>IoT gateway for Factom</v>
      </c>
      <c r="E43" s="70">
        <f t="shared" si="50"/>
        <v>2800</v>
      </c>
      <c r="F43" s="67" t="b">
        <f t="shared" ref="F43:AI43" si="51">if(indirect("'" &amp; F$26 &amp; "'!E" &amp; text(ROW( ) - 21,"#")),"",indirect("'" &amp; F$26 &amp; "'!F" &amp; text(ROW( ) - 21,"#")))</f>
        <v>1</v>
      </c>
      <c r="G43" s="67" t="b">
        <f t="shared" si="51"/>
        <v>0</v>
      </c>
      <c r="H43" s="67" t="b">
        <f t="shared" si="51"/>
        <v>1</v>
      </c>
      <c r="I43" s="67" t="b">
        <f t="shared" si="51"/>
        <v>1</v>
      </c>
      <c r="J43" s="67" t="b">
        <f t="shared" si="51"/>
        <v>1</v>
      </c>
      <c r="K43" s="67" t="b">
        <f t="shared" si="51"/>
        <v>1</v>
      </c>
      <c r="L43" s="67" t="b">
        <f t="shared" si="51"/>
        <v>1</v>
      </c>
      <c r="M43" s="67" t="b">
        <f t="shared" si="51"/>
        <v>1</v>
      </c>
      <c r="N43" s="67" t="b">
        <f t="shared" si="51"/>
        <v>1</v>
      </c>
      <c r="O43" s="67" t="b">
        <f t="shared" si="51"/>
        <v>1</v>
      </c>
      <c r="P43" s="67" t="b">
        <f t="shared" si="51"/>
        <v>1</v>
      </c>
      <c r="Q43" s="67" t="b">
        <f t="shared" si="51"/>
        <v>1</v>
      </c>
      <c r="R43" s="67" t="b">
        <f t="shared" si="51"/>
        <v>1</v>
      </c>
      <c r="S43" s="67" t="b">
        <f t="shared" si="51"/>
        <v>1</v>
      </c>
      <c r="T43" s="67" t="b">
        <f t="shared" si="51"/>
        <v>1</v>
      </c>
      <c r="U43" s="67" t="b">
        <f t="shared" si="51"/>
        <v>1</v>
      </c>
      <c r="V43" s="67" t="b">
        <f t="shared" si="51"/>
        <v>1</v>
      </c>
      <c r="W43" s="67" t="b">
        <f t="shared" si="51"/>
        <v>1</v>
      </c>
      <c r="X43" s="67" t="str">
        <f t="shared" si="51"/>
        <v/>
      </c>
      <c r="Y43" s="67" t="b">
        <f t="shared" si="51"/>
        <v>1</v>
      </c>
      <c r="Z43" s="67" t="b">
        <f t="shared" si="51"/>
        <v>1</v>
      </c>
      <c r="AA43" s="67" t="b">
        <f t="shared" si="51"/>
        <v>0</v>
      </c>
      <c r="AB43" s="67" t="b">
        <f t="shared" si="51"/>
        <v>1</v>
      </c>
      <c r="AC43" s="67" t="b">
        <f t="shared" si="51"/>
        <v>1</v>
      </c>
      <c r="AD43" s="67" t="str">
        <f t="shared" si="51"/>
        <v/>
      </c>
      <c r="AE43" s="67" t="b">
        <f t="shared" si="51"/>
        <v>1</v>
      </c>
      <c r="AF43" s="67" t="b">
        <f t="shared" si="51"/>
        <v>1</v>
      </c>
      <c r="AG43" s="67" t="b">
        <f t="shared" si="51"/>
        <v>1</v>
      </c>
      <c r="AH43" s="67" t="b">
        <f t="shared" si="51"/>
        <v>1</v>
      </c>
      <c r="AI43" s="67" t="b">
        <f t="shared" si="51"/>
        <v>0</v>
      </c>
    </row>
    <row r="44">
      <c r="A44" s="12"/>
      <c r="B44" s="68" t="str">
        <f t="shared" ref="B44:E44" si="52">B15</f>
        <v>Marketing Committee</v>
      </c>
      <c r="C44" s="69" t="str">
        <f t="shared" si="52"/>
        <v>FACTOM-GRANT-MARKETING-COMMITEE-003</v>
      </c>
      <c r="D44" s="68" t="str">
        <f t="shared" si="52"/>
        <v>Hackathon Grant</v>
      </c>
      <c r="E44" s="70">
        <f t="shared" si="52"/>
        <v>3600</v>
      </c>
      <c r="F44" s="67" t="b">
        <f t="shared" ref="F44:AI44" si="53">if(indirect("'" &amp; F$26 &amp; "'!E" &amp; text(ROW( ) - 21,"#")),"",indirect("'" &amp; F$26 &amp; "'!F" &amp; text(ROW( ) - 21,"#")))</f>
        <v>1</v>
      </c>
      <c r="G44" s="67" t="b">
        <f t="shared" si="53"/>
        <v>0</v>
      </c>
      <c r="H44" s="67" t="b">
        <f t="shared" si="53"/>
        <v>1</v>
      </c>
      <c r="I44" s="67" t="b">
        <f t="shared" si="53"/>
        <v>1</v>
      </c>
      <c r="J44" s="67" t="b">
        <f t="shared" si="53"/>
        <v>1</v>
      </c>
      <c r="K44" s="67" t="b">
        <f t="shared" si="53"/>
        <v>1</v>
      </c>
      <c r="L44" s="67" t="b">
        <f t="shared" si="53"/>
        <v>1</v>
      </c>
      <c r="M44" s="67" t="b">
        <f t="shared" si="53"/>
        <v>0</v>
      </c>
      <c r="N44" s="67" t="b">
        <f t="shared" si="53"/>
        <v>1</v>
      </c>
      <c r="O44" s="67" t="b">
        <f t="shared" si="53"/>
        <v>1</v>
      </c>
      <c r="P44" s="67" t="b">
        <f t="shared" si="53"/>
        <v>1</v>
      </c>
      <c r="Q44" s="67" t="b">
        <f t="shared" si="53"/>
        <v>1</v>
      </c>
      <c r="R44" s="67" t="b">
        <f t="shared" si="53"/>
        <v>1</v>
      </c>
      <c r="S44" s="67" t="b">
        <f t="shared" si="53"/>
        <v>1</v>
      </c>
      <c r="T44" s="67" t="b">
        <f t="shared" si="53"/>
        <v>1</v>
      </c>
      <c r="U44" s="67" t="b">
        <f t="shared" si="53"/>
        <v>1</v>
      </c>
      <c r="V44" s="67" t="b">
        <f t="shared" si="53"/>
        <v>1</v>
      </c>
      <c r="W44" s="67" t="b">
        <f t="shared" si="53"/>
        <v>1</v>
      </c>
      <c r="X44" s="67" t="b">
        <f t="shared" si="53"/>
        <v>1</v>
      </c>
      <c r="Y44" s="67" t="b">
        <f t="shared" si="53"/>
        <v>1</v>
      </c>
      <c r="Z44" s="67" t="b">
        <f t="shared" si="53"/>
        <v>1</v>
      </c>
      <c r="AA44" s="67" t="b">
        <f t="shared" si="53"/>
        <v>1</v>
      </c>
      <c r="AB44" s="67" t="b">
        <f t="shared" si="53"/>
        <v>1</v>
      </c>
      <c r="AC44" s="67" t="b">
        <f t="shared" si="53"/>
        <v>1</v>
      </c>
      <c r="AD44" s="67" t="str">
        <f t="shared" si="53"/>
        <v/>
      </c>
      <c r="AE44" s="67" t="b">
        <f t="shared" si="53"/>
        <v>1</v>
      </c>
      <c r="AF44" s="67" t="b">
        <f t="shared" si="53"/>
        <v>1</v>
      </c>
      <c r="AG44" s="67" t="b">
        <f t="shared" si="53"/>
        <v>1</v>
      </c>
      <c r="AH44" s="67" t="b">
        <f t="shared" si="53"/>
        <v>1</v>
      </c>
      <c r="AI44" s="67" t="b">
        <f t="shared" si="53"/>
        <v>1</v>
      </c>
    </row>
    <row r="45">
      <c r="A45" s="12"/>
      <c r="B45" s="68" t="str">
        <f t="shared" ref="B45:E45" si="54">B16</f>
        <v>Blockchain Innovation Foundation</v>
      </c>
      <c r="C45" s="69" t="str">
        <f t="shared" si="54"/>
        <v>FACTOM-GRANT-BIF-004</v>
      </c>
      <c r="D45" s="68" t="str">
        <f t="shared" si="54"/>
        <v>Core Development (BIF#1)</v>
      </c>
      <c r="E45" s="70">
        <f t="shared" si="54"/>
        <v>500</v>
      </c>
      <c r="F45" s="67" t="b">
        <f t="shared" ref="F45:AI45" si="55">if(indirect("'" &amp; F$26 &amp; "'!E" &amp; text(ROW( ) - 21,"#")),"",indirect("'" &amp; F$26 &amp; "'!F" &amp; text(ROW( ) - 21,"#")))</f>
        <v>1</v>
      </c>
      <c r="G45" s="67" t="str">
        <f t="shared" si="55"/>
        <v/>
      </c>
      <c r="H45" s="67" t="b">
        <f t="shared" si="55"/>
        <v>1</v>
      </c>
      <c r="I45" s="67" t="b">
        <f t="shared" si="55"/>
        <v>1</v>
      </c>
      <c r="J45" s="67" t="b">
        <f t="shared" si="55"/>
        <v>1</v>
      </c>
      <c r="K45" s="67" t="b">
        <f t="shared" si="55"/>
        <v>1</v>
      </c>
      <c r="L45" s="67" t="b">
        <f t="shared" si="55"/>
        <v>1</v>
      </c>
      <c r="M45" s="67" t="b">
        <f t="shared" si="55"/>
        <v>1</v>
      </c>
      <c r="N45" s="67" t="b">
        <f t="shared" si="55"/>
        <v>1</v>
      </c>
      <c r="O45" s="67" t="b">
        <f t="shared" si="55"/>
        <v>1</v>
      </c>
      <c r="P45" s="67" t="b">
        <f t="shared" si="55"/>
        <v>1</v>
      </c>
      <c r="Q45" s="67" t="b">
        <f t="shared" si="55"/>
        <v>1</v>
      </c>
      <c r="R45" s="67" t="b">
        <f t="shared" si="55"/>
        <v>1</v>
      </c>
      <c r="S45" s="67" t="b">
        <f t="shared" si="55"/>
        <v>1</v>
      </c>
      <c r="T45" s="67" t="b">
        <f t="shared" si="55"/>
        <v>1</v>
      </c>
      <c r="U45" s="67" t="b">
        <f t="shared" si="55"/>
        <v>1</v>
      </c>
      <c r="V45" s="67" t="b">
        <f t="shared" si="55"/>
        <v>1</v>
      </c>
      <c r="W45" s="67" t="b">
        <f t="shared" si="55"/>
        <v>1</v>
      </c>
      <c r="X45" s="67" t="b">
        <f t="shared" si="55"/>
        <v>1</v>
      </c>
      <c r="Y45" s="67" t="b">
        <f t="shared" si="55"/>
        <v>1</v>
      </c>
      <c r="Z45" s="67" t="b">
        <f t="shared" si="55"/>
        <v>1</v>
      </c>
      <c r="AA45" s="67" t="b">
        <f t="shared" si="55"/>
        <v>0</v>
      </c>
      <c r="AB45" s="67" t="b">
        <f t="shared" si="55"/>
        <v>1</v>
      </c>
      <c r="AC45" s="67" t="b">
        <f t="shared" si="55"/>
        <v>1</v>
      </c>
      <c r="AD45" s="67" t="b">
        <f t="shared" si="55"/>
        <v>1</v>
      </c>
      <c r="AE45" s="67" t="b">
        <f t="shared" si="55"/>
        <v>1</v>
      </c>
      <c r="AF45" s="67" t="b">
        <f t="shared" si="55"/>
        <v>1</v>
      </c>
      <c r="AG45" s="67" t="b">
        <f t="shared" si="55"/>
        <v>1</v>
      </c>
      <c r="AH45" s="67" t="b">
        <f t="shared" si="55"/>
        <v>1</v>
      </c>
      <c r="AI45" s="67" t="b">
        <f t="shared" si="55"/>
        <v>0</v>
      </c>
    </row>
    <row r="46">
      <c r="A46" s="12"/>
      <c r="B46" s="68" t="str">
        <f t="shared" ref="B46:E46" si="56">B17</f>
        <v>Blockchain Innovation Foundation</v>
      </c>
      <c r="C46" s="69" t="str">
        <f t="shared" si="56"/>
        <v>FACTOM-GRANT-BIF-005</v>
      </c>
      <c r="D46" s="68" t="str">
        <f t="shared" si="56"/>
        <v>Core Development (BIF#2)</v>
      </c>
      <c r="E46" s="70">
        <f t="shared" si="56"/>
        <v>5000</v>
      </c>
      <c r="F46" s="67" t="b">
        <f t="shared" ref="F46:AI46" si="57">if(indirect("'" &amp; F$26 &amp; "'!E" &amp; text(ROW( ) - 21,"#")),"",indirect("'" &amp; F$26 &amp; "'!F" &amp; text(ROW( ) - 21,"#")))</f>
        <v>1</v>
      </c>
      <c r="G46" s="67" t="str">
        <f t="shared" si="57"/>
        <v/>
      </c>
      <c r="H46" s="67" t="b">
        <f t="shared" si="57"/>
        <v>1</v>
      </c>
      <c r="I46" s="67" t="b">
        <f t="shared" si="57"/>
        <v>0</v>
      </c>
      <c r="J46" s="67" t="b">
        <f t="shared" si="57"/>
        <v>1</v>
      </c>
      <c r="K46" s="67" t="b">
        <f t="shared" si="57"/>
        <v>1</v>
      </c>
      <c r="L46" s="67" t="b">
        <f t="shared" si="57"/>
        <v>1</v>
      </c>
      <c r="M46" s="67" t="b">
        <f t="shared" si="57"/>
        <v>1</v>
      </c>
      <c r="N46" s="67" t="b">
        <f t="shared" si="57"/>
        <v>1</v>
      </c>
      <c r="O46" s="67" t="b">
        <f t="shared" si="57"/>
        <v>1</v>
      </c>
      <c r="P46" s="67" t="b">
        <f t="shared" si="57"/>
        <v>1</v>
      </c>
      <c r="Q46" s="67" t="b">
        <f t="shared" si="57"/>
        <v>1</v>
      </c>
      <c r="R46" s="67" t="b">
        <f t="shared" si="57"/>
        <v>1</v>
      </c>
      <c r="S46" s="67" t="b">
        <f t="shared" si="57"/>
        <v>0</v>
      </c>
      <c r="T46" s="67" t="b">
        <f t="shared" si="57"/>
        <v>1</v>
      </c>
      <c r="U46" s="67" t="b">
        <f t="shared" si="57"/>
        <v>1</v>
      </c>
      <c r="V46" s="67" t="b">
        <f t="shared" si="57"/>
        <v>1</v>
      </c>
      <c r="W46" s="67" t="b">
        <f t="shared" si="57"/>
        <v>0</v>
      </c>
      <c r="X46" s="67" t="str">
        <f t="shared" si="57"/>
        <v/>
      </c>
      <c r="Y46" s="67" t="b">
        <f t="shared" si="57"/>
        <v>1</v>
      </c>
      <c r="Z46" s="67" t="b">
        <f t="shared" si="57"/>
        <v>1</v>
      </c>
      <c r="AA46" s="67" t="b">
        <f t="shared" si="57"/>
        <v>0</v>
      </c>
      <c r="AB46" s="67" t="b">
        <f t="shared" si="57"/>
        <v>1</v>
      </c>
      <c r="AC46" s="67" t="b">
        <f t="shared" si="57"/>
        <v>0</v>
      </c>
      <c r="AD46" s="67" t="b">
        <f t="shared" si="57"/>
        <v>1</v>
      </c>
      <c r="AE46" s="67" t="b">
        <f t="shared" si="57"/>
        <v>1</v>
      </c>
      <c r="AF46" s="67" t="b">
        <f t="shared" si="57"/>
        <v>1</v>
      </c>
      <c r="AG46" s="67" t="b">
        <f t="shared" si="57"/>
        <v>0</v>
      </c>
      <c r="AH46" s="67" t="b">
        <f t="shared" si="57"/>
        <v>1</v>
      </c>
      <c r="AI46" s="67" t="b">
        <f t="shared" si="57"/>
        <v>0</v>
      </c>
    </row>
    <row r="47">
      <c r="A47" s="12"/>
      <c r="B47" s="68" t="str">
        <f t="shared" ref="B47:E47" si="58">B18</f>
        <v>Sphereon</v>
      </c>
      <c r="C47" s="69" t="str">
        <f t="shared" si="58"/>
        <v>FACTOM-GRANT-SPHEREON-XXX</v>
      </c>
      <c r="D47" s="68" t="str">
        <f t="shared" si="58"/>
        <v>Core Development Project Manager</v>
      </c>
      <c r="E47" s="70">
        <f t="shared" si="58"/>
        <v>2000</v>
      </c>
      <c r="F47" s="67" t="b">
        <f t="shared" ref="F47:AI47" si="59">if(indirect("'" &amp; F$26 &amp; "'!E" &amp; text(ROW( ) - 21,"#")),"",indirect("'" &amp; F$26 &amp; "'!F" &amp; text(ROW( ) - 21,"#")))</f>
        <v>1</v>
      </c>
      <c r="G47" s="67" t="str">
        <f t="shared" si="59"/>
        <v/>
      </c>
      <c r="H47" s="67" t="b">
        <f t="shared" si="59"/>
        <v>1</v>
      </c>
      <c r="I47" s="67" t="b">
        <f t="shared" si="59"/>
        <v>0</v>
      </c>
      <c r="J47" s="67" t="b">
        <f t="shared" si="59"/>
        <v>1</v>
      </c>
      <c r="K47" s="67" t="b">
        <f t="shared" si="59"/>
        <v>1</v>
      </c>
      <c r="L47" s="67" t="b">
        <f t="shared" si="59"/>
        <v>1</v>
      </c>
      <c r="M47" s="67" t="b">
        <f t="shared" si="59"/>
        <v>0</v>
      </c>
      <c r="N47" s="67" t="b">
        <f t="shared" si="59"/>
        <v>1</v>
      </c>
      <c r="O47" s="67" t="b">
        <f t="shared" si="59"/>
        <v>1</v>
      </c>
      <c r="P47" s="67" t="b">
        <f t="shared" si="59"/>
        <v>1</v>
      </c>
      <c r="Q47" s="67" t="b">
        <f t="shared" si="59"/>
        <v>1</v>
      </c>
      <c r="R47" s="67" t="b">
        <f t="shared" si="59"/>
        <v>0</v>
      </c>
      <c r="S47" s="67" t="b">
        <f t="shared" si="59"/>
        <v>0</v>
      </c>
      <c r="T47" s="67" t="b">
        <f t="shared" si="59"/>
        <v>1</v>
      </c>
      <c r="U47" s="67" t="b">
        <f t="shared" si="59"/>
        <v>1</v>
      </c>
      <c r="V47" s="67" t="b">
        <f t="shared" si="59"/>
        <v>1</v>
      </c>
      <c r="W47" s="67" t="b">
        <f t="shared" si="59"/>
        <v>0</v>
      </c>
      <c r="X47" s="67" t="b">
        <f t="shared" si="59"/>
        <v>0</v>
      </c>
      <c r="Y47" s="67" t="b">
        <f t="shared" si="59"/>
        <v>1</v>
      </c>
      <c r="Z47" s="67" t="b">
        <f t="shared" si="59"/>
        <v>1</v>
      </c>
      <c r="AA47" s="67" t="b">
        <f t="shared" si="59"/>
        <v>0</v>
      </c>
      <c r="AB47" s="67" t="b">
        <f t="shared" si="59"/>
        <v>1</v>
      </c>
      <c r="AC47" s="67" t="b">
        <f t="shared" si="59"/>
        <v>0</v>
      </c>
      <c r="AD47" s="67" t="b">
        <f t="shared" si="59"/>
        <v>1</v>
      </c>
      <c r="AE47" s="67" t="b">
        <f t="shared" si="59"/>
        <v>1</v>
      </c>
      <c r="AF47" s="67" t="b">
        <f t="shared" si="59"/>
        <v>1</v>
      </c>
      <c r="AG47" s="67" t="b">
        <f t="shared" si="59"/>
        <v>0</v>
      </c>
      <c r="AH47" s="67" t="b">
        <f t="shared" si="59"/>
        <v>1</v>
      </c>
      <c r="AI47" s="67" t="b">
        <f t="shared" si="59"/>
        <v>0</v>
      </c>
    </row>
    <row r="48">
      <c r="A48" s="12"/>
      <c r="B48" s="68" t="str">
        <f t="shared" ref="B48:E48" si="60">B19</f>
        <v>Marketing Committee</v>
      </c>
      <c r="C48" s="69" t="str">
        <f t="shared" si="60"/>
        <v>FACTOM-GRANT-MARKETING-COMMITEE-002</v>
      </c>
      <c r="D48" s="68" t="str">
        <f t="shared" si="60"/>
        <v>Explainer Video Grant</v>
      </c>
      <c r="E48" s="70">
        <f t="shared" si="60"/>
        <v>3000</v>
      </c>
      <c r="F48" s="67" t="b">
        <f t="shared" ref="F48:AI48" si="61">if(indirect("'" &amp; F$26 &amp; "'!E" &amp; text(ROW( ) - 21,"#")),"",indirect("'" &amp; F$26 &amp; "'!F" &amp; text(ROW( ) - 21,"#")))</f>
        <v>1</v>
      </c>
      <c r="G48" s="67" t="b">
        <f t="shared" si="61"/>
        <v>0</v>
      </c>
      <c r="H48" s="67" t="b">
        <f t="shared" si="61"/>
        <v>1</v>
      </c>
      <c r="I48" s="67" t="b">
        <f t="shared" si="61"/>
        <v>1</v>
      </c>
      <c r="J48" s="67" t="b">
        <f t="shared" si="61"/>
        <v>1</v>
      </c>
      <c r="K48" s="67" t="b">
        <f t="shared" si="61"/>
        <v>1</v>
      </c>
      <c r="L48" s="67" t="b">
        <f t="shared" si="61"/>
        <v>1</v>
      </c>
      <c r="M48" s="67" t="b">
        <f t="shared" si="61"/>
        <v>1</v>
      </c>
      <c r="N48" s="67" t="b">
        <f t="shared" si="61"/>
        <v>1</v>
      </c>
      <c r="O48" s="67" t="b">
        <f t="shared" si="61"/>
        <v>1</v>
      </c>
      <c r="P48" s="67" t="b">
        <f t="shared" si="61"/>
        <v>1</v>
      </c>
      <c r="Q48" s="67" t="b">
        <f t="shared" si="61"/>
        <v>1</v>
      </c>
      <c r="R48" s="67" t="b">
        <f t="shared" si="61"/>
        <v>1</v>
      </c>
      <c r="S48" s="67" t="b">
        <f t="shared" si="61"/>
        <v>1</v>
      </c>
      <c r="T48" s="67" t="b">
        <f t="shared" si="61"/>
        <v>1</v>
      </c>
      <c r="U48" s="67" t="b">
        <f t="shared" si="61"/>
        <v>1</v>
      </c>
      <c r="V48" s="67" t="b">
        <f t="shared" si="61"/>
        <v>1</v>
      </c>
      <c r="W48" s="67" t="b">
        <f t="shared" si="61"/>
        <v>1</v>
      </c>
      <c r="X48" s="67" t="b">
        <f t="shared" si="61"/>
        <v>1</v>
      </c>
      <c r="Y48" s="67" t="b">
        <f t="shared" si="61"/>
        <v>1</v>
      </c>
      <c r="Z48" s="67" t="b">
        <f t="shared" si="61"/>
        <v>1</v>
      </c>
      <c r="AA48" s="67" t="b">
        <f t="shared" si="61"/>
        <v>1</v>
      </c>
      <c r="AB48" s="67" t="b">
        <f t="shared" si="61"/>
        <v>1</v>
      </c>
      <c r="AC48" s="67" t="b">
        <f t="shared" si="61"/>
        <v>1</v>
      </c>
      <c r="AD48" s="67" t="str">
        <f t="shared" si="61"/>
        <v/>
      </c>
      <c r="AE48" s="67" t="b">
        <f t="shared" si="61"/>
        <v>1</v>
      </c>
      <c r="AF48" s="67" t="b">
        <f t="shared" si="61"/>
        <v>1</v>
      </c>
      <c r="AG48" s="67" t="b">
        <f t="shared" si="61"/>
        <v>1</v>
      </c>
      <c r="AH48" s="67" t="b">
        <f t="shared" si="61"/>
        <v>1</v>
      </c>
      <c r="AI48" s="67" t="b">
        <f t="shared" si="61"/>
        <v>1</v>
      </c>
    </row>
    <row r="49">
      <c r="A49" s="12"/>
      <c r="B49" s="68" t="str">
        <f t="shared" ref="B49:E49" si="62">B20</f>
        <v>Factom Inc.</v>
      </c>
      <c r="C49" s="69" t="str">
        <f t="shared" si="62"/>
        <v>FACTOM-GRANT-FACTOM, INC-012</v>
      </c>
      <c r="D49" s="68" t="str">
        <f t="shared" si="62"/>
        <v>Protocol Development (2019-03-09 -&gt; 2019-06-09)</v>
      </c>
      <c r="E49" s="70">
        <f t="shared" si="62"/>
        <v>37259</v>
      </c>
      <c r="F49" s="67" t="b">
        <f t="shared" ref="F49:AI49" si="63">if(indirect("'" &amp; F$26 &amp; "'!E" &amp; text(ROW( ) - 21,"#")),"",indirect("'" &amp; F$26 &amp; "'!F" &amp; text(ROW( ) - 21,"#")))</f>
        <v>1</v>
      </c>
      <c r="G49" s="67" t="b">
        <f t="shared" si="63"/>
        <v>0</v>
      </c>
      <c r="H49" s="67" t="b">
        <f t="shared" si="63"/>
        <v>1</v>
      </c>
      <c r="I49" s="67" t="b">
        <f t="shared" si="63"/>
        <v>1</v>
      </c>
      <c r="J49" s="67" t="b">
        <f t="shared" si="63"/>
        <v>1</v>
      </c>
      <c r="K49" s="67" t="b">
        <f t="shared" si="63"/>
        <v>1</v>
      </c>
      <c r="L49" s="67" t="b">
        <f t="shared" si="63"/>
        <v>1</v>
      </c>
      <c r="M49" s="67" t="b">
        <f t="shared" si="63"/>
        <v>1</v>
      </c>
      <c r="N49" s="67" t="b">
        <f t="shared" si="63"/>
        <v>1</v>
      </c>
      <c r="O49" s="67" t="b">
        <f t="shared" si="63"/>
        <v>1</v>
      </c>
      <c r="P49" s="67" t="b">
        <f t="shared" si="63"/>
        <v>1</v>
      </c>
      <c r="Q49" s="67" t="b">
        <f t="shared" si="63"/>
        <v>1</v>
      </c>
      <c r="R49" s="67" t="b">
        <f t="shared" si="63"/>
        <v>1</v>
      </c>
      <c r="S49" s="67" t="str">
        <f t="shared" si="63"/>
        <v/>
      </c>
      <c r="T49" s="67" t="b">
        <f t="shared" si="63"/>
        <v>1</v>
      </c>
      <c r="U49" s="67" t="b">
        <f t="shared" si="63"/>
        <v>1</v>
      </c>
      <c r="V49" s="67" t="b">
        <f t="shared" si="63"/>
        <v>1</v>
      </c>
      <c r="W49" s="67" t="b">
        <f t="shared" si="63"/>
        <v>1</v>
      </c>
      <c r="X49" s="67" t="b">
        <f t="shared" si="63"/>
        <v>1</v>
      </c>
      <c r="Y49" s="67" t="b">
        <f t="shared" si="63"/>
        <v>1</v>
      </c>
      <c r="Z49" s="67" t="b">
        <f t="shared" si="63"/>
        <v>1</v>
      </c>
      <c r="AA49" s="67" t="b">
        <f t="shared" si="63"/>
        <v>1</v>
      </c>
      <c r="AB49" s="67" t="b">
        <f t="shared" si="63"/>
        <v>1</v>
      </c>
      <c r="AC49" s="67" t="b">
        <f t="shared" si="63"/>
        <v>1</v>
      </c>
      <c r="AD49" s="67" t="b">
        <f t="shared" si="63"/>
        <v>1</v>
      </c>
      <c r="AE49" s="67" t="b">
        <f t="shared" si="63"/>
        <v>1</v>
      </c>
      <c r="AF49" s="67" t="b">
        <f t="shared" si="63"/>
        <v>1</v>
      </c>
      <c r="AG49" s="67" t="b">
        <f t="shared" si="63"/>
        <v>1</v>
      </c>
      <c r="AH49" s="67" t="str">
        <f t="shared" si="63"/>
        <v/>
      </c>
      <c r="AI49" s="67" t="b">
        <f t="shared" si="63"/>
        <v>1</v>
      </c>
    </row>
    <row r="50">
      <c r="A50" s="12"/>
      <c r="B50" s="68" t="str">
        <f t="shared" ref="B50:E50" si="64">B21</f>
        <v>Factom Inc.</v>
      </c>
      <c r="C50" s="69" t="str">
        <f t="shared" si="64"/>
        <v>FACTOM-GRANT-FACTOM, INC-009</v>
      </c>
      <c r="D50" s="68" t="str">
        <f t="shared" si="64"/>
        <v>Protocol Development Continuation (2018-12-09 -&gt; 2019-03-09)</v>
      </c>
      <c r="E50" s="70">
        <f t="shared" si="64"/>
        <v>29440</v>
      </c>
      <c r="F50" s="67" t="b">
        <f t="shared" ref="F50:AI50" si="65">if(indirect("'" &amp; F$26 &amp; "'!E" &amp; text(ROW( ) - 21,"#")),"",indirect("'" &amp; F$26 &amp; "'!F" &amp; text(ROW( ) - 21,"#")))</f>
        <v>1</v>
      </c>
      <c r="G50" s="67" t="b">
        <f t="shared" si="65"/>
        <v>0</v>
      </c>
      <c r="H50" s="67" t="b">
        <f t="shared" si="65"/>
        <v>1</v>
      </c>
      <c r="I50" s="67" t="b">
        <f t="shared" si="65"/>
        <v>1</v>
      </c>
      <c r="J50" s="67" t="b">
        <f t="shared" si="65"/>
        <v>1</v>
      </c>
      <c r="K50" s="67" t="b">
        <f t="shared" si="65"/>
        <v>1</v>
      </c>
      <c r="L50" s="67" t="b">
        <f t="shared" si="65"/>
        <v>1</v>
      </c>
      <c r="M50" s="67" t="b">
        <f t="shared" si="65"/>
        <v>1</v>
      </c>
      <c r="N50" s="67" t="b">
        <f t="shared" si="65"/>
        <v>1</v>
      </c>
      <c r="O50" s="67" t="b">
        <f t="shared" si="65"/>
        <v>1</v>
      </c>
      <c r="P50" s="67" t="b">
        <f t="shared" si="65"/>
        <v>1</v>
      </c>
      <c r="Q50" s="67" t="b">
        <f t="shared" si="65"/>
        <v>1</v>
      </c>
      <c r="R50" s="67" t="b">
        <f t="shared" si="65"/>
        <v>1</v>
      </c>
      <c r="S50" s="67" t="str">
        <f t="shared" si="65"/>
        <v/>
      </c>
      <c r="T50" s="67" t="b">
        <f t="shared" si="65"/>
        <v>1</v>
      </c>
      <c r="U50" s="67" t="b">
        <f t="shared" si="65"/>
        <v>1</v>
      </c>
      <c r="V50" s="67" t="b">
        <f t="shared" si="65"/>
        <v>1</v>
      </c>
      <c r="W50" s="67" t="b">
        <f t="shared" si="65"/>
        <v>1</v>
      </c>
      <c r="X50" s="67" t="b">
        <f t="shared" si="65"/>
        <v>1</v>
      </c>
      <c r="Y50" s="67" t="b">
        <f t="shared" si="65"/>
        <v>1</v>
      </c>
      <c r="Z50" s="67" t="b">
        <f t="shared" si="65"/>
        <v>1</v>
      </c>
      <c r="AA50" s="67" t="b">
        <f t="shared" si="65"/>
        <v>1</v>
      </c>
      <c r="AB50" s="67" t="b">
        <f t="shared" si="65"/>
        <v>1</v>
      </c>
      <c r="AC50" s="67" t="b">
        <f t="shared" si="65"/>
        <v>1</v>
      </c>
      <c r="AD50" s="67" t="b">
        <f t="shared" si="65"/>
        <v>1</v>
      </c>
      <c r="AE50" s="67" t="b">
        <f t="shared" si="65"/>
        <v>1</v>
      </c>
      <c r="AF50" s="67" t="b">
        <f t="shared" si="65"/>
        <v>1</v>
      </c>
      <c r="AG50" s="67" t="b">
        <f t="shared" si="65"/>
        <v>1</v>
      </c>
      <c r="AH50" s="67" t="str">
        <f t="shared" si="65"/>
        <v/>
      </c>
      <c r="AI50" s="67" t="b">
        <f t="shared" si="65"/>
        <v>1</v>
      </c>
    </row>
    <row r="51">
      <c r="A51" s="12"/>
      <c r="B51" s="68" t="str">
        <f t="shared" ref="B51:E51" si="66">B22</f>
        <v>Bedrock, DeFacto</v>
      </c>
      <c r="C51" s="69" t="str">
        <f t="shared" si="66"/>
        <v>FACTOM-GRANT-BEDROCK-DEFACTO-001</v>
      </c>
      <c r="D51" s="68" t="str">
        <f t="shared" si="66"/>
        <v>Factom Open Node Enhancement</v>
      </c>
      <c r="E51" s="70">
        <f t="shared" si="66"/>
        <v>1300</v>
      </c>
      <c r="F51" s="67" t="b">
        <f t="shared" ref="F51:AI51" si="67">if(indirect("'" &amp; F$26 &amp; "'!E" &amp; text(ROW( ) - 21,"#")),"",indirect("'" &amp; F$26 &amp; "'!F" &amp; text(ROW( ) - 21,"#")))</f>
        <v>1</v>
      </c>
      <c r="G51" s="67" t="b">
        <f t="shared" si="67"/>
        <v>0</v>
      </c>
      <c r="H51" s="67" t="b">
        <f t="shared" si="67"/>
        <v>1</v>
      </c>
      <c r="I51" s="67" t="b">
        <f t="shared" si="67"/>
        <v>1</v>
      </c>
      <c r="J51" s="67" t="str">
        <f t="shared" si="67"/>
        <v/>
      </c>
      <c r="K51" s="67" t="b">
        <f t="shared" si="67"/>
        <v>1</v>
      </c>
      <c r="L51" s="67" t="b">
        <f t="shared" si="67"/>
        <v>1</v>
      </c>
      <c r="M51" s="67" t="b">
        <f t="shared" si="67"/>
        <v>1</v>
      </c>
      <c r="N51" s="67" t="b">
        <f t="shared" si="67"/>
        <v>1</v>
      </c>
      <c r="O51" s="67" t="str">
        <f t="shared" si="67"/>
        <v/>
      </c>
      <c r="P51" s="67" t="b">
        <f t="shared" si="67"/>
        <v>1</v>
      </c>
      <c r="Q51" s="67" t="b">
        <f t="shared" si="67"/>
        <v>1</v>
      </c>
      <c r="R51" s="67" t="b">
        <f t="shared" si="67"/>
        <v>1</v>
      </c>
      <c r="S51" s="67" t="b">
        <f t="shared" si="67"/>
        <v>1</v>
      </c>
      <c r="T51" s="67" t="b">
        <f t="shared" si="67"/>
        <v>1</v>
      </c>
      <c r="U51" s="67" t="b">
        <f t="shared" si="67"/>
        <v>1</v>
      </c>
      <c r="V51" s="67" t="b">
        <f t="shared" si="67"/>
        <v>1</v>
      </c>
      <c r="W51" s="67" t="b">
        <f t="shared" si="67"/>
        <v>1</v>
      </c>
      <c r="X51" s="67" t="str">
        <f t="shared" si="67"/>
        <v/>
      </c>
      <c r="Y51" s="67" t="b">
        <f t="shared" si="67"/>
        <v>1</v>
      </c>
      <c r="Z51" s="67" t="b">
        <f t="shared" si="67"/>
        <v>1</v>
      </c>
      <c r="AA51" s="67" t="b">
        <f t="shared" si="67"/>
        <v>1</v>
      </c>
      <c r="AB51" s="67" t="b">
        <f t="shared" si="67"/>
        <v>1</v>
      </c>
      <c r="AC51" s="67" t="b">
        <f t="shared" si="67"/>
        <v>1</v>
      </c>
      <c r="AD51" s="67" t="b">
        <f t="shared" si="67"/>
        <v>1</v>
      </c>
      <c r="AE51" s="67" t="str">
        <f t="shared" si="67"/>
        <v/>
      </c>
      <c r="AF51" s="67" t="b">
        <f t="shared" si="67"/>
        <v>1</v>
      </c>
      <c r="AG51" s="67" t="b">
        <f t="shared" si="67"/>
        <v>1</v>
      </c>
      <c r="AH51" s="67" t="b">
        <f t="shared" si="67"/>
        <v>1</v>
      </c>
      <c r="AI51" s="67" t="b">
        <f t="shared" si="67"/>
        <v>0</v>
      </c>
    </row>
    <row r="52">
      <c r="A52" s="12"/>
      <c r="B52" s="68" t="str">
        <f t="shared" ref="B52:E52" si="68">B23</f>
        <v>DBGrow, Luciap, Canonical Ledgers</v>
      </c>
      <c r="C52" s="69" t="str">
        <f t="shared" si="68"/>
        <v>FACTOM-GRANT-DBGROW-LUCIAP-CANONICALLEDGERS-002</v>
      </c>
      <c r="D52" s="68" t="str">
        <f t="shared" si="68"/>
        <v>FAT Protocol Development</v>
      </c>
      <c r="E52" s="70">
        <f t="shared" si="68"/>
        <v>12700</v>
      </c>
      <c r="F52" s="67" t="b">
        <f t="shared" ref="F52:AI52" si="69">if(indirect("'" &amp; F$26 &amp; "'!E" &amp; text(ROW( ) - 21,"#")),"",indirect("'" &amp; F$26 &amp; "'!F" &amp; text(ROW( ) - 21,"#")))</f>
        <v>1</v>
      </c>
      <c r="G52" s="67" t="b">
        <f t="shared" si="69"/>
        <v>0</v>
      </c>
      <c r="H52" s="67" t="str">
        <f t="shared" si="69"/>
        <v/>
      </c>
      <c r="I52" s="67" t="b">
        <f t="shared" si="69"/>
        <v>1</v>
      </c>
      <c r="J52" s="67" t="b">
        <f t="shared" si="69"/>
        <v>1</v>
      </c>
      <c r="K52" s="67" t="b">
        <f t="shared" si="69"/>
        <v>1</v>
      </c>
      <c r="L52" s="67" t="b">
        <f t="shared" si="69"/>
        <v>1</v>
      </c>
      <c r="M52" s="67" t="b">
        <f t="shared" si="69"/>
        <v>1</v>
      </c>
      <c r="N52" s="67" t="b">
        <f t="shared" si="69"/>
        <v>1</v>
      </c>
      <c r="O52" s="67" t="b">
        <f t="shared" si="69"/>
        <v>1</v>
      </c>
      <c r="P52" s="67" t="b">
        <f t="shared" si="69"/>
        <v>1</v>
      </c>
      <c r="Q52" s="67" t="b">
        <f t="shared" si="69"/>
        <v>1</v>
      </c>
      <c r="R52" s="67" t="b">
        <f t="shared" si="69"/>
        <v>1</v>
      </c>
      <c r="S52" s="67" t="b">
        <f t="shared" si="69"/>
        <v>1</v>
      </c>
      <c r="T52" s="67" t="b">
        <f t="shared" si="69"/>
        <v>1</v>
      </c>
      <c r="U52" s="67" t="b">
        <f t="shared" si="69"/>
        <v>1</v>
      </c>
      <c r="V52" s="67" t="b">
        <f t="shared" si="69"/>
        <v>1</v>
      </c>
      <c r="W52" s="67" t="b">
        <f t="shared" si="69"/>
        <v>1</v>
      </c>
      <c r="X52" s="67" t="b">
        <f t="shared" si="69"/>
        <v>1</v>
      </c>
      <c r="Y52" s="67" t="b">
        <f t="shared" si="69"/>
        <v>1</v>
      </c>
      <c r="Z52" s="67" t="b">
        <f t="shared" si="69"/>
        <v>1</v>
      </c>
      <c r="AA52" s="67" t="b">
        <f t="shared" si="69"/>
        <v>1</v>
      </c>
      <c r="AB52" s="67" t="b">
        <f t="shared" si="69"/>
        <v>1</v>
      </c>
      <c r="AC52" s="67" t="b">
        <f t="shared" si="69"/>
        <v>1</v>
      </c>
      <c r="AD52" s="67" t="b">
        <f t="shared" si="69"/>
        <v>1</v>
      </c>
      <c r="AE52" s="67" t="b">
        <f t="shared" si="69"/>
        <v>1</v>
      </c>
      <c r="AF52" s="67" t="b">
        <f t="shared" si="69"/>
        <v>1</v>
      </c>
      <c r="AG52" s="67" t="b">
        <f t="shared" si="69"/>
        <v>1</v>
      </c>
      <c r="AH52" s="67" t="b">
        <f t="shared" si="69"/>
        <v>1</v>
      </c>
      <c r="AI52" s="67" t="b">
        <f t="shared" si="69"/>
        <v>1</v>
      </c>
    </row>
    <row r="53">
      <c r="A53" s="12"/>
      <c r="B53" s="59" t="s">
        <v>86</v>
      </c>
      <c r="C53" s="60"/>
      <c r="D53" s="60"/>
      <c r="E53" s="61"/>
      <c r="F53" s="62" t="b">
        <v>1</v>
      </c>
      <c r="G53" s="62" t="b">
        <v>1</v>
      </c>
      <c r="H53" s="62" t="b">
        <v>1</v>
      </c>
      <c r="I53" s="62" t="b">
        <v>1</v>
      </c>
      <c r="J53" s="62" t="b">
        <v>1</v>
      </c>
      <c r="K53" s="62" t="b">
        <v>1</v>
      </c>
      <c r="L53" s="62" t="b">
        <v>1</v>
      </c>
      <c r="M53" s="62" t="b">
        <v>1</v>
      </c>
      <c r="N53" s="62" t="b">
        <v>1</v>
      </c>
      <c r="O53" s="62" t="b">
        <v>1</v>
      </c>
      <c r="P53" s="62" t="b">
        <v>1</v>
      </c>
      <c r="Q53" s="62" t="b">
        <v>1</v>
      </c>
      <c r="R53" s="62" t="b">
        <v>1</v>
      </c>
      <c r="S53" s="62" t="b">
        <v>1</v>
      </c>
      <c r="T53" s="62" t="b">
        <v>1</v>
      </c>
      <c r="U53" s="62" t="b">
        <v>1</v>
      </c>
      <c r="V53" s="62" t="b">
        <v>1</v>
      </c>
      <c r="W53" s="62" t="b">
        <v>1</v>
      </c>
      <c r="X53" s="62" t="b">
        <v>1</v>
      </c>
      <c r="Y53" s="62" t="b">
        <v>1</v>
      </c>
      <c r="Z53" s="62" t="b">
        <v>1</v>
      </c>
      <c r="AA53" s="62" t="b">
        <v>1</v>
      </c>
      <c r="AB53" s="62" t="b">
        <v>1</v>
      </c>
      <c r="AC53" s="62" t="b">
        <v>1</v>
      </c>
      <c r="AD53" s="62" t="b">
        <v>1</v>
      </c>
      <c r="AE53" s="62" t="b">
        <v>1</v>
      </c>
      <c r="AF53" s="62" t="b">
        <v>1</v>
      </c>
      <c r="AG53" s="62" t="b">
        <v>1</v>
      </c>
      <c r="AH53" s="62" t="b">
        <v>1</v>
      </c>
      <c r="AI53" s="62" t="b">
        <v>1</v>
      </c>
    </row>
    <row r="54" ht="31.5" customHeight="1">
      <c r="A54" s="12"/>
      <c r="AE54" s="12"/>
      <c r="AF54" s="12"/>
      <c r="AG54" s="12"/>
      <c r="AH54" s="12"/>
      <c r="AI54" s="12"/>
    </row>
    <row r="55">
      <c r="A55" s="12"/>
      <c r="E55" s="12"/>
      <c r="F55" s="80" t="s">
        <v>98</v>
      </c>
      <c r="K55" s="12"/>
      <c r="L55" s="80" t="s">
        <v>99</v>
      </c>
      <c r="Q55" s="12"/>
      <c r="AE55" s="12"/>
      <c r="AF55" s="12"/>
      <c r="AG55" s="12"/>
      <c r="AH55" s="12"/>
      <c r="AI55" s="12"/>
    </row>
    <row r="56">
      <c r="F56" s="81" t="s">
        <v>100</v>
      </c>
      <c r="L56" s="81" t="s">
        <v>100</v>
      </c>
      <c r="AE56" s="12"/>
      <c r="AF56" s="12"/>
      <c r="AG56" s="12"/>
      <c r="AH56" s="12"/>
      <c r="AI56" s="12"/>
    </row>
    <row r="57">
      <c r="F57" s="81" t="s">
        <v>101</v>
      </c>
      <c r="L57" s="81" t="s">
        <v>102</v>
      </c>
      <c r="AE57" s="12"/>
      <c r="AF57" s="12"/>
      <c r="AG57" s="12"/>
      <c r="AH57" s="12"/>
      <c r="AI57" s="12"/>
    </row>
    <row r="58">
      <c r="F58" s="81" t="s">
        <v>103</v>
      </c>
      <c r="L58" s="81" t="s">
        <v>104</v>
      </c>
      <c r="AE58" s="12"/>
      <c r="AF58" s="12"/>
      <c r="AG58" s="12"/>
      <c r="AH58" s="12"/>
      <c r="AI58" s="12"/>
    </row>
    <row r="59">
      <c r="F59" s="81" t="s">
        <v>105</v>
      </c>
      <c r="L59" s="12"/>
      <c r="AE59" s="12"/>
      <c r="AF59" s="12"/>
      <c r="AG59" s="12"/>
      <c r="AH59" s="12"/>
      <c r="AI59" s="12"/>
    </row>
    <row r="60">
      <c r="F60" s="81" t="s">
        <v>106</v>
      </c>
      <c r="AE60" s="12"/>
      <c r="AF60" s="12"/>
      <c r="AG60" s="12"/>
      <c r="AH60" s="12"/>
      <c r="AI60" s="12"/>
    </row>
    <row r="61">
      <c r="F61" s="12"/>
      <c r="AE61" s="12"/>
      <c r="AF61" s="12"/>
      <c r="AG61" s="12"/>
      <c r="AH61" s="12"/>
      <c r="AI61" s="12"/>
    </row>
    <row r="62">
      <c r="A62" s="12"/>
      <c r="AE62" s="12"/>
      <c r="AF62" s="12"/>
      <c r="AG62" s="12"/>
      <c r="AH62" s="12"/>
      <c r="AI62" s="12"/>
    </row>
  </sheetData>
  <mergeCells count="26">
    <mergeCell ref="A2:A24"/>
    <mergeCell ref="A26:A31"/>
    <mergeCell ref="B26:E26"/>
    <mergeCell ref="F1:AD1"/>
    <mergeCell ref="B1:E1"/>
    <mergeCell ref="A25:AD25"/>
    <mergeCell ref="B24:E24"/>
    <mergeCell ref="F55:J55"/>
    <mergeCell ref="A54:AD54"/>
    <mergeCell ref="B53:E53"/>
    <mergeCell ref="F61:J61"/>
    <mergeCell ref="A62:AD62"/>
    <mergeCell ref="L57:P57"/>
    <mergeCell ref="L56:P56"/>
    <mergeCell ref="F59:J59"/>
    <mergeCell ref="F57:J57"/>
    <mergeCell ref="F58:J58"/>
    <mergeCell ref="L59:P61"/>
    <mergeCell ref="F60:J60"/>
    <mergeCell ref="A55:D61"/>
    <mergeCell ref="E55:E61"/>
    <mergeCell ref="K55:K61"/>
    <mergeCell ref="L58:P58"/>
    <mergeCell ref="L55:P55"/>
    <mergeCell ref="Q55:AD61"/>
    <mergeCell ref="F56:J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8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'Master Scoring Sheet'!C27</f>
        <v>FACTOM-GRANT-FACTOM, INC-008</v>
      </c>
      <c r="C4" s="30" t="str">
        <f>'Master Scoring Sheet'!D27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'Master Scoring Sheet'!C28</f>
        <v>FACTOM-GRANT-FACTOM, INC-011</v>
      </c>
      <c r="C5" s="30" t="str">
        <f>'Master Scoring Sheet'!D28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'Master Scoring Sheet'!C29</f>
        <v>FACTOM-GRANT-FACTOM, INC-007</v>
      </c>
      <c r="C6" s="30" t="str">
        <f>'Master Scoring Sheet'!D29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'Master Scoring Sheet'!C30</f>
        <v>FACTOM-GRANT-FACTOM, INC-010</v>
      </c>
      <c r="C7" s="30" t="str">
        <f>'Master Scoring Sheet'!D30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'Master Scoring Sheet'!C31</f>
        <v>FACTOM-GRANT-GUIDES-003</v>
      </c>
      <c r="C8" s="30" t="str">
        <f>'Master Scoring Sheet'!D31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'Master Scoring Sheet'!C32</f>
        <v>FACTOM-GRANT-DEFACTO-001</v>
      </c>
      <c r="C11" s="30" t="str">
        <f>'Master Scoring Sheet'!D32</f>
        <v>Factom Open-source API</v>
      </c>
      <c r="D11" s="48">
        <v>11.0</v>
      </c>
      <c r="E11" s="49" t="b">
        <v>0</v>
      </c>
      <c r="F11" s="34" t="b">
        <v>1</v>
      </c>
    </row>
    <row r="12">
      <c r="A12" s="1"/>
      <c r="B12" s="28" t="str">
        <f>'Master Scoring Sheet'!C33</f>
        <v>FACTOM-GRANT-TRIALL-001</v>
      </c>
      <c r="C12" s="30" t="str">
        <f>'Master Scoring Sheet'!D33</f>
        <v>Document processing and data management application for clinical trials</v>
      </c>
      <c r="D12" s="48">
        <v>12.0</v>
      </c>
      <c r="E12" s="49" t="b">
        <v>0</v>
      </c>
      <c r="F12" s="34" t="b">
        <v>1</v>
      </c>
    </row>
    <row r="13">
      <c r="A13" s="1"/>
      <c r="B13" s="28" t="str">
        <f>'Master Scoring Sheet'!C34</f>
        <v>FACTOM-GRANT-PRESTIGE-IT-001</v>
      </c>
      <c r="C13" s="30" t="str">
        <f>'Master Scoring Sheet'!D34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'Master Scoring Sheet'!C35</f>
        <v>FACTOM-GRANT-DEFACTO-004</v>
      </c>
      <c r="C14" s="30" t="str">
        <f>'Master Scoring Sheet'!D35</f>
        <v>Telegram Wallet for Factom</v>
      </c>
      <c r="D14" s="48">
        <v>16.0</v>
      </c>
      <c r="E14" s="49" t="b">
        <v>0</v>
      </c>
      <c r="F14" s="34" t="b">
        <v>1</v>
      </c>
    </row>
    <row r="15">
      <c r="A15" s="1"/>
      <c r="B15" s="28" t="str">
        <f>'Master Scoring Sheet'!C36</f>
        <v>FACTOM-GRANT-EXCHANGE-COMMITTEE-003</v>
      </c>
      <c r="C15" s="30" t="str">
        <f>'Master Scoring Sheet'!D36</f>
        <v>Exchange Committee funding</v>
      </c>
      <c r="D15" s="48">
        <v>13.0</v>
      </c>
      <c r="E15" s="49" t="b">
        <v>0</v>
      </c>
      <c r="F15" s="34" t="b">
        <v>1</v>
      </c>
    </row>
    <row r="16">
      <c r="A16" s="1"/>
      <c r="B16" s="28" t="str">
        <f>'Master Scoring Sheet'!C37</f>
        <v>FACTOM-GRANT-GUIDES-004</v>
      </c>
      <c r="C16" s="30" t="str">
        <f>'Master Scoring Sheet'!D37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'Master Scoring Sheet'!C38</f>
        <v>FACTOM-GRANT-FACTOMIZE-001</v>
      </c>
      <c r="C17" s="30" t="str">
        <f>'Master Scoring Sheet'!D38</f>
        <v>Marketing Videos</v>
      </c>
      <c r="D17" s="48">
        <v>9.0</v>
      </c>
      <c r="E17" s="49" t="b">
        <v>0</v>
      </c>
      <c r="F17" s="34" t="b">
        <v>1</v>
      </c>
    </row>
    <row r="18">
      <c r="A18" s="1"/>
      <c r="B18" s="28" t="str">
        <f>'Master Scoring Sheet'!C39</f>
        <v>FACTOM-GRANT-LAYERTECH-001</v>
      </c>
      <c r="C18" s="30" t="str">
        <f>'Master Scoring Sheet'!D39</f>
        <v>Core Development (LayerTech)</v>
      </c>
      <c r="D18" s="48">
        <v>6.0</v>
      </c>
      <c r="E18" s="49" t="b">
        <v>0</v>
      </c>
      <c r="F18" s="34" t="b">
        <v>1</v>
      </c>
    </row>
    <row r="19">
      <c r="A19" s="1"/>
      <c r="B19" s="28" t="str">
        <f>'Master Scoring Sheet'!C40</f>
        <v>BEDROCK-CRYPTOLOGIC-DEFACTO-TFA-002</v>
      </c>
      <c r="C19" s="30" t="str">
        <f>'Master Scoring Sheet'!D40</f>
        <v>Factom Open Node Continuity</v>
      </c>
      <c r="D19" s="48">
        <v>10.0</v>
      </c>
      <c r="E19" s="49" t="b">
        <v>0</v>
      </c>
      <c r="F19" s="34" t="b">
        <v>1</v>
      </c>
    </row>
    <row r="20">
      <c r="A20" s="1"/>
      <c r="B20" s="28" t="str">
        <f>'Master Scoring Sheet'!C41</f>
        <v>FACTOM-GRANT-GROWTH-FIXER-001</v>
      </c>
      <c r="C20" s="30" t="str">
        <f>'Master Scoring Sheet'!D41</f>
        <v>Marketing Strategy including content</v>
      </c>
      <c r="D20" s="48">
        <v>20.0</v>
      </c>
      <c r="E20" s="49" t="b">
        <v>0</v>
      </c>
      <c r="F20" s="34" t="b">
        <v>1</v>
      </c>
    </row>
    <row r="21">
      <c r="A21" s="1"/>
      <c r="B21" s="28" t="str">
        <f>'Master Scoring Sheet'!C42</f>
        <v>FACTOM-GRANT-FACTOMIZE-002</v>
      </c>
      <c r="C21" s="30" t="str">
        <f>'Master Scoring Sheet'!D42</f>
        <v>Core Development (Factomize)</v>
      </c>
      <c r="D21" s="48">
        <v>5.0</v>
      </c>
      <c r="E21" s="49" t="b">
        <v>0</v>
      </c>
      <c r="F21" s="34" t="b">
        <v>1</v>
      </c>
    </row>
    <row r="22">
      <c r="A22" s="1"/>
      <c r="B22" s="28" t="str">
        <f>'Master Scoring Sheet'!C43</f>
        <v>FACTOM-GRANT-STAMP-IT-001</v>
      </c>
      <c r="C22" s="30" t="str">
        <f>'Master Scoring Sheet'!D43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'Master Scoring Sheet'!C44</f>
        <v>FACTOM-GRANT-MARKETING-COMMITEE-003</v>
      </c>
      <c r="C23" s="30" t="str">
        <f>'Master Scoring Sheet'!D44</f>
        <v>Hackathon Grant</v>
      </c>
      <c r="D23" s="48">
        <v>7.0</v>
      </c>
      <c r="E23" s="49" t="b">
        <v>0</v>
      </c>
      <c r="F23" s="34" t="b">
        <v>1</v>
      </c>
    </row>
    <row r="24">
      <c r="A24" s="1"/>
      <c r="B24" s="28" t="str">
        <f>'Master Scoring Sheet'!C45</f>
        <v>FACTOM-GRANT-BIF-004</v>
      </c>
      <c r="C24" s="30" t="str">
        <f>'Master Scoring Sheet'!D45</f>
        <v>Core Development (BIF#1)</v>
      </c>
      <c r="D24" s="48">
        <v>3.0</v>
      </c>
      <c r="E24" s="49" t="b">
        <v>0</v>
      </c>
      <c r="F24" s="34" t="b">
        <v>1</v>
      </c>
    </row>
    <row r="25">
      <c r="A25" s="1"/>
      <c r="B25" s="28" t="str">
        <f>'Master Scoring Sheet'!C46</f>
        <v>FACTOM-GRANT-BIF-005</v>
      </c>
      <c r="C25" s="30" t="str">
        <f>'Master Scoring Sheet'!D46</f>
        <v>Core Development (BIF#2)</v>
      </c>
      <c r="D25" s="48">
        <v>18.0</v>
      </c>
      <c r="E25" s="49" t="b">
        <v>0</v>
      </c>
      <c r="F25" s="34" t="b">
        <v>1</v>
      </c>
    </row>
    <row r="26">
      <c r="A26" s="1"/>
      <c r="B26" s="28" t="str">
        <f>'Master Scoring Sheet'!C47</f>
        <v>FACTOM-GRANT-SPHEREON-XXX</v>
      </c>
      <c r="C26" s="30" t="str">
        <f>'Master Scoring Sheet'!D47</f>
        <v>Core Development Project Manager</v>
      </c>
      <c r="D26" s="48">
        <v>19.0</v>
      </c>
      <c r="E26" s="49" t="b">
        <v>0</v>
      </c>
      <c r="F26" s="34" t="b">
        <v>1</v>
      </c>
    </row>
    <row r="27">
      <c r="A27" s="1"/>
      <c r="B27" s="28" t="str">
        <f>'Master Scoring Sheet'!C48</f>
        <v>FACTOM-GRANT-MARKETING-COMMITEE-002</v>
      </c>
      <c r="C27" s="30" t="str">
        <f>'Master Scoring Sheet'!D48</f>
        <v>Explainer Video Grant</v>
      </c>
      <c r="D27" s="48">
        <v>15.0</v>
      </c>
      <c r="E27" s="49" t="b">
        <v>0</v>
      </c>
      <c r="F27" s="34" t="b">
        <v>1</v>
      </c>
      <c r="G27" s="1"/>
    </row>
    <row r="28">
      <c r="A28" s="1"/>
      <c r="B28" s="28" t="str">
        <f>'Master Scoring Sheet'!C49</f>
        <v>FACTOM-GRANT-FACTOM, INC-012</v>
      </c>
      <c r="C28" s="30" t="str">
        <f>'Master Scoring Sheet'!D49</f>
        <v>Protocol Development (2019-03-09 -&gt; 2019-06-09)</v>
      </c>
      <c r="D28" s="48">
        <v>2.0</v>
      </c>
      <c r="E28" s="49" t="b">
        <v>0</v>
      </c>
      <c r="F28" s="34" t="b">
        <v>1</v>
      </c>
      <c r="G28" s="1"/>
    </row>
    <row r="29">
      <c r="A29" s="1"/>
      <c r="B29" s="28" t="str">
        <f>'Master Scoring Sheet'!C50</f>
        <v>FACTOM-GRANT-FACTOM, INC-009</v>
      </c>
      <c r="C29" s="30" t="str">
        <f>'Master Scoring Sheet'!D50</f>
        <v>Protocol Development Continuation (2018-12-09 -&gt; 2019-03-09)</v>
      </c>
      <c r="D29" s="48">
        <v>1.0</v>
      </c>
      <c r="E29" s="49" t="b">
        <v>0</v>
      </c>
      <c r="F29" s="34" t="b">
        <v>1</v>
      </c>
      <c r="G29" s="1"/>
    </row>
    <row r="30">
      <c r="A30" s="1"/>
      <c r="B30" s="28" t="str">
        <f>'Master Scoring Sheet'!C51</f>
        <v>FACTOM-GRANT-BEDROCK-DEFACTO-001</v>
      </c>
      <c r="C30" s="30" t="str">
        <f>'Master Scoring Sheet'!D51</f>
        <v>Factom Open Node Enhancement</v>
      </c>
      <c r="D30" s="48">
        <v>14.0</v>
      </c>
      <c r="E30" s="49" t="b">
        <v>0</v>
      </c>
      <c r="F30" s="34" t="b">
        <v>1</v>
      </c>
      <c r="G30" s="1"/>
    </row>
    <row r="31">
      <c r="A31" s="1"/>
      <c r="B31" s="28" t="str">
        <f>'Master Scoring Sheet'!C52</f>
        <v>FACTOM-GRANT-DBGROW-LUCIAP-CANONICALLEDGERS-002</v>
      </c>
      <c r="C31" s="30" t="str">
        <f>'Master Scoring Sheet'!D52</f>
        <v>FAT Protocol Development</v>
      </c>
      <c r="D31" s="48">
        <v>4.0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26"/>
    <mergeCell ref="B2:C2"/>
    <mergeCell ref="B3:C3"/>
    <mergeCell ref="B9:C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14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1</v>
      </c>
      <c r="F8" s="56" t="b">
        <v>0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18.0</v>
      </c>
      <c r="E11" s="49" t="b">
        <v>0</v>
      </c>
      <c r="F11" s="34" t="b">
        <v>0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/>
      <c r="E12" s="49" t="b">
        <v>1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14.0</v>
      </c>
      <c r="E13" s="49" t="b">
        <v>0</v>
      </c>
      <c r="F13" s="34" t="b">
        <v>0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56" t="b">
        <v>0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/>
      <c r="E16" s="49" t="b">
        <v>1</v>
      </c>
      <c r="F16" s="56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10.0</v>
      </c>
      <c r="E17" s="49" t="b">
        <v>0</v>
      </c>
      <c r="F17" s="56" t="b">
        <v>0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3.0</v>
      </c>
      <c r="E18" s="49" t="b">
        <v>0</v>
      </c>
      <c r="F18" s="56" t="b">
        <v>0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11.0</v>
      </c>
      <c r="E19" s="49" t="b">
        <v>0</v>
      </c>
      <c r="F19" s="56" t="b">
        <v>0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16.0</v>
      </c>
      <c r="E20" s="49" t="b">
        <v>0</v>
      </c>
      <c r="F20" s="56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2.0</v>
      </c>
      <c r="E21" s="49" t="b">
        <v>0</v>
      </c>
      <c r="F21" s="56" t="b">
        <v>0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19.0</v>
      </c>
      <c r="E22" s="49" t="b">
        <v>0</v>
      </c>
      <c r="F22" s="56" t="b">
        <v>0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12.0</v>
      </c>
      <c r="E23" s="49" t="b">
        <v>0</v>
      </c>
      <c r="F23" s="34" t="b">
        <v>0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/>
      <c r="E24" s="49" t="b">
        <v>1</v>
      </c>
      <c r="F24" s="34" t="b">
        <v>0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/>
      <c r="E25" s="49" t="b">
        <v>1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/>
      <c r="E26" s="49" t="b">
        <v>1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15.0</v>
      </c>
      <c r="E27" s="49" t="b">
        <v>0</v>
      </c>
      <c r="F27" s="34" t="b">
        <v>0</v>
      </c>
      <c r="G27" s="1"/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4.0</v>
      </c>
      <c r="E28" s="49" t="b">
        <v>0</v>
      </c>
      <c r="F28" s="34" t="b">
        <v>0</v>
      </c>
      <c r="G28" s="1"/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7.0</v>
      </c>
      <c r="E29" s="49" t="b">
        <v>0</v>
      </c>
      <c r="F29" s="34" t="b">
        <v>0</v>
      </c>
      <c r="G29" s="1"/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17.0</v>
      </c>
      <c r="E30" s="49" t="b">
        <v>0</v>
      </c>
      <c r="F30" s="34" t="b">
        <v>0</v>
      </c>
      <c r="G30" s="1"/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8.0</v>
      </c>
      <c r="E31" s="49" t="b">
        <v>0</v>
      </c>
      <c r="F31" s="34" t="b">
        <v>0</v>
      </c>
      <c r="G31" s="1"/>
    </row>
  </sheetData>
  <mergeCells count="9">
    <mergeCell ref="B3:C3"/>
    <mergeCell ref="B2:C2"/>
    <mergeCell ref="D2:F2"/>
    <mergeCell ref="B1:F1"/>
    <mergeCell ref="D9:D10"/>
    <mergeCell ref="E9:E10"/>
    <mergeCell ref="F9:F10"/>
    <mergeCell ref="G1:G26"/>
    <mergeCell ref="B9:C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15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14.0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19.0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10.0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9.0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/>
      <c r="E16" s="49" t="b">
        <v>1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6.0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/>
      <c r="E18" s="49" t="b">
        <v>1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11.0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18.0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3.0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8.0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15.0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13.0</v>
      </c>
      <c r="E27" s="49" t="b">
        <v>0</v>
      </c>
      <c r="F27" s="34" t="b">
        <v>1</v>
      </c>
      <c r="G27" s="1"/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  <c r="G28" s="1"/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  <c r="G29" s="1"/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12.0</v>
      </c>
      <c r="E30" s="49" t="b">
        <v>0</v>
      </c>
      <c r="F30" s="34" t="b">
        <v>1</v>
      </c>
      <c r="G30" s="1"/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/>
      <c r="E31" s="49" t="b">
        <v>1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B2:C2"/>
    <mergeCell ref="B3:C3"/>
    <mergeCell ref="F9:F10"/>
    <mergeCell ref="G1:G26"/>
    <mergeCell ref="B9:C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16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16.0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14.0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17.0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15.0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11.0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13.0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6.0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19.0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18.0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7.0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20.0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21.0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10.0</v>
      </c>
      <c r="E27" s="49" t="b">
        <v>0</v>
      </c>
      <c r="F27" s="34" t="b">
        <v>1</v>
      </c>
      <c r="G27" s="1"/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3.0</v>
      </c>
      <c r="E28" s="49" t="b">
        <v>0</v>
      </c>
      <c r="F28" s="34" t="b">
        <v>1</v>
      </c>
      <c r="G28" s="1"/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  <c r="G29" s="1"/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9.0</v>
      </c>
      <c r="E30" s="49" t="b">
        <v>0</v>
      </c>
      <c r="F30" s="34" t="b">
        <v>1</v>
      </c>
      <c r="G30" s="1"/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2.0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26"/>
    <mergeCell ref="B9:C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17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1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15.0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10.0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4.0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7.0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/>
      <c r="E16" s="49" t="b">
        <v>1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12.0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9.0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/>
      <c r="E19" s="49" t="b">
        <v>1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19.0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3.0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6.0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5.0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16.0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13.0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14.0</v>
      </c>
      <c r="E27" s="49" t="b">
        <v>0</v>
      </c>
      <c r="F27" s="34" t="b">
        <v>1</v>
      </c>
      <c r="G27" s="1"/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  <c r="G28" s="1"/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  <c r="G29" s="1"/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/>
      <c r="E30" s="49" t="b">
        <v>1</v>
      </c>
      <c r="F30" s="34" t="b">
        <v>1</v>
      </c>
      <c r="G30" s="1"/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8.0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26"/>
    <mergeCell ref="B9:C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24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12.0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18.0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14.0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10.0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7.0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19.0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2.0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9.0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11.0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6.0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16.0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17.0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15.0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4.0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13.0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3.0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18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4.0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13.0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10.0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11.0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17.0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8.0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14.0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5.0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18.0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9.0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6.0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16.0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20.0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2.0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7.0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3.0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14"/>
    <col customWidth="1" min="3" max="3" width="63.57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97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18.0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13.0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14.0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12.0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6.0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15.0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11.0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5.0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16.0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10.0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3.0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19.0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17.0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9.0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43"/>
    <col customWidth="1" min="3" max="3" width="62.0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20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18.0</v>
      </c>
      <c r="E12" s="49" t="b">
        <v>0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13.0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6.0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19.0</v>
      </c>
      <c r="E17" s="49" t="b">
        <v>0</v>
      </c>
      <c r="F17" s="34" t="b">
        <v>0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9.0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12.0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14.0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2.0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16.0</v>
      </c>
      <c r="E23" s="49" t="b">
        <v>0</v>
      </c>
      <c r="F23" s="34" t="b">
        <v>0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11.0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17.0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8.0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15.0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5.0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10.0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3.0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30"/>
    <mergeCell ref="B9:C1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21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16.0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21.0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6.0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14.0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3.0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11.0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7.0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4.0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10.0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19.0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8.0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9.0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15.0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13.0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17.0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12.0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22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14.0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7.0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9.0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10.0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16.0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/>
      <c r="E19" s="49" t="b">
        <v>1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15.0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3.0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19.0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8.0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13.0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2.0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/>
      <c r="E30" s="49" t="b">
        <v>1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6.0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57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23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3.0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16.0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17.0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18.0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8.0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20.0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9.0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7.0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14.0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4.0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5.0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13.0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12.0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11.0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6.0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19.0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10.0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14"/>
    <col customWidth="1" min="3" max="3" width="71.57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25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17.0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12.0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11.0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10.0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7.0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18.0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4.0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19.0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6.0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15.0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3.0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13.0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14.0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20.0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16.0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8.0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5.0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9.0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30"/>
    <mergeCell ref="B9:C10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43"/>
    <col customWidth="1" min="3" max="3" width="61.14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26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8.0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13.0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12.0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3.0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4.0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16.0</v>
      </c>
      <c r="E18" s="49" t="b">
        <v>0</v>
      </c>
      <c r="F18" s="34" t="b">
        <v>0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9.0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6.0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15.0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11.0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5.0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18.0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17.0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14.0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/>
      <c r="E28" s="49" t="b">
        <v>1</v>
      </c>
      <c r="F28" s="34" t="b">
        <v>0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/>
      <c r="E29" s="49" t="b">
        <v>1</v>
      </c>
      <c r="F29" s="34" t="b">
        <v>0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10.0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7.0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27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11.0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13.0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18.0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7.0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4.0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1.0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14.0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10.0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9.0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3.0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6.0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5.0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3.71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29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10.0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8.0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6.0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4.0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20.0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13.0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14.0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12.0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21.0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5.0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15.0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3.0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7.0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11.0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2.0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16.0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9.0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0"/>
    <col customWidth="1" min="3" max="3" width="68.0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30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7.0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19.0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3.0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9.0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10.0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13.0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12.0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6.0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15.0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11.0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18.0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14.0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8.0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71"/>
    <col customWidth="1" min="3" max="3" width="64.71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31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6.0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18.0</v>
      </c>
      <c r="E12" s="49" t="b">
        <v>0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10.0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19.0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13.0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2.0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7.0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21.0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1.0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9.0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11.0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5.0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4.0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8.0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3.0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30"/>
    <mergeCell ref="B9:C1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14"/>
    <col customWidth="1" min="3" max="3" width="8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32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12.0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18.0</v>
      </c>
      <c r="E12" s="49" t="b">
        <v>0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10.0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11.0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/>
      <c r="E17" s="49" t="b">
        <v>1</v>
      </c>
      <c r="F17" s="34" t="b">
        <v>0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3.0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2.0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/>
      <c r="E20" s="49" t="b">
        <v>1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/>
      <c r="E22" s="49" t="b">
        <v>1</v>
      </c>
      <c r="F22" s="34" t="b">
        <v>0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7.0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6.0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/>
      <c r="E25" s="49" t="b">
        <v>1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20.0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8.0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5.0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/>
      <c r="E30" s="49" t="b">
        <v>1</v>
      </c>
      <c r="F30" s="34" t="b">
        <v>0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9.0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33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12.0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14.0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18.0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7.0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11.0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9.0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16.0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2.0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13.0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15.0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3.0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19.0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20.0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10.0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4.0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5.0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17.0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6.0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1.57"/>
    <col customWidth="1" min="3" max="3" width="71.0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34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13.0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12.0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7.0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14.0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8.0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10.0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11.0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15.0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2.0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3.0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6.0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20.0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9.0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4.0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5.0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16.0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35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13.0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21.0</v>
      </c>
      <c r="E12" s="49" t="b">
        <v>0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4.0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14.0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6.0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3.0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7.0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8.0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16.0</v>
      </c>
      <c r="E22" s="49" t="b">
        <v>0</v>
      </c>
      <c r="F22" s="34" t="b">
        <v>0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18.0</v>
      </c>
      <c r="E24" s="49" t="b">
        <v>0</v>
      </c>
      <c r="F24" s="34" t="b">
        <v>0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19.0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17.0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9.0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10.0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12.0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11.0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D2:F2"/>
    <mergeCell ref="B1:F1"/>
    <mergeCell ref="F9:F10"/>
    <mergeCell ref="G1:G30"/>
    <mergeCell ref="B3:C3"/>
    <mergeCell ref="B2:C2"/>
    <mergeCell ref="B9:C10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8.86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36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11.0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19.0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21.0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18.0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7.0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4.0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9.0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3.0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10.0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14.0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15.0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13.0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6.0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B3:C3"/>
    <mergeCell ref="B2:C2"/>
    <mergeCell ref="D2:F2"/>
    <mergeCell ref="B1:F1"/>
    <mergeCell ref="F9:F10"/>
    <mergeCell ref="G1:G30"/>
    <mergeCell ref="B9:C10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9.14"/>
    <col customWidth="1" min="3" max="3" width="64.29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37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2.0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14.0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17.0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12.0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16.0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15.0</v>
      </c>
      <c r="E17" s="49" t="b">
        <v>0</v>
      </c>
      <c r="F17" s="34" t="b">
        <v>0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21.0</v>
      </c>
      <c r="E18" s="49" t="b">
        <v>0</v>
      </c>
      <c r="F18" s="34" t="b">
        <v>0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9.0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7.0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13.0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3.0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18.0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19.0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10.0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5.0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4.0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11.0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6.0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0"/>
    <col customWidth="1" min="3" max="3" width="63.14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38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3.0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13.0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14.0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/>
      <c r="E14" s="49" t="b">
        <v>1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9.0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11.0</v>
      </c>
      <c r="E16" s="49" t="b">
        <v>0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8.0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10.0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7.0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15.0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/>
      <c r="E22" s="49" t="b">
        <v>1</v>
      </c>
      <c r="F22" s="34" t="b">
        <v>0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/>
      <c r="E23" s="49" t="b">
        <v>1</v>
      </c>
      <c r="F23" s="34" t="b">
        <v>0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12.0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17.0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/>
      <c r="E27" s="49" t="b">
        <v>1</v>
      </c>
      <c r="F27" s="34" t="b">
        <v>0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2.0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5.0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6.0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71"/>
    <col customWidth="1" min="3" max="3" width="64.0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107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1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18.0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9.0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6.0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20.0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11.0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/>
      <c r="E16" s="49" t="b">
        <v>1</v>
      </c>
      <c r="F16" s="34" t="b">
        <v>1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8.0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5.0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/>
      <c r="E19" s="49" t="b">
        <v>1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14.0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7.0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3.0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15.0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16.0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12.0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2.0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/>
      <c r="E30" s="49" t="b">
        <v>1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10.0</v>
      </c>
      <c r="E31" s="49" t="b">
        <v>0</v>
      </c>
      <c r="F31" s="34" t="b">
        <v>1</v>
      </c>
      <c r="G31" s="1"/>
    </row>
  </sheetData>
  <mergeCells count="9">
    <mergeCell ref="D2:F2"/>
    <mergeCell ref="B1:F1"/>
    <mergeCell ref="D9:D10"/>
    <mergeCell ref="B9:C10"/>
    <mergeCell ref="E9:E10"/>
    <mergeCell ref="F9:F10"/>
    <mergeCell ref="G1:G30"/>
    <mergeCell ref="B3:C3"/>
    <mergeCell ref="B2:C2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29"/>
    <col customWidth="1" min="3" max="3" width="64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40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11.0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12.0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16.0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13.0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9.0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6.0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10.0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5.0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17.0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7.0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4.0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18.0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19.0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15.0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3.0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14.0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2.0</v>
      </c>
      <c r="E31" s="49" t="b">
        <v>0</v>
      </c>
      <c r="F31" s="34" t="b">
        <v>1</v>
      </c>
      <c r="G31" s="1"/>
    </row>
  </sheetData>
  <mergeCells count="9">
    <mergeCell ref="B3:C3"/>
    <mergeCell ref="B2:C2"/>
    <mergeCell ref="D2:F2"/>
    <mergeCell ref="B1:F1"/>
    <mergeCell ref="D9:D10"/>
    <mergeCell ref="B9:C10"/>
    <mergeCell ref="E9:E10"/>
    <mergeCell ref="F9:F10"/>
    <mergeCell ref="G1:G30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43"/>
    <col customWidth="1" min="3" max="3" width="67.0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43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16.0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14.0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8.0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17.0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5.0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15.0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11.0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13.0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6.0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19.0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4.0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18.0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12.0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7.0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20.0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21.0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10.0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3.0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1.0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9.0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2.0</v>
      </c>
      <c r="E31" s="49" t="b">
        <v>0</v>
      </c>
      <c r="F31" s="34" t="b">
        <v>1</v>
      </c>
      <c r="G31" s="1"/>
    </row>
  </sheetData>
  <mergeCells count="9">
    <mergeCell ref="F9:F10"/>
    <mergeCell ref="G1:G30"/>
    <mergeCell ref="B3:C3"/>
    <mergeCell ref="B2:C2"/>
    <mergeCell ref="D2:F2"/>
    <mergeCell ref="B1:F1"/>
    <mergeCell ref="D9:D10"/>
    <mergeCell ref="B9:C10"/>
    <mergeCell ref="E9:E10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2.43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44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8.0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12.0</v>
      </c>
      <c r="E12" s="49" t="b">
        <v>0</v>
      </c>
      <c r="F12" s="34" t="b">
        <v>1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>
        <v>6.0</v>
      </c>
      <c r="E13" s="49" t="b">
        <v>0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1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7.0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15.0</v>
      </c>
      <c r="E17" s="49" t="b">
        <v>0</v>
      </c>
      <c r="F17" s="34" t="b">
        <v>1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2.0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10.0</v>
      </c>
      <c r="E19" s="49" t="b">
        <v>0</v>
      </c>
      <c r="F19" s="34" t="b">
        <v>1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20.0</v>
      </c>
      <c r="E20" s="49" t="b">
        <v>0</v>
      </c>
      <c r="F20" s="34" t="b">
        <v>0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1.0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13.0</v>
      </c>
      <c r="E22" s="49" t="b">
        <v>0</v>
      </c>
      <c r="F22" s="34" t="b">
        <v>1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9.0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11.0</v>
      </c>
      <c r="E24" s="49" t="b">
        <v>0</v>
      </c>
      <c r="F24" s="34" t="b">
        <v>1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16.0</v>
      </c>
      <c r="E25" s="49" t="b">
        <v>0</v>
      </c>
      <c r="F25" s="34" t="b">
        <v>1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18.0</v>
      </c>
      <c r="E26" s="49" t="b">
        <v>0</v>
      </c>
      <c r="F26" s="34" t="b">
        <v>1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14.0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/>
      <c r="E28" s="49" t="b">
        <v>1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/>
      <c r="E29" s="49" t="b">
        <v>1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17.0</v>
      </c>
      <c r="E30" s="49" t="b">
        <v>0</v>
      </c>
      <c r="F30" s="34" t="b">
        <v>1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5.0</v>
      </c>
      <c r="E31" s="49" t="b">
        <v>0</v>
      </c>
      <c r="F31" s="34" t="b">
        <v>1</v>
      </c>
      <c r="G31" s="1"/>
    </row>
  </sheetData>
  <mergeCells count="9">
    <mergeCell ref="D9:D10"/>
    <mergeCell ref="E9:E10"/>
    <mergeCell ref="F9:F10"/>
    <mergeCell ref="G1:G30"/>
    <mergeCell ref="B3:C3"/>
    <mergeCell ref="B2:C2"/>
    <mergeCell ref="D2:F2"/>
    <mergeCell ref="B1:F1"/>
    <mergeCell ref="B9:C10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14"/>
    <col customWidth="1" min="3" max="3" width="65.86"/>
    <col customWidth="1" min="4" max="4" width="17.57"/>
    <col customWidth="1" min="5" max="5" width="14.29"/>
    <col customWidth="1" min="7" max="7" width="7.71"/>
  </cols>
  <sheetData>
    <row r="1" ht="29.25" customHeight="1">
      <c r="A1" s="1"/>
      <c r="B1" s="3"/>
      <c r="C1" s="6"/>
      <c r="D1" s="6"/>
      <c r="E1" s="6"/>
      <c r="F1" s="6"/>
      <c r="G1" s="1"/>
    </row>
    <row r="2" ht="48.75" customHeight="1">
      <c r="A2" s="1"/>
      <c r="B2" s="9" t="s">
        <v>3</v>
      </c>
      <c r="C2" s="11"/>
      <c r="D2" s="13" t="s">
        <v>45</v>
      </c>
      <c r="E2" s="6"/>
      <c r="F2" s="6"/>
    </row>
    <row r="3">
      <c r="A3" s="1"/>
      <c r="B3" s="17" t="s">
        <v>9</v>
      </c>
      <c r="C3" s="11"/>
      <c r="D3" s="18"/>
      <c r="E3" s="20" t="s">
        <v>13</v>
      </c>
      <c r="F3" s="23" t="s">
        <v>28</v>
      </c>
    </row>
    <row r="4">
      <c r="A4" s="1"/>
      <c r="B4" s="28" t="str">
        <f>'Guide Canonical Ledgers'!B4</f>
        <v>FACTOM-GRANT-FACTOM, INC-008</v>
      </c>
      <c r="C4" s="30" t="str">
        <f>'Guide Canonical Ledgers'!C4</f>
        <v>Anchor Master Continuation (2018-12-09 -&gt; 2019-03-09)</v>
      </c>
      <c r="D4" s="31"/>
      <c r="E4" s="31" t="b">
        <v>0</v>
      </c>
      <c r="F4" s="34" t="b">
        <v>1</v>
      </c>
    </row>
    <row r="5">
      <c r="A5" s="1"/>
      <c r="B5" s="28" t="str">
        <f>'Guide Canonical Ledgers'!B5</f>
        <v>FACTOM-GRANT-FACTOM, INC-011</v>
      </c>
      <c r="C5" s="30" t="str">
        <f>'Guide Canonical Ledgers'!C5</f>
        <v>Anchor Master (2019-03-09 -&gt; 2019-06-09)</v>
      </c>
      <c r="D5" s="31"/>
      <c r="E5" s="31" t="b">
        <v>0</v>
      </c>
      <c r="F5" s="34" t="b">
        <v>1</v>
      </c>
    </row>
    <row r="6">
      <c r="A6" s="1"/>
      <c r="B6" s="28" t="str">
        <f>'Guide Canonical Ledgers'!B6</f>
        <v>FACTOM-GRANT-FACTOM, INC-007</v>
      </c>
      <c r="C6" s="30" t="str">
        <f>'Guide Canonical Ledgers'!C6</f>
        <v>Oracle Master Continuation (2018-12-09 -&gt; 2019-03-09)</v>
      </c>
      <c r="D6" s="31"/>
      <c r="E6" s="31" t="b">
        <v>0</v>
      </c>
      <c r="F6" s="34" t="b">
        <v>1</v>
      </c>
    </row>
    <row r="7">
      <c r="A7" s="1"/>
      <c r="B7" s="28" t="str">
        <f>'Guide Canonical Ledgers'!B7</f>
        <v>FACTOM-GRANT-FACTOM, INC-010</v>
      </c>
      <c r="C7" s="30" t="str">
        <f>'Guide Canonical Ledgers'!C7</f>
        <v>Oracle Master (2019-03-09 -&gt; 2019-06-09)</v>
      </c>
      <c r="D7" s="31"/>
      <c r="E7" s="31" t="b">
        <v>0</v>
      </c>
      <c r="F7" s="34" t="b">
        <v>1</v>
      </c>
    </row>
    <row r="8">
      <c r="A8" s="1"/>
      <c r="B8" s="28" t="str">
        <f>'Guide Canonical Ledgers'!B8</f>
        <v>FACTOM-GRANT-GUIDES-003</v>
      </c>
      <c r="C8" s="30" t="str">
        <f>'Guide Canonical Ledgers'!C8</f>
        <v>Guide compensation (2018-12-07 -&gt; 2019-03-07)</v>
      </c>
      <c r="D8" s="31"/>
      <c r="E8" s="31" t="b">
        <v>0</v>
      </c>
      <c r="F8" s="34" t="b">
        <v>1</v>
      </c>
    </row>
    <row r="9" ht="17.25" customHeight="1">
      <c r="A9" s="1"/>
      <c r="B9" s="40" t="s">
        <v>51</v>
      </c>
      <c r="C9" s="41"/>
      <c r="D9" s="42" t="s">
        <v>52</v>
      </c>
      <c r="E9" s="42" t="s">
        <v>13</v>
      </c>
      <c r="F9" s="44" t="s">
        <v>28</v>
      </c>
    </row>
    <row r="10" ht="15.0" customHeight="1">
      <c r="A10" s="1"/>
      <c r="B10" s="45"/>
      <c r="C10" s="11"/>
      <c r="D10" s="46"/>
      <c r="E10" s="46"/>
      <c r="F10" s="46"/>
    </row>
    <row r="11">
      <c r="A11" s="1"/>
      <c r="B11" s="28" t="str">
        <f>'Guide Canonical Ledgers'!B11</f>
        <v>FACTOM-GRANT-DEFACTO-001</v>
      </c>
      <c r="C11" s="30" t="str">
        <f>'Guide Canonical Ledgers'!C11</f>
        <v>Factom Open-source API</v>
      </c>
      <c r="D11" s="48">
        <v>3.0</v>
      </c>
      <c r="E11" s="49" t="b">
        <v>0</v>
      </c>
      <c r="F11" s="34" t="b">
        <v>1</v>
      </c>
    </row>
    <row r="12">
      <c r="A12" s="1"/>
      <c r="B12" s="28" t="str">
        <f>'Guide Canonical Ledgers'!B12</f>
        <v>FACTOM-GRANT-TRIALL-001</v>
      </c>
      <c r="C12" s="30" t="str">
        <f>'Guide Canonical Ledgers'!C12</f>
        <v>Document processing and data management application for clinical trials</v>
      </c>
      <c r="D12" s="48">
        <v>20.0</v>
      </c>
      <c r="E12" s="49" t="b">
        <v>0</v>
      </c>
      <c r="F12" s="34" t="b">
        <v>0</v>
      </c>
    </row>
    <row r="13">
      <c r="A13" s="1"/>
      <c r="B13" s="28" t="str">
        <f>'Guide Canonical Ledgers'!B13</f>
        <v>FACTOM-GRANT-PRESTIGE-IT-001</v>
      </c>
      <c r="C13" s="30" t="str">
        <f>'Guide Canonical Ledgers'!C13</f>
        <v>Blockchain Expo Global 2019</v>
      </c>
      <c r="D13" s="48"/>
      <c r="E13" s="49" t="b">
        <v>1</v>
      </c>
      <c r="F13" s="34" t="b">
        <v>1</v>
      </c>
    </row>
    <row r="14">
      <c r="A14" s="1"/>
      <c r="B14" s="28" t="str">
        <f>'Guide Canonical Ledgers'!B14</f>
        <v>FACTOM-GRANT-DEFACTO-004</v>
      </c>
      <c r="C14" s="30" t="str">
        <f>'Guide Canonical Ledgers'!C14</f>
        <v>Telegram Wallet for Factom</v>
      </c>
      <c r="D14" s="48">
        <v>19.0</v>
      </c>
      <c r="E14" s="49" t="b">
        <v>0</v>
      </c>
      <c r="F14" s="34" t="b">
        <v>0</v>
      </c>
    </row>
    <row r="15">
      <c r="A15" s="1"/>
      <c r="B15" s="28" t="str">
        <f>'Guide Canonical Ledgers'!B15</f>
        <v>FACTOM-GRANT-EXCHANGE-COMMITTEE-003</v>
      </c>
      <c r="C15" s="30" t="str">
        <f>'Guide Canonical Ledgers'!C15</f>
        <v>Exchange Committee funding</v>
      </c>
      <c r="D15" s="48">
        <v>7.0</v>
      </c>
      <c r="E15" s="49" t="b">
        <v>0</v>
      </c>
      <c r="F15" s="34" t="b">
        <v>1</v>
      </c>
    </row>
    <row r="16">
      <c r="A16" s="1"/>
      <c r="B16" s="28" t="str">
        <f>'Guide Canonical Ledgers'!B16</f>
        <v>FACTOM-GRANT-GUIDES-004</v>
      </c>
      <c r="C16" s="30" t="str">
        <f>'Guide Canonical Ledgers'!C16</f>
        <v>Guide Compensation - 1 Month Extension</v>
      </c>
      <c r="D16" s="48">
        <v>21.0</v>
      </c>
      <c r="E16" s="49" t="b">
        <v>0</v>
      </c>
      <c r="F16" s="34" t="b">
        <v>0</v>
      </c>
    </row>
    <row r="17">
      <c r="A17" s="1"/>
      <c r="B17" s="28" t="str">
        <f>'Guide Canonical Ledgers'!B17</f>
        <v>FACTOM-GRANT-FACTOMIZE-001</v>
      </c>
      <c r="C17" s="30" t="str">
        <f>'Guide Canonical Ledgers'!C17</f>
        <v>Marketing Videos</v>
      </c>
      <c r="D17" s="48">
        <v>18.0</v>
      </c>
      <c r="E17" s="49" t="b">
        <v>0</v>
      </c>
      <c r="F17" s="34" t="b">
        <v>0</v>
      </c>
    </row>
    <row r="18">
      <c r="A18" s="1"/>
      <c r="B18" s="28" t="str">
        <f>'Guide Canonical Ledgers'!B18</f>
        <v>FACTOM-GRANT-LAYERTECH-001</v>
      </c>
      <c r="C18" s="30" t="str">
        <f>'Guide Canonical Ledgers'!C18</f>
        <v>Core Development (LayerTech)</v>
      </c>
      <c r="D18" s="48">
        <v>8.0</v>
      </c>
      <c r="E18" s="49" t="b">
        <v>0</v>
      </c>
      <c r="F18" s="34" t="b">
        <v>1</v>
      </c>
    </row>
    <row r="19">
      <c r="A19" s="1"/>
      <c r="B19" s="28" t="str">
        <f>'Guide Canonical Ledgers'!B19</f>
        <v>BEDROCK-CRYPTOLOGIC-DEFACTO-TFA-002</v>
      </c>
      <c r="C19" s="30" t="str">
        <f>'Guide Canonical Ledgers'!C19</f>
        <v>Factom Open Node Continuity</v>
      </c>
      <c r="D19" s="48">
        <v>17.0</v>
      </c>
      <c r="E19" s="49" t="b">
        <v>0</v>
      </c>
      <c r="F19" s="34" t="b">
        <v>0</v>
      </c>
    </row>
    <row r="20">
      <c r="A20" s="1"/>
      <c r="B20" s="28" t="str">
        <f>'Guide Canonical Ledgers'!B20</f>
        <v>FACTOM-GRANT-GROWTH-FIXER-001</v>
      </c>
      <c r="C20" s="30" t="str">
        <f>'Guide Canonical Ledgers'!C20</f>
        <v>Marketing Strategy including content</v>
      </c>
      <c r="D20" s="48">
        <v>10.0</v>
      </c>
      <c r="E20" s="49" t="b">
        <v>0</v>
      </c>
      <c r="F20" s="34" t="b">
        <v>1</v>
      </c>
    </row>
    <row r="21">
      <c r="A21" s="1"/>
      <c r="B21" s="28" t="str">
        <f>'Guide Canonical Ledgers'!B21</f>
        <v>FACTOM-GRANT-FACTOMIZE-002</v>
      </c>
      <c r="C21" s="30" t="str">
        <f>'Guide Canonical Ledgers'!C21</f>
        <v>Core Development (Factomize)</v>
      </c>
      <c r="D21" s="48">
        <v>9.0</v>
      </c>
      <c r="E21" s="49" t="b">
        <v>0</v>
      </c>
      <c r="F21" s="34" t="b">
        <v>1</v>
      </c>
    </row>
    <row r="22">
      <c r="A22" s="1"/>
      <c r="B22" s="28" t="str">
        <f>'Guide Canonical Ledgers'!B22</f>
        <v>FACTOM-GRANT-STAMP-IT-001</v>
      </c>
      <c r="C22" s="30" t="str">
        <f>'Guide Canonical Ledgers'!C22</f>
        <v>IoT gateway for Factom</v>
      </c>
      <c r="D22" s="48">
        <v>16.0</v>
      </c>
      <c r="E22" s="49" t="b">
        <v>0</v>
      </c>
      <c r="F22" s="34" t="b">
        <v>0</v>
      </c>
    </row>
    <row r="23">
      <c r="A23" s="1"/>
      <c r="B23" s="28" t="str">
        <f>'Guide Canonical Ledgers'!B23</f>
        <v>FACTOM-GRANT-MARKETING-COMMITEE-003</v>
      </c>
      <c r="C23" s="30" t="str">
        <f>'Guide Canonical Ledgers'!C23</f>
        <v>Hackathon Grant</v>
      </c>
      <c r="D23" s="48">
        <v>5.0</v>
      </c>
      <c r="E23" s="49" t="b">
        <v>0</v>
      </c>
      <c r="F23" s="34" t="b">
        <v>1</v>
      </c>
    </row>
    <row r="24">
      <c r="A24" s="1"/>
      <c r="B24" s="28" t="str">
        <f>'Guide Canonical Ledgers'!B24</f>
        <v>FACTOM-GRANT-BIF-004</v>
      </c>
      <c r="C24" s="30" t="str">
        <f>'Guide Canonical Ledgers'!C24</f>
        <v>Core Development (BIF#1)</v>
      </c>
      <c r="D24" s="48">
        <v>14.0</v>
      </c>
      <c r="E24" s="49" t="b">
        <v>0</v>
      </c>
      <c r="F24" s="34" t="b">
        <v>0</v>
      </c>
    </row>
    <row r="25">
      <c r="A25" s="1"/>
      <c r="B25" s="28" t="str">
        <f>'Guide Canonical Ledgers'!B25</f>
        <v>FACTOM-GRANT-BIF-005</v>
      </c>
      <c r="C25" s="30" t="str">
        <f>'Guide Canonical Ledgers'!C25</f>
        <v>Core Development (BIF#2)</v>
      </c>
      <c r="D25" s="48">
        <v>15.0</v>
      </c>
      <c r="E25" s="49" t="b">
        <v>0</v>
      </c>
      <c r="F25" s="34" t="b">
        <v>0</v>
      </c>
    </row>
    <row r="26">
      <c r="A26" s="1"/>
      <c r="B26" s="28" t="str">
        <f>'Guide Canonical Ledgers'!B26</f>
        <v>FACTOM-GRANT-SPHEREON-XXX</v>
      </c>
      <c r="C26" s="30" t="str">
        <f>'Guide Canonical Ledgers'!C26</f>
        <v>Core Development Project Manager</v>
      </c>
      <c r="D26" s="48">
        <v>12.0</v>
      </c>
      <c r="E26" s="49" t="b">
        <v>0</v>
      </c>
      <c r="F26" s="34" t="b">
        <v>0</v>
      </c>
    </row>
    <row r="27">
      <c r="A27" s="1"/>
      <c r="B27" s="28" t="str">
        <f>'Guide Canonical Ledgers'!B27</f>
        <v>FACTOM-GRANT-MARKETING-COMMITEE-002</v>
      </c>
      <c r="C27" s="30" t="str">
        <f>'Guide Canonical Ledgers'!C27</f>
        <v>Explainer Video Grant</v>
      </c>
      <c r="D27" s="48">
        <v>4.0</v>
      </c>
      <c r="E27" s="49" t="b">
        <v>0</v>
      </c>
      <c r="F27" s="34" t="b">
        <v>1</v>
      </c>
    </row>
    <row r="28">
      <c r="A28" s="1"/>
      <c r="B28" s="28" t="str">
        <f>'Guide Canonical Ledgers'!B28</f>
        <v>FACTOM-GRANT-FACTOM, INC-012</v>
      </c>
      <c r="C28" s="30" t="str">
        <f>'Guide Canonical Ledgers'!C28</f>
        <v>Protocol Development (2019-03-09 -&gt; 2019-06-09)</v>
      </c>
      <c r="D28" s="48">
        <v>1.0</v>
      </c>
      <c r="E28" s="49" t="b">
        <v>0</v>
      </c>
      <c r="F28" s="34" t="b">
        <v>1</v>
      </c>
    </row>
    <row r="29">
      <c r="A29" s="1"/>
      <c r="B29" s="28" t="str">
        <f>'Guide Canonical Ledgers'!B29</f>
        <v>FACTOM-GRANT-FACTOM, INC-009</v>
      </c>
      <c r="C29" s="30" t="str">
        <f>'Guide Canonical Ledgers'!C29</f>
        <v>Protocol Development Continuation (2018-12-09 -&gt; 2019-03-09)</v>
      </c>
      <c r="D29" s="48">
        <v>2.0</v>
      </c>
      <c r="E29" s="49" t="b">
        <v>0</v>
      </c>
      <c r="F29" s="34" t="b">
        <v>1</v>
      </c>
    </row>
    <row r="30">
      <c r="A30" s="1"/>
      <c r="B30" s="28" t="str">
        <f>'Guide Canonical Ledgers'!B30</f>
        <v>FACTOM-GRANT-BEDROCK-DEFACTO-001</v>
      </c>
      <c r="C30" s="30" t="str">
        <f>'Guide Canonical Ledgers'!C30</f>
        <v>Factom Open Node Enhancement</v>
      </c>
      <c r="D30" s="48">
        <v>13.0</v>
      </c>
      <c r="E30" s="49" t="b">
        <v>0</v>
      </c>
      <c r="F30" s="34" t="b">
        <v>0</v>
      </c>
    </row>
    <row r="31">
      <c r="A31" s="1"/>
      <c r="B31" s="28" t="str">
        <f>'Guide Canonical Ledgers'!B31</f>
        <v>FACTOM-GRANT-DBGROW-LUCIAP-CANONICALLEDGERS-002</v>
      </c>
      <c r="C31" s="30" t="str">
        <f>'Guide Canonical Ledgers'!C31</f>
        <v>FAT Protocol Development</v>
      </c>
      <c r="D31" s="48">
        <v>11.0</v>
      </c>
      <c r="E31" s="49" t="b">
        <v>0</v>
      </c>
      <c r="F31" s="34" t="b">
        <v>1</v>
      </c>
      <c r="G31" s="1"/>
    </row>
  </sheetData>
  <mergeCells count="9">
    <mergeCell ref="D9:D10"/>
    <mergeCell ref="B9:C10"/>
    <mergeCell ref="E9:E10"/>
    <mergeCell ref="F9:F10"/>
    <mergeCell ref="G1:G30"/>
    <mergeCell ref="B3:C3"/>
    <mergeCell ref="B2:C2"/>
    <mergeCell ref="D2:F2"/>
    <mergeCell ref="B1:F1"/>
  </mergeCells>
  <drawing r:id="rId1"/>
</worksheet>
</file>