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pport\Scripts\"/>
    </mc:Choice>
  </mc:AlternateContent>
  <xr:revisionPtr revIDLastSave="0" documentId="13_ncr:1_{E9E260DD-BB17-494F-A808-0D049F75BB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dvanced 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4" i="1"/>
  <c r="N85" i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4" i="1"/>
  <c r="M25" i="1"/>
  <c r="M26" i="1"/>
  <c r="M27" i="1"/>
  <c r="M28" i="1"/>
  <c r="M29" i="1"/>
  <c r="M31" i="1"/>
  <c r="M32" i="1"/>
  <c r="M33" i="1"/>
  <c r="M35" i="1"/>
  <c r="M38" i="1"/>
  <c r="M39" i="1"/>
  <c r="M40" i="1"/>
  <c r="M41" i="1"/>
  <c r="M42" i="1"/>
  <c r="M43" i="1"/>
  <c r="M44" i="1"/>
  <c r="M45" i="1"/>
  <c r="M46" i="1"/>
  <c r="M47" i="1"/>
  <c r="AM49" i="1" l="1"/>
  <c r="AL49" i="1"/>
  <c r="AK49" i="1"/>
  <c r="AJ49" i="1"/>
  <c r="AI49" i="1"/>
  <c r="AH49" i="1"/>
  <c r="AG49" i="1"/>
  <c r="AM48" i="1"/>
  <c r="AL48" i="1"/>
  <c r="AK48" i="1"/>
  <c r="AJ48" i="1"/>
  <c r="AI48" i="1"/>
  <c r="AH48" i="1"/>
  <c r="AG48" i="1"/>
  <c r="AM47" i="1"/>
  <c r="AL47" i="1"/>
  <c r="AK47" i="1"/>
  <c r="AJ47" i="1"/>
  <c r="AI47" i="1"/>
  <c r="AH47" i="1"/>
  <c r="AG47" i="1"/>
  <c r="AM46" i="1"/>
  <c r="AL46" i="1"/>
  <c r="AK46" i="1"/>
  <c r="AJ46" i="1"/>
  <c r="AI46" i="1"/>
  <c r="AH46" i="1"/>
  <c r="AG46" i="1"/>
  <c r="BB45" i="1"/>
  <c r="AW45" i="1"/>
  <c r="AV45" i="1"/>
  <c r="AN45" i="1" s="1"/>
  <c r="AS45" i="1"/>
  <c r="AR45" i="1"/>
  <c r="AQ45" i="1"/>
  <c r="AP45" i="1"/>
  <c r="AM45" i="1"/>
  <c r="AL45" i="1"/>
  <c r="AK45" i="1"/>
  <c r="AJ45" i="1"/>
  <c r="AI45" i="1"/>
  <c r="AH45" i="1"/>
  <c r="AG45" i="1"/>
  <c r="BB44" i="1"/>
  <c r="AW44" i="1"/>
  <c r="AV44" i="1"/>
  <c r="AN44" i="1" s="1"/>
  <c r="AS44" i="1"/>
  <c r="AR44" i="1"/>
  <c r="AQ44" i="1"/>
  <c r="AP44" i="1"/>
  <c r="AM44" i="1"/>
  <c r="AL44" i="1"/>
  <c r="AK44" i="1"/>
  <c r="AJ44" i="1"/>
  <c r="AI44" i="1"/>
  <c r="AH44" i="1"/>
  <c r="AG44" i="1"/>
  <c r="AF44" i="1"/>
  <c r="AE44" i="1"/>
  <c r="BB43" i="1"/>
  <c r="AW43" i="1"/>
  <c r="AV43" i="1"/>
  <c r="AN43" i="1" s="1"/>
  <c r="AS43" i="1"/>
  <c r="AR43" i="1"/>
  <c r="AQ43" i="1"/>
  <c r="AP43" i="1"/>
  <c r="AM43" i="1"/>
  <c r="AL43" i="1"/>
  <c r="AK43" i="1"/>
  <c r="AJ43" i="1"/>
  <c r="AI43" i="1"/>
  <c r="AH43" i="1"/>
  <c r="AG43" i="1"/>
  <c r="AF43" i="1"/>
  <c r="AE43" i="1"/>
  <c r="BB42" i="1"/>
  <c r="AW42" i="1"/>
  <c r="AV42" i="1"/>
  <c r="AN42" i="1" s="1"/>
  <c r="AS42" i="1"/>
  <c r="AR42" i="1"/>
  <c r="AQ42" i="1"/>
  <c r="AP42" i="1"/>
  <c r="AM42" i="1"/>
  <c r="AL42" i="1"/>
  <c r="AK42" i="1"/>
  <c r="AJ42" i="1"/>
  <c r="AI42" i="1"/>
  <c r="AH42" i="1"/>
  <c r="AG42" i="1"/>
  <c r="AF42" i="1"/>
  <c r="AE42" i="1"/>
  <c r="BB41" i="1"/>
  <c r="AW41" i="1"/>
  <c r="AV41" i="1"/>
  <c r="AN41" i="1" s="1"/>
  <c r="AS41" i="1"/>
  <c r="AR41" i="1"/>
  <c r="AQ41" i="1"/>
  <c r="AP41" i="1"/>
  <c r="AM41" i="1"/>
  <c r="AL41" i="1"/>
  <c r="AK41" i="1"/>
  <c r="AJ41" i="1"/>
  <c r="AI41" i="1"/>
  <c r="AH41" i="1"/>
  <c r="AG41" i="1"/>
  <c r="AF41" i="1"/>
  <c r="AE41" i="1"/>
  <c r="BB40" i="1"/>
  <c r="AW40" i="1"/>
  <c r="AV40" i="1"/>
  <c r="AN40" i="1" s="1"/>
  <c r="AS40" i="1"/>
  <c r="AR40" i="1"/>
  <c r="AQ40" i="1"/>
  <c r="AP40" i="1"/>
  <c r="AM40" i="1"/>
  <c r="AL40" i="1"/>
  <c r="AK40" i="1"/>
  <c r="AJ40" i="1"/>
  <c r="AI40" i="1"/>
  <c r="AH40" i="1"/>
  <c r="AG40" i="1"/>
  <c r="AF40" i="1"/>
  <c r="AE40" i="1"/>
  <c r="BB39" i="1"/>
  <c r="AW39" i="1"/>
  <c r="AV39" i="1"/>
  <c r="AN39" i="1" s="1"/>
  <c r="AS39" i="1"/>
  <c r="AR39" i="1"/>
  <c r="AQ39" i="1"/>
  <c r="AP39" i="1"/>
  <c r="AM39" i="1"/>
  <c r="AL39" i="1"/>
  <c r="AK39" i="1"/>
  <c r="AJ39" i="1"/>
  <c r="AI39" i="1"/>
  <c r="AH39" i="1"/>
  <c r="AG39" i="1"/>
  <c r="AF39" i="1"/>
  <c r="AE39" i="1"/>
  <c r="BB38" i="1"/>
  <c r="AW38" i="1"/>
  <c r="AV38" i="1"/>
  <c r="AN38" i="1" s="1"/>
  <c r="AS38" i="1"/>
  <c r="AR38" i="1"/>
  <c r="AQ38" i="1"/>
  <c r="AP38" i="1"/>
  <c r="AM38" i="1"/>
  <c r="AL38" i="1"/>
  <c r="AK38" i="1"/>
  <c r="AJ38" i="1"/>
  <c r="AI38" i="1"/>
  <c r="AH38" i="1"/>
  <c r="AG38" i="1"/>
  <c r="AF38" i="1"/>
  <c r="AE38" i="1"/>
  <c r="BB37" i="1"/>
  <c r="AW37" i="1"/>
  <c r="AV37" i="1"/>
  <c r="AN37" i="1" s="1"/>
  <c r="AS37" i="1"/>
  <c r="AR37" i="1"/>
  <c r="AQ37" i="1"/>
  <c r="AP37" i="1"/>
  <c r="AM37" i="1"/>
  <c r="AL37" i="1"/>
  <c r="AK37" i="1"/>
  <c r="AJ37" i="1"/>
  <c r="AI37" i="1"/>
  <c r="AH37" i="1"/>
  <c r="AG37" i="1"/>
  <c r="AF37" i="1"/>
  <c r="AE37" i="1"/>
  <c r="BB36" i="1"/>
  <c r="AW36" i="1"/>
  <c r="AV36" i="1"/>
  <c r="AN36" i="1" s="1"/>
  <c r="AS36" i="1"/>
  <c r="AR36" i="1"/>
  <c r="AQ36" i="1"/>
  <c r="AP36" i="1"/>
  <c r="AM36" i="1"/>
  <c r="AL36" i="1"/>
  <c r="AK36" i="1"/>
  <c r="AJ36" i="1"/>
  <c r="AI36" i="1"/>
  <c r="AH36" i="1"/>
  <c r="AG36" i="1"/>
  <c r="AF36" i="1"/>
  <c r="AE36" i="1"/>
  <c r="BB35" i="1"/>
  <c r="AW35" i="1"/>
  <c r="AV35" i="1"/>
  <c r="AN35" i="1" s="1"/>
  <c r="AS35" i="1"/>
  <c r="AR35" i="1"/>
  <c r="AQ35" i="1"/>
  <c r="AP35" i="1"/>
  <c r="AM35" i="1"/>
  <c r="AL35" i="1"/>
  <c r="AK35" i="1"/>
  <c r="AJ35" i="1"/>
  <c r="AI35" i="1"/>
  <c r="AH35" i="1"/>
  <c r="AG35" i="1"/>
  <c r="AF35" i="1"/>
  <c r="AE35" i="1"/>
  <c r="BB34" i="1"/>
  <c r="AW34" i="1"/>
  <c r="AV34" i="1"/>
  <c r="AN34" i="1" s="1"/>
  <c r="AS34" i="1"/>
  <c r="AR34" i="1"/>
  <c r="AQ34" i="1"/>
  <c r="AP34" i="1"/>
  <c r="AM34" i="1"/>
  <c r="AL34" i="1"/>
  <c r="AK34" i="1"/>
  <c r="AJ34" i="1"/>
  <c r="AI34" i="1"/>
  <c r="AH34" i="1"/>
  <c r="AG34" i="1"/>
  <c r="AF34" i="1"/>
  <c r="AE34" i="1"/>
  <c r="BB33" i="1"/>
  <c r="AW33" i="1"/>
  <c r="AV33" i="1"/>
  <c r="AN33" i="1" s="1"/>
  <c r="AS33" i="1"/>
  <c r="AR33" i="1"/>
  <c r="AQ33" i="1"/>
  <c r="AP33" i="1"/>
  <c r="AM33" i="1"/>
  <c r="AL33" i="1"/>
  <c r="AK33" i="1"/>
  <c r="AJ33" i="1"/>
  <c r="AI33" i="1"/>
  <c r="AH33" i="1"/>
  <c r="AG33" i="1"/>
  <c r="AF33" i="1"/>
  <c r="AE33" i="1"/>
  <c r="BB32" i="1"/>
  <c r="AW32" i="1"/>
  <c r="AV32" i="1"/>
  <c r="AS32" i="1"/>
  <c r="AR32" i="1"/>
  <c r="AQ32" i="1"/>
  <c r="AP32" i="1"/>
  <c r="AN32" i="1"/>
  <c r="AM32" i="1"/>
  <c r="AL32" i="1"/>
  <c r="AK32" i="1"/>
  <c r="AJ32" i="1"/>
  <c r="AI32" i="1"/>
  <c r="AH32" i="1"/>
  <c r="AG32" i="1"/>
  <c r="AF32" i="1"/>
  <c r="AE32" i="1"/>
  <c r="BB31" i="1"/>
  <c r="AW31" i="1"/>
  <c r="AV31" i="1"/>
  <c r="AN31" i="1" s="1"/>
  <c r="AS31" i="1"/>
  <c r="AR31" i="1"/>
  <c r="AQ31" i="1"/>
  <c r="AP31" i="1"/>
  <c r="AM31" i="1"/>
  <c r="AL31" i="1"/>
  <c r="AK31" i="1"/>
  <c r="AJ31" i="1"/>
  <c r="AI31" i="1"/>
  <c r="AH31" i="1"/>
  <c r="AG31" i="1"/>
  <c r="AF31" i="1"/>
  <c r="AE31" i="1"/>
  <c r="BB30" i="1"/>
  <c r="AW30" i="1"/>
  <c r="AV30" i="1"/>
  <c r="AN30" i="1" s="1"/>
  <c r="AS30" i="1"/>
  <c r="AR30" i="1"/>
  <c r="AQ30" i="1"/>
  <c r="AP30" i="1"/>
  <c r="AM30" i="1"/>
  <c r="AL30" i="1"/>
  <c r="AK30" i="1"/>
  <c r="AJ30" i="1"/>
  <c r="AI30" i="1"/>
  <c r="AH30" i="1"/>
  <c r="AG30" i="1"/>
  <c r="AF30" i="1"/>
  <c r="AE30" i="1"/>
  <c r="BB29" i="1"/>
  <c r="AW29" i="1"/>
  <c r="AV29" i="1"/>
  <c r="AS29" i="1"/>
  <c r="AR29" i="1"/>
  <c r="AQ29" i="1"/>
  <c r="AP29" i="1"/>
  <c r="AN29" i="1"/>
  <c r="AM29" i="1"/>
  <c r="AL29" i="1"/>
  <c r="AK29" i="1"/>
  <c r="AJ29" i="1"/>
  <c r="AI29" i="1"/>
  <c r="AH29" i="1"/>
  <c r="AG29" i="1"/>
  <c r="AF29" i="1"/>
  <c r="AE29" i="1"/>
  <c r="BB28" i="1"/>
  <c r="AW28" i="1"/>
  <c r="AV28" i="1"/>
  <c r="AN28" i="1" s="1"/>
  <c r="AS28" i="1"/>
  <c r="AR28" i="1"/>
  <c r="AQ28" i="1"/>
  <c r="AP28" i="1"/>
  <c r="AM28" i="1"/>
  <c r="AL28" i="1"/>
  <c r="AK28" i="1"/>
  <c r="AJ28" i="1"/>
  <c r="AI28" i="1"/>
  <c r="AH28" i="1"/>
  <c r="AG28" i="1"/>
  <c r="AF28" i="1"/>
  <c r="AE28" i="1"/>
  <c r="BB27" i="1"/>
  <c r="AW27" i="1"/>
  <c r="AV27" i="1"/>
  <c r="AN27" i="1" s="1"/>
  <c r="AS27" i="1"/>
  <c r="AR27" i="1"/>
  <c r="AQ27" i="1"/>
  <c r="AP27" i="1"/>
  <c r="AM27" i="1"/>
  <c r="AL27" i="1"/>
  <c r="AK27" i="1"/>
  <c r="AJ27" i="1"/>
  <c r="AI27" i="1"/>
  <c r="AH27" i="1"/>
  <c r="AG27" i="1"/>
  <c r="AF27" i="1"/>
  <c r="AE27" i="1"/>
  <c r="BB26" i="1"/>
  <c r="AW26" i="1"/>
  <c r="AV26" i="1"/>
  <c r="AN26" i="1" s="1"/>
  <c r="AS26" i="1"/>
  <c r="AR26" i="1"/>
  <c r="AQ26" i="1"/>
  <c r="AP26" i="1"/>
  <c r="AM26" i="1"/>
  <c r="AL26" i="1"/>
  <c r="AK26" i="1"/>
  <c r="AJ26" i="1"/>
  <c r="AI26" i="1"/>
  <c r="AH26" i="1"/>
  <c r="AG26" i="1"/>
  <c r="AF26" i="1"/>
  <c r="AE26" i="1"/>
  <c r="BB25" i="1"/>
  <c r="AW25" i="1"/>
  <c r="AV25" i="1"/>
  <c r="AN25" i="1" s="1"/>
  <c r="AS25" i="1"/>
  <c r="AR25" i="1"/>
  <c r="AQ25" i="1"/>
  <c r="AP25" i="1"/>
  <c r="AM25" i="1"/>
  <c r="AL25" i="1"/>
  <c r="AK25" i="1"/>
  <c r="AJ25" i="1"/>
  <c r="AI25" i="1"/>
  <c r="AH25" i="1"/>
  <c r="AG25" i="1"/>
  <c r="AF25" i="1"/>
  <c r="AE25" i="1"/>
  <c r="BB24" i="1"/>
  <c r="AW24" i="1"/>
  <c r="AV24" i="1"/>
  <c r="AN24" i="1" s="1"/>
  <c r="AS24" i="1"/>
  <c r="AR24" i="1"/>
  <c r="AQ24" i="1"/>
  <c r="AP24" i="1"/>
  <c r="AM24" i="1"/>
  <c r="AL24" i="1"/>
  <c r="AK24" i="1"/>
  <c r="AJ24" i="1"/>
  <c r="AI24" i="1"/>
  <c r="AH24" i="1"/>
  <c r="AG24" i="1"/>
  <c r="AF24" i="1"/>
  <c r="AE24" i="1"/>
  <c r="BB23" i="1"/>
  <c r="AW23" i="1"/>
  <c r="AV23" i="1"/>
  <c r="AN23" i="1" s="1"/>
  <c r="AS23" i="1"/>
  <c r="AR23" i="1"/>
  <c r="AQ23" i="1"/>
  <c r="AP23" i="1"/>
  <c r="AM23" i="1"/>
  <c r="AL23" i="1"/>
  <c r="AK23" i="1"/>
  <c r="AJ23" i="1"/>
  <c r="AI23" i="1"/>
  <c r="AH23" i="1"/>
  <c r="AG23" i="1"/>
  <c r="AF23" i="1"/>
  <c r="AE23" i="1"/>
  <c r="BB22" i="1"/>
  <c r="AW22" i="1"/>
  <c r="AV22" i="1"/>
  <c r="AN22" i="1" s="1"/>
  <c r="AS22" i="1"/>
  <c r="AR22" i="1"/>
  <c r="AQ22" i="1"/>
  <c r="AP22" i="1"/>
  <c r="AM22" i="1"/>
  <c r="AL22" i="1"/>
  <c r="AK22" i="1"/>
  <c r="AJ22" i="1"/>
  <c r="AI22" i="1"/>
  <c r="AH22" i="1"/>
  <c r="AG22" i="1"/>
  <c r="AF22" i="1"/>
  <c r="AE22" i="1"/>
  <c r="BB21" i="1"/>
  <c r="AW21" i="1"/>
  <c r="AV21" i="1"/>
  <c r="AS21" i="1"/>
  <c r="AR21" i="1"/>
  <c r="AQ21" i="1"/>
  <c r="AP21" i="1"/>
  <c r="AN21" i="1"/>
  <c r="AM21" i="1"/>
  <c r="AL21" i="1"/>
  <c r="AK21" i="1"/>
  <c r="AJ21" i="1"/>
  <c r="AI21" i="1"/>
  <c r="AH21" i="1"/>
  <c r="AG21" i="1"/>
  <c r="AF21" i="1"/>
  <c r="AE21" i="1"/>
  <c r="BB20" i="1"/>
  <c r="AW20" i="1"/>
  <c r="AV20" i="1"/>
  <c r="AN20" i="1" s="1"/>
  <c r="AS20" i="1"/>
  <c r="AR20" i="1"/>
  <c r="AQ20" i="1"/>
  <c r="AP20" i="1"/>
  <c r="AM20" i="1"/>
  <c r="AL20" i="1"/>
  <c r="AK20" i="1"/>
  <c r="AJ20" i="1"/>
  <c r="AI20" i="1"/>
  <c r="AH20" i="1"/>
  <c r="AG20" i="1"/>
  <c r="AF20" i="1"/>
  <c r="AE20" i="1"/>
  <c r="BB19" i="1"/>
  <c r="AW19" i="1"/>
  <c r="AV19" i="1"/>
  <c r="AN19" i="1" s="1"/>
  <c r="AS19" i="1"/>
  <c r="AR19" i="1"/>
  <c r="AQ19" i="1"/>
  <c r="AP19" i="1"/>
  <c r="AM19" i="1"/>
  <c r="AL19" i="1"/>
  <c r="AK19" i="1"/>
  <c r="AJ19" i="1"/>
  <c r="AI19" i="1"/>
  <c r="AH19" i="1"/>
  <c r="AG19" i="1"/>
  <c r="AF19" i="1"/>
  <c r="AE19" i="1"/>
  <c r="BB18" i="1"/>
  <c r="AW18" i="1"/>
  <c r="AV18" i="1"/>
  <c r="AN18" i="1" s="1"/>
  <c r="AS18" i="1"/>
  <c r="AR18" i="1"/>
  <c r="AQ18" i="1"/>
  <c r="AP18" i="1"/>
  <c r="AM18" i="1"/>
  <c r="AL18" i="1"/>
  <c r="AK18" i="1"/>
  <c r="AJ18" i="1"/>
  <c r="AI18" i="1"/>
  <c r="AH18" i="1"/>
  <c r="AG18" i="1"/>
  <c r="AF18" i="1"/>
  <c r="AE18" i="1"/>
  <c r="BB17" i="1"/>
  <c r="AW17" i="1"/>
  <c r="AV17" i="1"/>
  <c r="AN17" i="1" s="1"/>
  <c r="AS17" i="1"/>
  <c r="AR17" i="1"/>
  <c r="AQ17" i="1"/>
  <c r="AP17" i="1"/>
  <c r="AM17" i="1"/>
  <c r="AL17" i="1"/>
  <c r="AK17" i="1"/>
  <c r="AJ17" i="1"/>
  <c r="AI17" i="1"/>
  <c r="AH17" i="1"/>
  <c r="AG17" i="1"/>
  <c r="AF17" i="1"/>
  <c r="AE17" i="1"/>
  <c r="BB16" i="1"/>
  <c r="AW16" i="1"/>
  <c r="AV16" i="1"/>
  <c r="AS16" i="1"/>
  <c r="AR16" i="1"/>
  <c r="AQ16" i="1"/>
  <c r="AP16" i="1"/>
  <c r="AN16" i="1"/>
  <c r="AM16" i="1"/>
  <c r="AL16" i="1"/>
  <c r="AK16" i="1"/>
  <c r="AJ16" i="1"/>
  <c r="AI16" i="1"/>
  <c r="AH16" i="1"/>
  <c r="AG16" i="1"/>
  <c r="AF16" i="1"/>
  <c r="AE16" i="1"/>
  <c r="BB15" i="1"/>
  <c r="AW15" i="1"/>
  <c r="AV15" i="1"/>
  <c r="AN15" i="1" s="1"/>
  <c r="AS15" i="1"/>
  <c r="AR15" i="1"/>
  <c r="AQ15" i="1"/>
  <c r="AP15" i="1"/>
  <c r="AM15" i="1"/>
  <c r="AL15" i="1"/>
  <c r="AK15" i="1"/>
  <c r="AJ15" i="1"/>
  <c r="AI15" i="1"/>
  <c r="AH15" i="1"/>
  <c r="AG15" i="1"/>
  <c r="AF15" i="1"/>
  <c r="AE15" i="1"/>
  <c r="BB14" i="1"/>
  <c r="AW14" i="1"/>
  <c r="AV14" i="1"/>
  <c r="AN14" i="1" s="1"/>
  <c r="AS14" i="1"/>
  <c r="AR14" i="1"/>
  <c r="AQ14" i="1"/>
  <c r="AP14" i="1"/>
  <c r="AM14" i="1"/>
  <c r="AL14" i="1"/>
  <c r="AK14" i="1"/>
  <c r="AJ14" i="1"/>
  <c r="AI14" i="1"/>
  <c r="AH14" i="1"/>
  <c r="AG14" i="1"/>
  <c r="AF14" i="1"/>
  <c r="AE14" i="1"/>
  <c r="BB13" i="1"/>
  <c r="AW13" i="1"/>
  <c r="AV13" i="1"/>
  <c r="AN13" i="1" s="1"/>
  <c r="AS13" i="1"/>
  <c r="AR13" i="1"/>
  <c r="AQ13" i="1"/>
  <c r="AP13" i="1"/>
  <c r="AM13" i="1"/>
  <c r="AL13" i="1"/>
  <c r="AK13" i="1"/>
  <c r="AJ13" i="1"/>
  <c r="AI13" i="1"/>
  <c r="AH13" i="1"/>
  <c r="AG13" i="1"/>
  <c r="AF13" i="1"/>
  <c r="AE13" i="1"/>
  <c r="BB12" i="1"/>
  <c r="AW12" i="1"/>
  <c r="AV12" i="1"/>
  <c r="AN12" i="1" s="1"/>
  <c r="AS12" i="1"/>
  <c r="AR12" i="1"/>
  <c r="AQ12" i="1"/>
  <c r="AP12" i="1"/>
  <c r="AM12" i="1"/>
  <c r="AL12" i="1"/>
  <c r="AK12" i="1"/>
  <c r="AJ12" i="1"/>
  <c r="AI12" i="1"/>
  <c r="AH12" i="1"/>
  <c r="AG12" i="1"/>
  <c r="AF12" i="1"/>
  <c r="AE12" i="1"/>
  <c r="BB11" i="1"/>
  <c r="AW11" i="1"/>
  <c r="AV11" i="1"/>
  <c r="AN11" i="1" s="1"/>
  <c r="AS11" i="1"/>
  <c r="AR11" i="1"/>
  <c r="AQ11" i="1"/>
  <c r="AP11" i="1"/>
  <c r="AM11" i="1"/>
  <c r="AL11" i="1"/>
  <c r="AK11" i="1"/>
  <c r="AJ11" i="1"/>
  <c r="AI11" i="1"/>
  <c r="AH11" i="1"/>
  <c r="AG11" i="1"/>
  <c r="AF11" i="1"/>
  <c r="AE11" i="1"/>
  <c r="BB10" i="1"/>
  <c r="AW10" i="1"/>
  <c r="AV10" i="1"/>
  <c r="AN10" i="1" s="1"/>
  <c r="AS10" i="1"/>
  <c r="AR10" i="1"/>
  <c r="AQ10" i="1"/>
  <c r="AP10" i="1"/>
  <c r="AM10" i="1"/>
  <c r="AL10" i="1"/>
  <c r="AK10" i="1"/>
  <c r="AJ10" i="1"/>
  <c r="AI10" i="1"/>
  <c r="AH10" i="1"/>
  <c r="AG10" i="1"/>
  <c r="AF10" i="1"/>
  <c r="AE10" i="1"/>
  <c r="BB9" i="1"/>
  <c r="AW9" i="1"/>
  <c r="AV9" i="1"/>
  <c r="AS9" i="1"/>
  <c r="AR9" i="1"/>
  <c r="AQ9" i="1"/>
  <c r="AP9" i="1"/>
  <c r="AN9" i="1"/>
  <c r="AM9" i="1"/>
  <c r="AL9" i="1"/>
  <c r="AK9" i="1"/>
  <c r="AJ9" i="1"/>
  <c r="AI9" i="1"/>
  <c r="AH9" i="1"/>
  <c r="AG9" i="1"/>
  <c r="AF9" i="1"/>
  <c r="AE9" i="1"/>
  <c r="BB8" i="1"/>
  <c r="AW8" i="1"/>
  <c r="AV8" i="1"/>
  <c r="AN8" i="1" s="1"/>
  <c r="AS8" i="1"/>
  <c r="AR8" i="1"/>
  <c r="AQ8" i="1"/>
  <c r="AP8" i="1"/>
  <c r="AM8" i="1"/>
  <c r="AL8" i="1"/>
  <c r="AK8" i="1"/>
  <c r="AJ8" i="1"/>
  <c r="AI8" i="1"/>
  <c r="AH8" i="1"/>
  <c r="AG8" i="1"/>
  <c r="AF8" i="1"/>
  <c r="AE8" i="1"/>
  <c r="BB7" i="1"/>
  <c r="AW7" i="1"/>
  <c r="AV7" i="1"/>
  <c r="AN7" i="1" s="1"/>
  <c r="AS7" i="1"/>
  <c r="AR7" i="1"/>
  <c r="AQ7" i="1"/>
  <c r="AP7" i="1"/>
  <c r="AM7" i="1"/>
  <c r="AL7" i="1"/>
  <c r="AK7" i="1"/>
  <c r="AJ7" i="1"/>
  <c r="AI7" i="1"/>
  <c r="AH7" i="1"/>
  <c r="AG7" i="1"/>
  <c r="AF7" i="1"/>
  <c r="AE7" i="1"/>
  <c r="BB6" i="1"/>
  <c r="AW6" i="1"/>
  <c r="AV6" i="1"/>
  <c r="AS6" i="1"/>
  <c r="AR6" i="1"/>
  <c r="AQ6" i="1"/>
  <c r="AP6" i="1"/>
  <c r="AN6" i="1"/>
  <c r="AM6" i="1"/>
  <c r="AL6" i="1"/>
  <c r="AK6" i="1"/>
  <c r="AJ6" i="1"/>
  <c r="AI6" i="1"/>
  <c r="AH6" i="1"/>
  <c r="AG6" i="1"/>
  <c r="AF6" i="1"/>
  <c r="AE6" i="1"/>
  <c r="BB5" i="1"/>
  <c r="AW5" i="1"/>
  <c r="AV5" i="1"/>
  <c r="AN5" i="1" s="1"/>
  <c r="AS5" i="1"/>
  <c r="AR5" i="1"/>
  <c r="AQ5" i="1"/>
  <c r="AP5" i="1"/>
  <c r="AM5" i="1"/>
  <c r="AL5" i="1"/>
  <c r="AK5" i="1"/>
  <c r="AJ5" i="1"/>
  <c r="AI5" i="1"/>
  <c r="AH5" i="1"/>
  <c r="AG5" i="1"/>
  <c r="AF5" i="1"/>
  <c r="AE5" i="1"/>
  <c r="BB4" i="1"/>
  <c r="AW4" i="1"/>
  <c r="AV4" i="1"/>
  <c r="AN4" i="1" s="1"/>
  <c r="AS4" i="1"/>
  <c r="AR4" i="1"/>
  <c r="AQ4" i="1"/>
  <c r="AP4" i="1"/>
  <c r="AM4" i="1"/>
  <c r="AL4" i="1"/>
  <c r="AK4" i="1"/>
  <c r="AJ4" i="1"/>
  <c r="AI4" i="1"/>
  <c r="AH4" i="1"/>
  <c r="AG4" i="1"/>
  <c r="AF4" i="1"/>
  <c r="AE4" i="1"/>
  <c r="BB3" i="1"/>
  <c r="AW3" i="1"/>
  <c r="AV3" i="1"/>
  <c r="AN3" i="1" s="1"/>
  <c r="AS3" i="1"/>
  <c r="AR3" i="1"/>
  <c r="AQ3" i="1"/>
  <c r="AP3" i="1"/>
  <c r="AM3" i="1"/>
  <c r="AL3" i="1"/>
  <c r="AK3" i="1"/>
  <c r="AJ3" i="1"/>
  <c r="AI3" i="1"/>
  <c r="AH3" i="1"/>
  <c r="AG3" i="1"/>
  <c r="AF3" i="1"/>
  <c r="AE3" i="1"/>
  <c r="BB2" i="1"/>
  <c r="AW2" i="1"/>
  <c r="AV2" i="1"/>
  <c r="AN2" i="1" s="1"/>
  <c r="AU2" i="1"/>
  <c r="AT2" i="1"/>
  <c r="AS2" i="1"/>
  <c r="AR2" i="1"/>
  <c r="AQ2" i="1"/>
  <c r="AP2" i="1"/>
  <c r="AM2" i="1"/>
  <c r="AL2" i="1"/>
  <c r="AK2" i="1"/>
  <c r="AJ2" i="1"/>
  <c r="AI2" i="1"/>
  <c r="AH2" i="1"/>
  <c r="AG2" i="1"/>
  <c r="AF2" i="1"/>
  <c r="AE2" i="1"/>
  <c r="G79" i="1" l="1"/>
  <c r="G68" i="1"/>
  <c r="G48" i="1"/>
  <c r="G56" i="1"/>
  <c r="G25" i="1"/>
  <c r="G14" i="1"/>
  <c r="G18" i="1"/>
  <c r="G23" i="1"/>
  <c r="G46" i="1"/>
  <c r="G6" i="1"/>
  <c r="G16" i="1"/>
  <c r="G24" i="1"/>
  <c r="G28" i="1"/>
  <c r="G21" i="1"/>
  <c r="G44" i="1"/>
  <c r="G43" i="1"/>
  <c r="G33" i="1"/>
  <c r="G30" i="1"/>
  <c r="G32" i="1"/>
  <c r="G10" i="1"/>
  <c r="G34" i="1"/>
  <c r="G9" i="1"/>
  <c r="G5" i="1"/>
  <c r="G42" i="1"/>
  <c r="G4" i="1"/>
  <c r="G45" i="1"/>
  <c r="G29" i="1"/>
  <c r="G35" i="1"/>
  <c r="G31" i="1"/>
  <c r="G3" i="1"/>
  <c r="G20" i="1"/>
  <c r="G47" i="1"/>
  <c r="G22" i="1"/>
  <c r="G13" i="1"/>
  <c r="G37" i="1"/>
  <c r="G11" i="1"/>
  <c r="G15" i="1"/>
  <c r="G36" i="1"/>
  <c r="G41" i="1"/>
  <c r="G8" i="1"/>
  <c r="G7" i="1"/>
  <c r="G39" i="1"/>
  <c r="G38" i="1"/>
  <c r="G12" i="1"/>
  <c r="G17" i="1"/>
  <c r="G2" i="1"/>
  <c r="G19" i="1"/>
  <c r="G40" i="1"/>
  <c r="G27" i="1"/>
  <c r="G26" i="1"/>
  <c r="G82" i="1"/>
  <c r="G83" i="1"/>
  <c r="G81" i="1"/>
  <c r="G75" i="1"/>
  <c r="G84" i="1"/>
  <c r="G59" i="1"/>
  <c r="G88" i="1"/>
  <c r="G78" i="1"/>
  <c r="G52" i="1"/>
  <c r="G49" i="1"/>
  <c r="G50" i="1"/>
  <c r="G67" i="1"/>
  <c r="G64" i="1"/>
  <c r="G58" i="1"/>
  <c r="G73" i="1"/>
  <c r="G57" i="1"/>
  <c r="G66" i="1"/>
  <c r="G53" i="1"/>
  <c r="G76" i="1"/>
  <c r="G61" i="1"/>
  <c r="G60" i="1"/>
  <c r="G63" i="1"/>
  <c r="G54" i="1"/>
  <c r="G69" i="1"/>
  <c r="G62" i="1"/>
  <c r="G85" i="1"/>
  <c r="G71" i="1"/>
  <c r="G70" i="1"/>
  <c r="G77" i="1"/>
  <c r="G51" i="1"/>
  <c r="G55" i="1"/>
  <c r="G74" i="1"/>
  <c r="G72" i="1"/>
  <c r="G65" i="1"/>
  <c r="G86" i="1"/>
  <c r="G87" i="1"/>
  <c r="G89" i="1"/>
  <c r="G80" i="1"/>
  <c r="E79" i="1"/>
  <c r="E68" i="1"/>
  <c r="E48" i="1"/>
  <c r="E56" i="1"/>
  <c r="E25" i="1"/>
  <c r="E14" i="1"/>
  <c r="E18" i="1"/>
  <c r="E23" i="1"/>
  <c r="E46" i="1"/>
  <c r="E6" i="1"/>
  <c r="E16" i="1"/>
  <c r="E24" i="1"/>
  <c r="E28" i="1"/>
  <c r="E21" i="1"/>
  <c r="E44" i="1"/>
  <c r="E43" i="1"/>
  <c r="E33" i="1"/>
  <c r="E30" i="1"/>
  <c r="E32" i="1"/>
  <c r="E10" i="1"/>
  <c r="E34" i="1"/>
  <c r="E9" i="1"/>
  <c r="E5" i="1"/>
  <c r="E42" i="1"/>
  <c r="E4" i="1"/>
  <c r="E45" i="1"/>
  <c r="E29" i="1"/>
  <c r="E35" i="1"/>
  <c r="E31" i="1"/>
  <c r="E3" i="1"/>
  <c r="E20" i="1"/>
  <c r="E47" i="1"/>
  <c r="E22" i="1"/>
  <c r="E13" i="1"/>
  <c r="E37" i="1"/>
  <c r="E11" i="1"/>
  <c r="E15" i="1"/>
  <c r="E36" i="1"/>
  <c r="E41" i="1"/>
  <c r="E8" i="1"/>
  <c r="E7" i="1"/>
  <c r="E39" i="1"/>
  <c r="E38" i="1"/>
  <c r="E12" i="1"/>
  <c r="E17" i="1"/>
  <c r="E2" i="1"/>
  <c r="E19" i="1"/>
  <c r="E40" i="1"/>
  <c r="E27" i="1"/>
  <c r="E26" i="1"/>
  <c r="E82" i="1"/>
  <c r="E83" i="1"/>
  <c r="E81" i="1"/>
  <c r="E75" i="1"/>
  <c r="E84" i="1"/>
  <c r="E59" i="1"/>
  <c r="E88" i="1"/>
  <c r="E78" i="1"/>
  <c r="E52" i="1"/>
  <c r="E49" i="1"/>
  <c r="E50" i="1"/>
  <c r="E67" i="1"/>
  <c r="E64" i="1"/>
  <c r="E58" i="1"/>
  <c r="E73" i="1"/>
  <c r="E57" i="1"/>
  <c r="E66" i="1"/>
  <c r="E53" i="1"/>
  <c r="E76" i="1"/>
  <c r="E61" i="1"/>
  <c r="E60" i="1"/>
  <c r="E63" i="1"/>
  <c r="E54" i="1"/>
  <c r="E69" i="1"/>
  <c r="E62" i="1"/>
  <c r="E85" i="1"/>
  <c r="E71" i="1"/>
  <c r="E70" i="1"/>
  <c r="E77" i="1"/>
  <c r="E51" i="1"/>
  <c r="E55" i="1"/>
  <c r="E74" i="1"/>
  <c r="E72" i="1"/>
  <c r="E65" i="1"/>
  <c r="E86" i="1"/>
  <c r="E87" i="1"/>
  <c r="E89" i="1"/>
  <c r="E80" i="1"/>
  <c r="F79" i="1"/>
  <c r="F68" i="1"/>
  <c r="F48" i="1"/>
  <c r="F56" i="1"/>
  <c r="F25" i="1"/>
  <c r="F14" i="1"/>
  <c r="F18" i="1"/>
  <c r="F23" i="1"/>
  <c r="F46" i="1"/>
  <c r="F6" i="1"/>
  <c r="F16" i="1"/>
  <c r="F24" i="1"/>
  <c r="F28" i="1"/>
  <c r="F21" i="1"/>
  <c r="F44" i="1"/>
  <c r="F43" i="1"/>
  <c r="F33" i="1"/>
  <c r="F30" i="1"/>
  <c r="F32" i="1"/>
  <c r="F10" i="1"/>
  <c r="F34" i="1"/>
  <c r="F9" i="1"/>
  <c r="F5" i="1"/>
  <c r="F42" i="1"/>
  <c r="F4" i="1"/>
  <c r="F45" i="1"/>
  <c r="F29" i="1"/>
  <c r="F35" i="1"/>
  <c r="F31" i="1"/>
  <c r="F3" i="1"/>
  <c r="F20" i="1"/>
  <c r="F47" i="1"/>
  <c r="F22" i="1"/>
  <c r="F13" i="1"/>
  <c r="F37" i="1"/>
  <c r="F11" i="1"/>
  <c r="F15" i="1"/>
  <c r="F36" i="1"/>
  <c r="F41" i="1"/>
  <c r="F8" i="1"/>
  <c r="F7" i="1"/>
  <c r="F39" i="1"/>
  <c r="F38" i="1"/>
  <c r="F12" i="1"/>
  <c r="F17" i="1"/>
  <c r="F2" i="1"/>
  <c r="F19" i="1"/>
  <c r="F40" i="1"/>
  <c r="F27" i="1"/>
  <c r="F26" i="1"/>
  <c r="F82" i="1"/>
  <c r="F83" i="1"/>
  <c r="F81" i="1"/>
  <c r="F75" i="1"/>
  <c r="F84" i="1"/>
  <c r="F59" i="1"/>
  <c r="F88" i="1"/>
  <c r="F78" i="1"/>
  <c r="F52" i="1"/>
  <c r="F49" i="1"/>
  <c r="F50" i="1"/>
  <c r="F67" i="1"/>
  <c r="F64" i="1"/>
  <c r="F58" i="1"/>
  <c r="F73" i="1"/>
  <c r="F57" i="1"/>
  <c r="F66" i="1"/>
  <c r="F53" i="1"/>
  <c r="F76" i="1"/>
  <c r="F61" i="1"/>
  <c r="F60" i="1"/>
  <c r="F63" i="1"/>
  <c r="F54" i="1"/>
  <c r="F69" i="1"/>
  <c r="F62" i="1"/>
  <c r="F85" i="1"/>
  <c r="F71" i="1"/>
  <c r="F70" i="1"/>
  <c r="F77" i="1"/>
  <c r="F51" i="1"/>
  <c r="F55" i="1"/>
  <c r="F74" i="1"/>
  <c r="F72" i="1"/>
  <c r="F65" i="1"/>
  <c r="F86" i="1"/>
  <c r="F87" i="1"/>
  <c r="F89" i="1"/>
  <c r="F80" i="1"/>
</calcChain>
</file>

<file path=xl/sharedStrings.xml><?xml version="1.0" encoding="utf-8"?>
<sst xmlns="http://schemas.openxmlformats.org/spreadsheetml/2006/main" count="1336" uniqueCount="489">
  <si>
    <t>Serial Number</t>
  </si>
  <si>
    <t>OS Version</t>
  </si>
  <si>
    <t>spasc-dr-ex4300a</t>
  </si>
  <si>
    <t>PG3714500053</t>
  </si>
  <si>
    <t>Juniper</t>
  </si>
  <si>
    <t>-</t>
  </si>
  <si>
    <t>CZ3420AN0397</t>
  </si>
  <si>
    <t>West Harrison</t>
  </si>
  <si>
    <t>CZ3420AN0386</t>
  </si>
  <si>
    <t>DALTXEX2300a</t>
  </si>
  <si>
    <t>GR0213340353</t>
  </si>
  <si>
    <t>CZ3420AN0141</t>
  </si>
  <si>
    <t>tusalex2300a</t>
  </si>
  <si>
    <t>CZ3420AN0375</t>
  </si>
  <si>
    <t>rogmnex2200b</t>
  </si>
  <si>
    <t>CV0214320522</t>
  </si>
  <si>
    <t>dencoex2300a</t>
  </si>
  <si>
    <t>JW0218380305</t>
  </si>
  <si>
    <t>Lakeville</t>
  </si>
  <si>
    <t>CZ3420AN0327</t>
  </si>
  <si>
    <t>10.185.0.44</t>
  </si>
  <si>
    <t>CZ3420AN0028</t>
  </si>
  <si>
    <t>puecoex2300a</t>
  </si>
  <si>
    <t>HARPAEX2300A</t>
  </si>
  <si>
    <t>JY3619050067</t>
  </si>
  <si>
    <t>LAKMAEX2300a</t>
  </si>
  <si>
    <t>JY3620310405</t>
  </si>
  <si>
    <t>CEDIAEX2300a</t>
  </si>
  <si>
    <t>JY3620410531</t>
  </si>
  <si>
    <t>Lubbock</t>
  </si>
  <si>
    <t>CZ3420AN0512</t>
  </si>
  <si>
    <t>cleohex2300a</t>
  </si>
  <si>
    <t>JY0218320883</t>
  </si>
  <si>
    <t>Cleveland</t>
  </si>
  <si>
    <t>CZ4418AF0130</t>
  </si>
  <si>
    <t>CZ2419AN0619</t>
  </si>
  <si>
    <t>CZ2117AF0122</t>
  </si>
  <si>
    <t>JW3620400123</t>
  </si>
  <si>
    <t>CZ3420AN0073</t>
  </si>
  <si>
    <t>CZ2920AN0824</t>
  </si>
  <si>
    <t>Fargo</t>
  </si>
  <si>
    <t>CZ4120AN0077</t>
  </si>
  <si>
    <t>Lebanon</t>
  </si>
  <si>
    <t>CZ3420AN0120</t>
  </si>
  <si>
    <t>DB5019AK0006</t>
  </si>
  <si>
    <t>CZ3420AN0137</t>
  </si>
  <si>
    <t>Belcamp</t>
  </si>
  <si>
    <t>CZ3420AN0388</t>
  </si>
  <si>
    <t>Reno</t>
  </si>
  <si>
    <t>DS2719AN0259</t>
  </si>
  <si>
    <t>BALMDEX2300a</t>
  </si>
  <si>
    <t>JW3620400588</t>
  </si>
  <si>
    <t>Rocky Mount</t>
  </si>
  <si>
    <t>CZ4418AF0048</t>
  </si>
  <si>
    <t>Rogers</t>
  </si>
  <si>
    <t>DS2719AN0179</t>
  </si>
  <si>
    <t>CZ1819AN1181</t>
  </si>
  <si>
    <t>lebtnex2300a</t>
  </si>
  <si>
    <t>JY3620410159</t>
  </si>
  <si>
    <t>Albuquerque</t>
  </si>
  <si>
    <t>CZ3420AN0346</t>
  </si>
  <si>
    <t>CZ1819AN1081</t>
  </si>
  <si>
    <t>Alexandria</t>
  </si>
  <si>
    <t>CZ2920AN0886</t>
  </si>
  <si>
    <t>CZ0418AF0302</t>
  </si>
  <si>
    <t>CZ4620AN0505</t>
  </si>
  <si>
    <t>CZ3318AF0023</t>
  </si>
  <si>
    <t>albnmex2200a</t>
  </si>
  <si>
    <t>JY3620410111</t>
  </si>
  <si>
    <t>rogmnex2200a</t>
  </si>
  <si>
    <t>CV0215060301</t>
  </si>
  <si>
    <t>Pueblo</t>
  </si>
  <si>
    <t>CZ3420AN0332</t>
  </si>
  <si>
    <t>CZ4418AF0182</t>
  </si>
  <si>
    <t>GRESC-HLPOFC-EX3300</t>
  </si>
  <si>
    <t>GB0214280790</t>
  </si>
  <si>
    <t>Waterville</t>
  </si>
  <si>
    <t>CZ3420AN0336</t>
  </si>
  <si>
    <t>watmeex2200b</t>
  </si>
  <si>
    <t>JY3620310576</t>
  </si>
  <si>
    <t>CZ0418AF0307</t>
  </si>
  <si>
    <t>CZ3420AN0341</t>
  </si>
  <si>
    <t>watmeex2200a</t>
  </si>
  <si>
    <t>JY3620310146</t>
  </si>
  <si>
    <t>wesinex2200a</t>
  </si>
  <si>
    <t>JY0220130072</t>
  </si>
  <si>
    <t>CZ2920AN0842</t>
  </si>
  <si>
    <t>Billings</t>
  </si>
  <si>
    <t>CZ2720AN0206</t>
  </si>
  <si>
    <t>Memphis</t>
  </si>
  <si>
    <t>CZ1616AF0485</t>
  </si>
  <si>
    <t>DS2719AN0320</t>
  </si>
  <si>
    <t>Dallas</t>
  </si>
  <si>
    <t>CZ0217AF0016</t>
  </si>
  <si>
    <t>CZ3420AN0163</t>
  </si>
  <si>
    <t>BLASDEX2300a</t>
  </si>
  <si>
    <t>JY0219020313</t>
  </si>
  <si>
    <t>bluinex2300b</t>
  </si>
  <si>
    <t>JY3619230854</t>
  </si>
  <si>
    <t>TA3715220289</t>
  </si>
  <si>
    <t>10.185.2.41</t>
  </si>
  <si>
    <t>JW3620400356</t>
  </si>
  <si>
    <t>gresc-2ndflr-ex3300a</t>
  </si>
  <si>
    <t>GB0213483866</t>
  </si>
  <si>
    <t>OKLOKEX2300a</t>
  </si>
  <si>
    <t>JY3620340814</t>
  </si>
  <si>
    <t>CZ1219AF1289</t>
  </si>
  <si>
    <t>gresc-1stflr-ex3300a</t>
  </si>
  <si>
    <t>GB0218510264</t>
  </si>
  <si>
    <t>ALELAEX2300a</t>
  </si>
  <si>
    <t>JY3620190005</t>
  </si>
  <si>
    <t>colscex2300a</t>
  </si>
  <si>
    <t>JY0218320035</t>
  </si>
  <si>
    <t>bilmtex2300a</t>
  </si>
  <si>
    <t>CORE-QFX5100</t>
  </si>
  <si>
    <t>bluin2200a</t>
  </si>
  <si>
    <t>GR0215290410</t>
  </si>
  <si>
    <t>10.191.12.11</t>
  </si>
  <si>
    <t>PG3717330089</t>
  </si>
  <si>
    <t>rocncex2300a</t>
  </si>
  <si>
    <t>JY0218320785</t>
  </si>
  <si>
    <t>LACWIEX2300a</t>
  </si>
  <si>
    <t>JY3620310531</t>
  </si>
  <si>
    <t>FARNDEX2300a</t>
  </si>
  <si>
    <t>JY3620310030</t>
  </si>
  <si>
    <t>10.191.255.4</t>
  </si>
  <si>
    <t>TA3120170695</t>
  </si>
  <si>
    <t>CZ3420AN0511</t>
  </si>
  <si>
    <t>CZ1219AF1209</t>
  </si>
  <si>
    <t>JY3619230872</t>
  </si>
  <si>
    <t>lubtxex2200a</t>
  </si>
  <si>
    <t>JY3620230765</t>
  </si>
  <si>
    <t>CZ4418AF0119</t>
  </si>
  <si>
    <t>Spartanburg</t>
  </si>
  <si>
    <t>DB5019AK0040</t>
  </si>
  <si>
    <t>CV0215150451</t>
  </si>
  <si>
    <t>Columbia</t>
  </si>
  <si>
    <t>CZ4418AF0052</t>
  </si>
  <si>
    <t>CZ3420AN0589</t>
  </si>
  <si>
    <t>bluinex2300a</t>
  </si>
  <si>
    <t>JY3619230960</t>
  </si>
  <si>
    <t>Phoenix</t>
  </si>
  <si>
    <t>CZ2419AN0226</t>
  </si>
  <si>
    <t>phoazex2200a</t>
  </si>
  <si>
    <t>CV0215150517</t>
  </si>
  <si>
    <t>lasnvex2300a</t>
  </si>
  <si>
    <t>JY0219020002</t>
  </si>
  <si>
    <t>Asset Name</t>
  </si>
  <si>
    <t>Product Type</t>
  </si>
  <si>
    <t>Product</t>
  </si>
  <si>
    <t>JY3620310526</t>
  </si>
  <si>
    <t>JY3620480849</t>
  </si>
  <si>
    <t>IP Address</t>
  </si>
  <si>
    <t>10.185.1.20</t>
  </si>
  <si>
    <t>10.185.0.20</t>
  </si>
  <si>
    <t>10.185.1.41</t>
  </si>
  <si>
    <t>10.185.0.41</t>
  </si>
  <si>
    <t>10.185.0.18</t>
  </si>
  <si>
    <t>10.185.1.167</t>
  </si>
  <si>
    <t>10.185.0.133</t>
  </si>
  <si>
    <t>10.185.0.135</t>
  </si>
  <si>
    <t>10.185.0.167</t>
  </si>
  <si>
    <t>10.185.0.94</t>
  </si>
  <si>
    <t>10.185.1.94</t>
  </si>
  <si>
    <t>10.185.1.97</t>
  </si>
  <si>
    <t>10.185.3.32</t>
  </si>
  <si>
    <t>10.185.1.32</t>
  </si>
  <si>
    <t>10.185.2.32</t>
  </si>
  <si>
    <t>10.185.0.96</t>
  </si>
  <si>
    <t>10.185.1.96</t>
  </si>
  <si>
    <t>10.185.1.71</t>
  </si>
  <si>
    <t>10.185.0.71</t>
  </si>
  <si>
    <t>10.185.1.131</t>
  </si>
  <si>
    <t>10.185.0.131</t>
  </si>
  <si>
    <t>10.185.0.123</t>
  </si>
  <si>
    <t>10.185.222.22</t>
  </si>
  <si>
    <t>10.185.0.31</t>
  </si>
  <si>
    <t>10.185.2.31</t>
  </si>
  <si>
    <t>10.185.1.31</t>
  </si>
  <si>
    <t>10.185.1.64</t>
  </si>
  <si>
    <t>10.185.0.64</t>
  </si>
  <si>
    <t>10.185.0.92</t>
  </si>
  <si>
    <t>10.185.1.92</t>
  </si>
  <si>
    <t>10.185.0.32</t>
  </si>
  <si>
    <t>10.185.0.10</t>
  </si>
  <si>
    <t>10.185.222.33</t>
  </si>
  <si>
    <t>10.185.222.44</t>
  </si>
  <si>
    <t>10.191.135.5</t>
  </si>
  <si>
    <t>10.185.222.55</t>
  </si>
  <si>
    <t>10.185.1.168</t>
  </si>
  <si>
    <t>10.185.0.168</t>
  </si>
  <si>
    <t>10.185.0.19</t>
  </si>
  <si>
    <t>10.185.0.183</t>
  </si>
  <si>
    <t>10.185.0.93</t>
  </si>
  <si>
    <t>10.185.1.93</t>
  </si>
  <si>
    <t>10.185.0.42</t>
  </si>
  <si>
    <t>10.185.0.36</t>
  </si>
  <si>
    <t>10.185.3.36</t>
  </si>
  <si>
    <t>10.185.0.34</t>
  </si>
  <si>
    <t>10.185.0.28</t>
  </si>
  <si>
    <t>10.185.1.28</t>
  </si>
  <si>
    <t>10.185.0.128</t>
  </si>
  <si>
    <t>10.185.2.128</t>
  </si>
  <si>
    <t>10.185.0.17</t>
  </si>
  <si>
    <t>10.185.1.17</t>
  </si>
  <si>
    <t>10.185.0.130</t>
  </si>
  <si>
    <t>10.185.1.130</t>
  </si>
  <si>
    <t>10.185.0.144</t>
  </si>
  <si>
    <t>10.185.1.144</t>
  </si>
  <si>
    <t>10.185.1.24</t>
  </si>
  <si>
    <t>10.185.0.24</t>
  </si>
  <si>
    <t>10.185.0.61</t>
  </si>
  <si>
    <t>10.185.1.61</t>
  </si>
  <si>
    <t>10.185.0.97</t>
  </si>
  <si>
    <t>10.185.0.33</t>
  </si>
  <si>
    <t>10.185.1.33</t>
  </si>
  <si>
    <t>10.185.0.132</t>
  </si>
  <si>
    <t>10.185.1.132</t>
  </si>
  <si>
    <t>10.185.0.91</t>
  </si>
  <si>
    <t>10.185.1.91</t>
  </si>
  <si>
    <t>10.185.2.91</t>
  </si>
  <si>
    <t>10.185.0.16</t>
  </si>
  <si>
    <t>10.185.0.95</t>
  </si>
  <si>
    <t>10.185.0.98</t>
  </si>
  <si>
    <t>10.185.0.190</t>
  </si>
  <si>
    <t>10.190.12.5</t>
  </si>
  <si>
    <t>10.185.0.65</t>
  </si>
  <si>
    <t>10.185.0.72</t>
  </si>
  <si>
    <t>10.185.0.38</t>
  </si>
  <si>
    <t>10.185.0.108</t>
  </si>
  <si>
    <t>10.185.0.30</t>
  </si>
  <si>
    <t>10.185.1.44</t>
  </si>
  <si>
    <t>10.185.0.40</t>
  </si>
  <si>
    <t>10.185.1.40</t>
  </si>
  <si>
    <t>10.185.2.40</t>
  </si>
  <si>
    <t>10.185.1.26</t>
  </si>
  <si>
    <t>10.185.0.26</t>
  </si>
  <si>
    <t>Product Manufacturer</t>
  </si>
  <si>
    <t>JY0218350601</t>
  </si>
  <si>
    <t>18.1R3.3</t>
  </si>
  <si>
    <t>JY0220130473</t>
  </si>
  <si>
    <t>19.4R3-S1.3</t>
  </si>
  <si>
    <t>Assign to</t>
  </si>
  <si>
    <t>Expiry Date</t>
  </si>
  <si>
    <t>Warranty Expiry Date</t>
  </si>
  <si>
    <t>Acquisition Date</t>
  </si>
  <si>
    <t>Vendor</t>
  </si>
  <si>
    <t>barcode</t>
  </si>
  <si>
    <t>Purchase Cost</t>
  </si>
  <si>
    <t>Asset Tag</t>
  </si>
  <si>
    <t>Location</t>
  </si>
  <si>
    <t>Site</t>
  </si>
  <si>
    <t>Retain Use</t>
  </si>
  <si>
    <t>MAC Address</t>
  </si>
  <si>
    <t>Is Loanable</t>
  </si>
  <si>
    <t>Firewall</t>
  </si>
  <si>
    <t>Switch</t>
  </si>
  <si>
    <t>Mark Thompson</t>
  </si>
  <si>
    <t xml:space="preserve"> EX2300</t>
  </si>
  <si>
    <t xml:space="preserve"> SRX345</t>
  </si>
  <si>
    <t xml:space="preserve"> SRX 1500</t>
  </si>
  <si>
    <t xml:space="preserve"> EX3300</t>
  </si>
  <si>
    <t xml:space="preserve"> EX3300 48P</t>
  </si>
  <si>
    <t xml:space="preserve"> EX4300-24t</t>
  </si>
  <si>
    <t xml:space="preserve"> QFX5100-48S</t>
  </si>
  <si>
    <t>18.2R3-S4.1</t>
  </si>
  <si>
    <t>Column1</t>
  </si>
  <si>
    <t>320522</t>
  </si>
  <si>
    <t>060301</t>
  </si>
  <si>
    <t>150451</t>
  </si>
  <si>
    <t>150517</t>
  </si>
  <si>
    <t>AF0016</t>
  </si>
  <si>
    <t>AF0302</t>
  </si>
  <si>
    <t>AF0307</t>
  </si>
  <si>
    <t>AF1209</t>
  </si>
  <si>
    <t>AF1289</t>
  </si>
  <si>
    <t>AF0485</t>
  </si>
  <si>
    <t>AN1081</t>
  </si>
  <si>
    <t>AN1181</t>
  </si>
  <si>
    <t>AF0122</t>
  </si>
  <si>
    <t>AN0226</t>
  </si>
  <si>
    <t>AN0619</t>
  </si>
  <si>
    <t>AN0206</t>
  </si>
  <si>
    <t>AN0824</t>
  </si>
  <si>
    <t>AN0842</t>
  </si>
  <si>
    <t>AN0886</t>
  </si>
  <si>
    <t>AF0023</t>
  </si>
  <si>
    <t>AN0028</t>
  </si>
  <si>
    <t>AN0073</t>
  </si>
  <si>
    <t>AN0120</t>
  </si>
  <si>
    <t>AN0137</t>
  </si>
  <si>
    <t>AN0141</t>
  </si>
  <si>
    <t>AN0163</t>
  </si>
  <si>
    <t>AN0327</t>
  </si>
  <si>
    <t>AN0332</t>
  </si>
  <si>
    <t>AN0336</t>
  </si>
  <si>
    <t>AN0341</t>
  </si>
  <si>
    <t>AN0346</t>
  </si>
  <si>
    <t>AN0375</t>
  </si>
  <si>
    <t>AN0386</t>
  </si>
  <si>
    <t>AN0388</t>
  </si>
  <si>
    <t>AN0397</t>
  </si>
  <si>
    <t>AN0511</t>
  </si>
  <si>
    <t>AN0512</t>
  </si>
  <si>
    <t>AN0589</t>
  </si>
  <si>
    <t>AN0077</t>
  </si>
  <si>
    <t>AF0048</t>
  </si>
  <si>
    <t>AF0052</t>
  </si>
  <si>
    <t>AF0119</t>
  </si>
  <si>
    <t>AF0130</t>
  </si>
  <si>
    <t>AF0182</t>
  </si>
  <si>
    <t>AN0505</t>
  </si>
  <si>
    <t>AK0006</t>
  </si>
  <si>
    <t>AK0040</t>
  </si>
  <si>
    <t>AN0179</t>
  </si>
  <si>
    <t>AN0259</t>
  </si>
  <si>
    <t>AN0320</t>
  </si>
  <si>
    <t>483866</t>
  </si>
  <si>
    <t>280790</t>
  </si>
  <si>
    <t>510264</t>
  </si>
  <si>
    <t>340353</t>
  </si>
  <si>
    <t>290410</t>
  </si>
  <si>
    <t>380305</t>
  </si>
  <si>
    <t>400123</t>
  </si>
  <si>
    <t>400356</t>
  </si>
  <si>
    <t>400588</t>
  </si>
  <si>
    <t>320035</t>
  </si>
  <si>
    <t>320785</t>
  </si>
  <si>
    <t>320883</t>
  </si>
  <si>
    <t>350601</t>
  </si>
  <si>
    <t>020002</t>
  </si>
  <si>
    <t>020313</t>
  </si>
  <si>
    <t>130072</t>
  </si>
  <si>
    <t>130473</t>
  </si>
  <si>
    <t>050067</t>
  </si>
  <si>
    <t>230854</t>
  </si>
  <si>
    <t>230872</t>
  </si>
  <si>
    <t>230960</t>
  </si>
  <si>
    <t>190005</t>
  </si>
  <si>
    <t>230765</t>
  </si>
  <si>
    <t>310030</t>
  </si>
  <si>
    <t>310146</t>
  </si>
  <si>
    <t>310405</t>
  </si>
  <si>
    <t>310526</t>
  </si>
  <si>
    <t>310531</t>
  </si>
  <si>
    <t>310576</t>
  </si>
  <si>
    <t>340814</t>
  </si>
  <si>
    <t>410111</t>
  </si>
  <si>
    <t>410159</t>
  </si>
  <si>
    <t>410531</t>
  </si>
  <si>
    <t>480849</t>
  </si>
  <si>
    <t>500053</t>
  </si>
  <si>
    <t>330089</t>
  </si>
  <si>
    <t>170695</t>
  </si>
  <si>
    <t>220289</t>
  </si>
  <si>
    <t>Serial No.</t>
  </si>
  <si>
    <t>Start Date</t>
  </si>
  <si>
    <t>End Date</t>
  </si>
  <si>
    <t>N/A</t>
  </si>
  <si>
    <t>Registration Date</t>
  </si>
  <si>
    <t>Ship Date</t>
  </si>
  <si>
    <t>Contract ID</t>
  </si>
  <si>
    <t>Contract Status</t>
  </si>
  <si>
    <t>Service Level</t>
  </si>
  <si>
    <t>0065084665</t>
  </si>
  <si>
    <t>Active</t>
  </si>
  <si>
    <t>S-SRX345-A1-3</t>
  </si>
  <si>
    <t>0060714671</t>
  </si>
  <si>
    <t>SVC-ND-SRX345JB</t>
  </si>
  <si>
    <t>0060691946</t>
  </si>
  <si>
    <t>SVC-CP-SRX345JB</t>
  </si>
  <si>
    <t>0068258729</t>
  </si>
  <si>
    <t>0060693361</t>
  </si>
  <si>
    <t>0065087381</t>
  </si>
  <si>
    <t>SRX345-IPS-1</t>
  </si>
  <si>
    <t>0060709032</t>
  </si>
  <si>
    <t>0068258728</t>
  </si>
  <si>
    <t>SRX1500-IPS-1</t>
  </si>
  <si>
    <t>SVC-ND-SRX1500JE</t>
  </si>
  <si>
    <t>SVC-ND-SRX345B2A</t>
  </si>
  <si>
    <t>SVC-ND-EX3300-48P</t>
  </si>
  <si>
    <t>SVC-ND-EX23-48P</t>
  </si>
  <si>
    <t>SVC-CP-EX23-48P</t>
  </si>
  <si>
    <t>SVC-ND-EX23-24P</t>
  </si>
  <si>
    <t>SVC-CP-EX23-24P</t>
  </si>
  <si>
    <t>0060720600</t>
  </si>
  <si>
    <t>SVC-ND-EX4300T24</t>
  </si>
  <si>
    <t>SVC-ND-QFX5100S4</t>
  </si>
  <si>
    <t>Column2</t>
  </si>
  <si>
    <t>Column3</t>
  </si>
  <si>
    <t>Column4</t>
  </si>
  <si>
    <t>0068176539</t>
  </si>
  <si>
    <t>Expired</t>
  </si>
  <si>
    <t>SVC-ND-EX2200-24P</t>
  </si>
  <si>
    <t>SVC-COR-EX2200-24P</t>
  </si>
  <si>
    <t>SVC-ND-SRX345HW</t>
  </si>
  <si>
    <t>0060640334</t>
  </si>
  <si>
    <t>0068224527</t>
  </si>
  <si>
    <t>SVC-ND-EX2200-C-12P</t>
  </si>
  <si>
    <t>SVC-COR-EX2200-C-12P</t>
  </si>
  <si>
    <t>DC Name</t>
  </si>
  <si>
    <t>External IP</t>
  </si>
  <si>
    <t>Speed</t>
  </si>
  <si>
    <t>City</t>
  </si>
  <si>
    <t>State</t>
  </si>
  <si>
    <t>Zipcode</t>
  </si>
  <si>
    <t>CircuitID</t>
  </si>
  <si>
    <t>Service type</t>
  </si>
  <si>
    <t>Firewall IP</t>
  </si>
  <si>
    <t>Site Num</t>
  </si>
  <si>
    <t>DATA (10.176.#.x)</t>
  </si>
  <si>
    <t>VOIP (10.186.#.x)</t>
  </si>
  <si>
    <t>NETWORK (10.185.x.#)</t>
  </si>
  <si>
    <t>WIRELESS(10.184.#.x)</t>
  </si>
  <si>
    <t>OS Ver</t>
  </si>
  <si>
    <t>COS</t>
  </si>
  <si>
    <t>SYSLOG</t>
  </si>
  <si>
    <t>FLOW</t>
  </si>
  <si>
    <t>UPS</t>
  </si>
  <si>
    <t>12.3X48-D105.4</t>
  </si>
  <si>
    <t>X</t>
  </si>
  <si>
    <t>NEEDS REBOOT</t>
  </si>
  <si>
    <t>10.186.231.x</t>
  </si>
  <si>
    <t>10.186.232.x</t>
  </si>
  <si>
    <t>10.186.235.x</t>
  </si>
  <si>
    <t>VOIP phone</t>
  </si>
  <si>
    <t>10.191.255.6</t>
  </si>
  <si>
    <t>Greenville</t>
  </si>
  <si>
    <t>Oklahoma City</t>
  </si>
  <si>
    <t>Syracuse</t>
  </si>
  <si>
    <t>Tuscaloosa</t>
  </si>
  <si>
    <t>Denver</t>
  </si>
  <si>
    <t>Springdale</t>
  </si>
  <si>
    <t>RENNVEX2300a</t>
  </si>
  <si>
    <t>ALELAEX2300b</t>
  </si>
  <si>
    <t>GRESCCORE4300</t>
  </si>
  <si>
    <t>SPAQFX5100</t>
  </si>
  <si>
    <t>GRESCSRX1500</t>
  </si>
  <si>
    <t>TOPKASRX345</t>
  </si>
  <si>
    <t>CORGASRX345</t>
  </si>
  <si>
    <t>LEBTNSRX345</t>
  </si>
  <si>
    <t>MEMTNSRX345</t>
  </si>
  <si>
    <t>COLSCSRX345</t>
  </si>
  <si>
    <t>ROCNCSRX345</t>
  </si>
  <si>
    <t>MOBALSRX345</t>
  </si>
  <si>
    <t>BEAWISRX345</t>
  </si>
  <si>
    <t>OKLOKSRX345</t>
  </si>
  <si>
    <t>SANTXSRX345</t>
  </si>
  <si>
    <t>BALMDSRX345</t>
  </si>
  <si>
    <t>HARPASRX345</t>
  </si>
  <si>
    <t>LUBTXSRX345</t>
  </si>
  <si>
    <t>ATLGASRX345</t>
  </si>
  <si>
    <t>JOPMOSRX345</t>
  </si>
  <si>
    <t>HOUTXSRX345</t>
  </si>
  <si>
    <t>SPASCSRX1500</t>
  </si>
  <si>
    <t>ALBNMSRX345</t>
  </si>
  <si>
    <t>PHOAZSRX345</t>
  </si>
  <si>
    <t>CINOHSRX345</t>
  </si>
  <si>
    <t>LASNVSRX345</t>
  </si>
  <si>
    <t>TULOKSRX345</t>
  </si>
  <si>
    <t>DALTXSRX345</t>
  </si>
  <si>
    <t>BLUIASRX345</t>
  </si>
  <si>
    <t>RENNCSRX345</t>
  </si>
  <si>
    <t>LANMISRX345</t>
  </si>
  <si>
    <t>WATMESRX345</t>
  </si>
  <si>
    <t>SYRNYSRX345</t>
  </si>
  <si>
    <t>LAKMASRX345</t>
  </si>
  <si>
    <t>ALELASRX345</t>
  </si>
  <si>
    <t>LAFLASRX345</t>
  </si>
  <si>
    <t>TUSOKSRX345</t>
  </si>
  <si>
    <t>PUECOSRX345</t>
  </si>
  <si>
    <t>DENCOSRX345</t>
  </si>
  <si>
    <r>
      <t>SPRAR</t>
    </r>
    <r>
      <rPr>
        <b/>
        <sz val="11"/>
        <color rgb="FF000080"/>
        <rFont val="Calibri"/>
        <family val="2"/>
      </rPr>
      <t>SRX345</t>
    </r>
  </si>
  <si>
    <t>CLEOHSRX345</t>
  </si>
  <si>
    <t>LOUMOSRX345</t>
  </si>
  <si>
    <t>MINMNSRX345</t>
  </si>
  <si>
    <t>FARNDSRX345</t>
  </si>
  <si>
    <t>LACWISRX345</t>
  </si>
  <si>
    <t>BILMTSRX345</t>
  </si>
  <si>
    <t>SIOIASRX345</t>
  </si>
  <si>
    <t>SIOSDSRX345</t>
  </si>
  <si>
    <t>RAPSDSRX345</t>
  </si>
  <si>
    <t>CEDIASRX345</t>
  </si>
  <si>
    <t>North Las Vegas</t>
  </si>
  <si>
    <t>Bluffton</t>
  </si>
  <si>
    <t>Broken Arrow</t>
  </si>
  <si>
    <t>Lacrosse</t>
  </si>
  <si>
    <t>Marion</t>
  </si>
  <si>
    <t>Black 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</si>
</sst>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15">
    <font>
      <sz val="11"/>
      <color indexed="8"/>
      <name val="Calibri"/>
      <family val="2"/>
      <scheme val="minor"/>
    </font>
    <font>
      <b/>
      <sz val="11"/>
      <color indexed="18"/>
      <name val="Calibri"/>
    </font>
    <font>
      <sz val="11"/>
      <color indexed="18"/>
      <name val="Calibri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 (Body)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00008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F6F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/>
    <xf numFmtId="164" fontId="0" fillId="0" borderId="0" xfId="0" applyNumberFormat="1"/>
    <xf numFmtId="165" fontId="0" fillId="0" borderId="0" xfId="0" applyNumberFormat="1"/>
    <xf numFmtId="165" fontId="3" fillId="2" borderId="1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6" fillId="5" borderId="0" xfId="0" applyFont="1" applyFill="1"/>
    <xf numFmtId="0" fontId="9" fillId="6" borderId="4" xfId="0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left" vertical="center"/>
    </xf>
    <xf numFmtId="0" fontId="0" fillId="0" borderId="1" xfId="0" applyBorder="1"/>
    <xf numFmtId="1" fontId="0" fillId="0" borderId="1" xfId="0" applyNumberFormat="1" applyBorder="1"/>
    <xf numFmtId="0" fontId="10" fillId="0" borderId="3" xfId="0" applyFont="1" applyBorder="1"/>
    <xf numFmtId="0" fontId="12" fillId="8" borderId="6" xfId="1" applyFont="1" applyFill="1" applyBorder="1" applyAlignment="1">
      <alignment vertical="center"/>
    </xf>
    <xf numFmtId="0" fontId="12" fillId="8" borderId="6" xfId="1" applyNumberFormat="1" applyFont="1" applyFill="1" applyBorder="1" applyAlignment="1">
      <alignment vertical="center"/>
    </xf>
    <xf numFmtId="1" fontId="13" fillId="8" borderId="6" xfId="0" applyNumberFormat="1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0" fillId="0" borderId="6" xfId="0" applyBorder="1"/>
    <xf numFmtId="0" fontId="10" fillId="0" borderId="7" xfId="0" applyFont="1" applyBorder="1"/>
    <xf numFmtId="49" fontId="9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0" fillId="0" borderId="1" xfId="0" applyNumberFormat="1" applyBorder="1"/>
    <xf numFmtId="49" fontId="12" fillId="8" borderId="6" xfId="1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49" fontId="4" fillId="0" borderId="2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165" formatCode="[$-409]d\-mmm\-yy;@"/>
      <alignment horizontal="center" vertical="center" textRotation="0" wrapText="0" indent="0" justifyLastLine="0" shrinkToFit="0" readingOrder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numFmt numFmtId="164" formatCode="[$-409]d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solid">
          <fgColor indexed="64"/>
          <bgColor indexed="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165" formatCode="[$-409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165" formatCode="[$-409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numFmt numFmtId="165" formatCode="[$-409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meronashley-my.sharepoint.com/personal/markthompson_cameronashleybp_com/Documents/Security/Documentation/Network%20Docu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formation"/>
      <sheetName val="Sheet2"/>
      <sheetName val="Distribution Branches"/>
      <sheetName val="Building"/>
      <sheetName val="Network Assets"/>
      <sheetName val="Sheet Yeah!"/>
      <sheetName val="Network"/>
      <sheetName val="Syslog"/>
      <sheetName val="External IPs"/>
      <sheetName val="Circuit Info"/>
      <sheetName val="Registered Domains"/>
      <sheetName val="Netblock Info"/>
      <sheetName val="Domainnames"/>
      <sheetName val="RingCentral"/>
      <sheetName val="Cable Categories"/>
      <sheetName val="Site Info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111EE-910E-411F-A625-6DE07B24D01F}" name="Table1" displayName="Table1" ref="A1:T89" totalsRowShown="0" headerRowDxfId="57" dataDxfId="56">
  <autoFilter ref="A1:T89" xr:uid="{C57111EE-910E-411F-A625-6DE07B24D01F}"/>
  <sortState xmlns:xlrd2="http://schemas.microsoft.com/office/spreadsheetml/2017/richdata2" ref="A2:T89">
    <sortCondition ref="Q1:Q89"/>
  </sortState>
  <tableColumns count="20">
    <tableColumn id="1" xr3:uid="{FB1254BF-C918-43E6-8FBF-1E5C1187BD73}" name="Asset Name" dataDxfId="55"/>
    <tableColumn id="2" xr3:uid="{0FA2B83F-A5BD-4D19-B42C-775553766E40}" name="Product" dataDxfId="54"/>
    <tableColumn id="3" xr3:uid="{376EDB9A-69D4-44F8-A0B5-B56F48EE3CDA}" name="Product Type" dataDxfId="53"/>
    <tableColumn id="8" xr3:uid="{57E31D3B-DCA0-43DF-90B7-70BDF0323CBB}" name="Assign to" dataDxfId="52"/>
    <tableColumn id="9" xr3:uid="{3EDF871C-0EC7-4DF9-82A2-59DF4404DC2F}" name="Expiry Date" dataDxfId="51">
      <calculatedColumnFormula>_xlfn.XLOOKUP(Table1[[#This Row],[Serial Number]],Table13[Serial No.],Table13[End Date])</calculatedColumnFormula>
    </tableColumn>
    <tableColumn id="13" xr3:uid="{53FFC45C-E6C3-4BBF-89D8-15625C4D1235}" name="Warranty Expiry Date" dataDxfId="50">
      <calculatedColumnFormula>_xlfn.XLOOKUP(Table1[[#This Row],[Serial Number]],Table13[Serial No.],Table13[End Date])</calculatedColumnFormula>
    </tableColumn>
    <tableColumn id="12" xr3:uid="{03BF1AE8-700C-43EF-B031-BDFFE5769F24}" name="Acquisition Date" dataDxfId="49">
      <calculatedColumnFormula>_xlfn.XLOOKUP(Table1[[#This Row],[Serial Number]],Table13[Serial No.],Table13[Registration Date])</calculatedColumnFormula>
    </tableColumn>
    <tableColumn id="11" xr3:uid="{526D6429-ABAE-4A81-94A5-DA93906E1B2B}" name="Vendor" dataDxfId="48"/>
    <tableColumn id="4" xr3:uid="{EF328F82-3C20-4C19-9D68-3F7D89279E33}" name="Serial Number" dataDxfId="47"/>
    <tableColumn id="14" xr3:uid="{CF2350E7-9715-48BB-8047-8D95855D4E1D}" name="barcode" dataDxfId="46"/>
    <tableColumn id="15" xr3:uid="{D36BD06A-9247-401A-9C59-E30403D281BE}" name="Purchase Cost" dataDxfId="45"/>
    <tableColumn id="16" xr3:uid="{9C70BA66-F9B8-473B-A6D8-51AAA1FBF4B8}" name="Asset Tag" dataDxfId="44"/>
    <tableColumn id="17" xr3:uid="{B19E2665-2678-41A7-A765-B8914BC18B60}" name="Location" dataDxfId="5">
      <calculatedColumnFormula>_xlfn.XLOOKUP(Table1[[#This Row],[IP Address]],Table2[Firewall IP],Table2[City])</calculatedColumnFormula>
    </tableColumn>
    <tableColumn id="18" xr3:uid="{5A7B60F1-9F5B-4CF0-BA47-5918696E1FAA}" name="Site" dataDxfId="0">
      <calculatedColumnFormula>RIGHT(Table1[[#This Row],[IP Address]],LEN(Table1[[#This Row],[IP Address]])-9)</calculatedColumnFormula>
    </tableColumn>
    <tableColumn id="19" xr3:uid="{2412977B-5DCE-4066-AAB7-28485693A605}" name="Retain Use" dataDxfId="1"/>
    <tableColumn id="5" xr3:uid="{757CFBE2-ECD8-415D-A014-76806868A84A}" name="Product Manufacturer" dataDxfId="43"/>
    <tableColumn id="20" xr3:uid="{EF771C6F-15E9-4148-810B-1735B6270858}" name="IP Address" dataDxfId="3"/>
    <tableColumn id="21" xr3:uid="{26AD070A-50FB-444E-9324-5D380B7F6705}" name="MAC Address" dataDxfId="42"/>
    <tableColumn id="22" xr3:uid="{FC0E7972-97DE-45BE-92B0-BCBB54DAA0AC}" name="Is Loanable" dataDxfId="41"/>
    <tableColumn id="6" xr3:uid="{F2DF34BA-79BD-43F5-89A2-564015B351F7}" name="OS Version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70531-C16C-4A51-844D-F6FD6F56A390}" name="Table13" displayName="Table13" ref="U1:AC1048576" totalsRowShown="0" headerRowDxfId="39">
  <autoFilter ref="U1:AC1048576" xr:uid="{26F70531-C16C-4A51-844D-F6FD6F56A390}"/>
  <sortState xmlns:xlrd2="http://schemas.microsoft.com/office/spreadsheetml/2017/richdata2" ref="U2:X91">
    <sortCondition ref="U1:U91"/>
  </sortState>
  <tableColumns count="9">
    <tableColumn id="1" xr3:uid="{651D8F0F-7CC3-4B09-9295-69F67C87D9BC}" name="Serial No."/>
    <tableColumn id="6" xr3:uid="{D3BC91E4-FBB7-4F91-B6AD-D8DA3EAD655B}" name="Registration Date" dataDxfId="38"/>
    <tableColumn id="4" xr3:uid="{C421E601-6B47-4D2B-9C51-DA952F3E2ABA}" name="Ship Date" dataDxfId="37"/>
    <tableColumn id="5" xr3:uid="{52E1B40B-CB94-44C4-B210-E9FA4D048661}" name="Warranty Expiry Date" dataDxfId="36"/>
    <tableColumn id="7" xr3:uid="{32DB997E-EE13-4654-B4D7-25E15792D71A}" name="Contract ID" dataDxfId="35"/>
    <tableColumn id="8" xr3:uid="{A1CA5D78-CBED-4AE9-B963-7CC5DB46D3DC}" name="Start Date" dataDxfId="34"/>
    <tableColumn id="9" xr3:uid="{CB31CA21-9F45-43AA-AD4C-4E0108E43706}" name="End Date" dataDxfId="33"/>
    <tableColumn id="10" xr3:uid="{2661D1FA-7D73-44F4-B081-464D2F8DCC17}" name="Contract Status" dataDxfId="32"/>
    <tableColumn id="11" xr3:uid="{31826209-3E0D-49E2-A21F-C01E1AB99DDA}" name="Service Level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16C5FC-CC2B-4220-ABA4-8DCF3500C0F2}" name="Table2" displayName="Table2" ref="AE1:BB49" totalsRowShown="0" headerRowDxfId="30" headerRowBorderDxfId="29" tableBorderDxfId="28">
  <autoFilter ref="AE1:BB49" xr:uid="{9816C5FC-CC2B-4220-ABA4-8DCF3500C0F2}"/>
  <sortState xmlns:xlrd2="http://schemas.microsoft.com/office/spreadsheetml/2017/richdata2" ref="AE2:BB49">
    <sortCondition ref="AO1:AO49"/>
  </sortState>
  <tableColumns count="24">
    <tableColumn id="19" xr3:uid="{077EE2B3-FA43-4BE8-9E23-EA38839D3108}" name="DC Name" dataDxfId="27">
      <calculatedColumnFormula>_xlfn.XLOOKUP(Table2[[#This Row],[Site Num]],[1]!Table57[Branch ID],[1]!Table57[DC Name],"UNKNOWN")</calculatedColumnFormula>
    </tableColumn>
    <tableColumn id="3" xr3:uid="{67BB92F8-6A6A-4CAE-8BF5-6171D8C82304}" name="External IP" dataDxfId="26">
      <calculatedColumnFormula>_xlfn.XLOOKUP(Table2[[#This Row],[Site Num]],[1]!Table57[Branch ID],[1]!Table57[External IP Address],"N/A")</calculatedColumnFormula>
    </tableColumn>
    <tableColumn id="26" xr3:uid="{5A3B4E80-EFFB-4E20-892E-7708CCF415F3}" name="Speed" dataDxfId="25">
      <calculatedColumnFormula>_xlfn.XLOOKUP(Table2[[#This Row],[Site Num]],[1]!Table57[Branch ID],[1]!Table57[Port Speed],"N/A")</calculatedColumnFormula>
    </tableColumn>
    <tableColumn id="23" xr3:uid="{CA630D05-0EAE-4560-A827-CBBA6832BBA3}" name="City" dataDxfId="6">
      <calculatedColumnFormula>_xlfn.XLOOKUP(Table2[[#This Row],[Site Num]],[1]!Table57[Branch ID],[1]!Table57[City],"N/A")</calculatedColumnFormula>
    </tableColumn>
    <tableColumn id="22" xr3:uid="{3A52CBD8-EBD4-4081-AB03-9B63020E87D0}" name="State" dataDxfId="24">
      <calculatedColumnFormula>_xlfn.XLOOKUP(Table2[[#This Row],[Site Num]],[1]!Table57[Branch ID],[1]!Table57[State],"N/A")</calculatedColumnFormula>
    </tableColumn>
    <tableColumn id="24" xr3:uid="{E65D0331-619B-4419-AB54-064B1AE0D3B9}" name="Zipcode" dataDxfId="23">
      <calculatedColumnFormula>_xlfn.XLOOKUP(Table2[[#This Row],[Site Num]],[1]!Table57[Branch ID],[1]!Table57[ZIP Code],"N/A")</calculatedColumnFormula>
    </tableColumn>
    <tableColumn id="25" xr3:uid="{8591A7F7-A1A1-42CB-9CC9-A95E245422BD}" name="CircuitID" dataDxfId="22">
      <calculatedColumnFormula>_xlfn.XLOOKUP(Table2[[#This Row],[Site Num]],[1]!Table57[Branch ID],[1]!Table57[Circuit ID],"N/A")</calculatedColumnFormula>
    </tableColumn>
    <tableColumn id="20" xr3:uid="{1BBBDC3D-4C00-4DCA-BD7D-BC6AC588CFD5}" name="Service type" dataDxfId="21">
      <calculatedColumnFormula>_xlfn.XLOOKUP(Table2[[#This Row],[Site Num]],[1]!Table57[Branch ID],[1]!Table57[ServiceType],"N/A")</calculatedColumnFormula>
    </tableColumn>
    <tableColumn id="21" xr3:uid="{8621CE85-3AC4-4233-AE9A-F887059AA5BB}" name="Vendor" dataDxfId="20">
      <calculatedColumnFormula>_xlfn.XLOOKUP(Table2[[#This Row],[Site Num]],[1]!Table57[Branch ID],[1]!Table57[Vendor],"N/A")</calculatedColumnFormula>
    </tableColumn>
    <tableColumn id="4" xr3:uid="{CED39372-668F-43DB-AE90-8602CB4D7A6D}" name="Firewall IP" dataDxfId="2"/>
    <tableColumn id="5" xr3:uid="{DC6A7C28-97D3-4ECB-B57F-7CF6C2F43969}" name="Site Num" dataDxfId="4"/>
    <tableColumn id="6" xr3:uid="{1940C13E-8FFC-4E22-A049-D39BABCA2726}" name="DATA (10.176.#.x)" dataDxfId="19"/>
    <tableColumn id="7" xr3:uid="{7038A885-D70D-4DE5-A1AD-CF2FA6358194}" name="VOIP (10.186.#.x)" dataDxfId="18"/>
    <tableColumn id="8" xr3:uid="{346AA464-9C68-4B03-AA3C-E49B18276E4A}" name="Column1" dataDxfId="17"/>
    <tableColumn id="9" xr3:uid="{655BD86B-1158-48DE-8ADF-3DBC95DA20FD}" name="Column2" dataDxfId="16"/>
    <tableColumn id="10" xr3:uid="{FFD0593A-62F7-4720-8070-9162088F3C65}" name="Column3" dataDxfId="15"/>
    <tableColumn id="11" xr3:uid="{84F70883-266D-414B-9EEC-75ED3B8DBE14}" name="Column4" dataDxfId="14"/>
    <tableColumn id="12" xr3:uid="{6B11CD0A-714C-4234-90B4-64EAFEC72AEF}" name="NETWORK (10.185.x.#)" dataDxfId="13"/>
    <tableColumn id="13" xr3:uid="{3893D65E-DA4D-4C1E-A246-58BB949F8A92}" name="WIRELESS(10.184.#.x)" dataDxfId="12"/>
    <tableColumn id="14" xr3:uid="{1ADE3124-EAFB-473D-BE63-263D423C3F1B}" name="OS Ver" dataDxfId="11"/>
    <tableColumn id="15" xr3:uid="{18696E8A-D10E-45D1-9BF1-89413D0D610E}" name="COS" dataDxfId="10"/>
    <tableColumn id="16" xr3:uid="{7A2B6D15-747F-4A07-BE24-9E94F59C000D}" name="SYSLOG" dataDxfId="9"/>
    <tableColumn id="17" xr3:uid="{5BB58AC5-11EB-4400-B07B-06023E6D48A8}" name="FLOW" dataDxfId="8"/>
    <tableColumn id="18" xr3:uid="{7FDAE8CE-3724-426D-B0A7-3428C70A6564}" name="UP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nvl-netops2.intra.guardianbpg.com:82/Report/report.aspx?det=Web50getdomain&amp;title=Computers%20in%20domain%20&amp;@domain=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8"/>
  <sheetViews>
    <sheetView tabSelected="1" topLeftCell="A42" workbookViewId="0">
      <pane xSplit="1" topLeftCell="H1" activePane="topRight" state="frozen"/>
      <selection pane="topRight" activeCell="N2" sqref="N2:N89"/>
    </sheetView>
  </sheetViews>
  <sheetFormatPr defaultColWidth="21.7109375" defaultRowHeight="15"/>
  <cols>
    <col min="3" max="3" width="17.140625" bestFit="1" customWidth="1"/>
    <col min="4" max="4" width="15.28515625" bestFit="1" customWidth="1"/>
    <col min="5" max="5" width="15.5703125" style="9" bestFit="1" customWidth="1"/>
    <col min="6" max="6" width="24.5703125" style="9" bestFit="1" customWidth="1"/>
    <col min="7" max="7" width="16.7109375" style="9" customWidth="1"/>
    <col min="8" max="8" width="12.140625" bestFit="1" customWidth="1"/>
    <col min="10" max="10" width="12.7109375" bestFit="1" customWidth="1"/>
    <col min="11" max="11" width="18" hidden="1" customWidth="1"/>
    <col min="12" max="12" width="13.85546875" hidden="1" customWidth="1"/>
    <col min="13" max="13" width="32" style="43" customWidth="1"/>
    <col min="14" max="14" width="43.140625" style="48" customWidth="1"/>
    <col min="15" max="15" width="15.140625" bestFit="1" customWidth="1"/>
    <col min="16" max="16" width="0" hidden="1" customWidth="1"/>
    <col min="17" max="17" width="21.7109375" style="43"/>
    <col min="21" max="24" width="19.5703125" customWidth="1"/>
    <col min="25" max="29" width="19.5703125" style="8" customWidth="1"/>
    <col min="34" max="35" width="21.7109375" style="43"/>
    <col min="40" max="40" width="21.7109375" style="43"/>
    <col min="41" max="41" width="21.7109375" style="48"/>
  </cols>
  <sheetData>
    <row r="1" spans="1:54">
      <c r="A1" t="s">
        <v>147</v>
      </c>
      <c r="B1" t="s">
        <v>149</v>
      </c>
      <c r="C1" s="4" t="s">
        <v>148</v>
      </c>
      <c r="D1" s="5" t="s">
        <v>242</v>
      </c>
      <c r="E1" s="10" t="s">
        <v>243</v>
      </c>
      <c r="F1" s="10" t="s">
        <v>244</v>
      </c>
      <c r="G1" s="10" t="s">
        <v>245</v>
      </c>
      <c r="H1" s="5" t="s">
        <v>246</v>
      </c>
      <c r="I1" s="2" t="s">
        <v>0</v>
      </c>
      <c r="J1" s="5" t="s">
        <v>247</v>
      </c>
      <c r="K1" s="5" t="s">
        <v>248</v>
      </c>
      <c r="L1" s="5" t="s">
        <v>249</v>
      </c>
      <c r="M1" s="44" t="s">
        <v>250</v>
      </c>
      <c r="N1" s="46" t="s">
        <v>251</v>
      </c>
      <c r="O1" s="5" t="s">
        <v>252</v>
      </c>
      <c r="P1" s="5" t="s">
        <v>237</v>
      </c>
      <c r="Q1" s="44" t="s">
        <v>152</v>
      </c>
      <c r="R1" s="5" t="s">
        <v>253</v>
      </c>
      <c r="S1" s="5" t="s">
        <v>254</v>
      </c>
      <c r="T1" s="3" t="s">
        <v>1</v>
      </c>
      <c r="U1" s="7" t="s">
        <v>355</v>
      </c>
      <c r="V1" s="7" t="s">
        <v>359</v>
      </c>
      <c r="W1" s="7" t="s">
        <v>360</v>
      </c>
      <c r="X1" s="7" t="s">
        <v>244</v>
      </c>
      <c r="Y1" s="12" t="s">
        <v>361</v>
      </c>
      <c r="Z1" s="12" t="s">
        <v>356</v>
      </c>
      <c r="AA1" s="12" t="s">
        <v>357</v>
      </c>
      <c r="AB1" s="12" t="s">
        <v>362</v>
      </c>
      <c r="AC1" s="12" t="s">
        <v>363</v>
      </c>
      <c r="AE1" s="13" t="s">
        <v>400</v>
      </c>
      <c r="AF1" s="13" t="s">
        <v>401</v>
      </c>
      <c r="AG1" s="14" t="s">
        <v>402</v>
      </c>
      <c r="AH1" s="14" t="s">
        <v>403</v>
      </c>
      <c r="AI1" s="14" t="s">
        <v>404</v>
      </c>
      <c r="AJ1" s="13" t="s">
        <v>405</v>
      </c>
      <c r="AK1" s="13" t="s">
        <v>406</v>
      </c>
      <c r="AL1" s="13" t="s">
        <v>407</v>
      </c>
      <c r="AM1" s="13" t="s">
        <v>246</v>
      </c>
      <c r="AN1" s="14" t="s">
        <v>408</v>
      </c>
      <c r="AO1" s="15" t="s">
        <v>409</v>
      </c>
      <c r="AP1" s="13" t="s">
        <v>410</v>
      </c>
      <c r="AQ1" s="13" t="s">
        <v>411</v>
      </c>
      <c r="AR1" s="13" t="s">
        <v>266</v>
      </c>
      <c r="AS1" s="13" t="s">
        <v>388</v>
      </c>
      <c r="AT1" s="13" t="s">
        <v>389</v>
      </c>
      <c r="AU1" s="13" t="s">
        <v>390</v>
      </c>
      <c r="AV1" s="13" t="s">
        <v>412</v>
      </c>
      <c r="AW1" s="13" t="s">
        <v>413</v>
      </c>
      <c r="AX1" s="16" t="s">
        <v>414</v>
      </c>
      <c r="AY1" s="16" t="s">
        <v>415</v>
      </c>
      <c r="AZ1" s="16" t="s">
        <v>416</v>
      </c>
      <c r="BA1" s="16" t="s">
        <v>417</v>
      </c>
      <c r="BB1" s="17" t="s">
        <v>418</v>
      </c>
    </row>
    <row r="2" spans="1:54">
      <c r="A2" s="6" t="s">
        <v>437</v>
      </c>
      <c r="B2" s="1" t="s">
        <v>260</v>
      </c>
      <c r="C2" s="1" t="s">
        <v>255</v>
      </c>
      <c r="D2" s="6" t="s">
        <v>257</v>
      </c>
      <c r="E2" s="11">
        <f>_xlfn.XLOOKUP(Table1[[#This Row],[Serial Number]],Table13[Serial No.],Table13[End Date])</f>
        <v>44923</v>
      </c>
      <c r="F2" s="11">
        <f>_xlfn.XLOOKUP(Table1[[#This Row],[Serial Number]],Table13[Serial No.],Table13[End Date])</f>
        <v>44923</v>
      </c>
      <c r="G2" s="11">
        <f>_xlfn.XLOOKUP(Table1[[#This Row],[Serial Number]],Table13[Serial No.],Table13[Registration Date])</f>
        <v>43859</v>
      </c>
      <c r="H2" s="1"/>
      <c r="I2" s="1" t="s">
        <v>44</v>
      </c>
      <c r="J2" s="1" t="s">
        <v>312</v>
      </c>
      <c r="K2" s="1"/>
      <c r="L2" s="1"/>
      <c r="M2" s="45" t="s">
        <v>427</v>
      </c>
      <c r="N2" s="47" t="str">
        <f>RIGHT(Table1[[#This Row],[IP Address]],LEN(Table1[[#This Row],[IP Address]])-9)</f>
        <v>10</v>
      </c>
      <c r="O2" s="1"/>
      <c r="P2" s="1" t="s">
        <v>4</v>
      </c>
      <c r="Q2" s="49" t="s">
        <v>184</v>
      </c>
      <c r="R2" s="1"/>
      <c r="S2" s="1"/>
      <c r="T2" s="1" t="s">
        <v>241</v>
      </c>
      <c r="U2" t="s">
        <v>93</v>
      </c>
      <c r="V2" s="8">
        <v>43621</v>
      </c>
      <c r="W2" s="8">
        <v>42753</v>
      </c>
      <c r="X2" s="8">
        <v>43346</v>
      </c>
      <c r="Y2" s="8" t="s">
        <v>364</v>
      </c>
      <c r="Z2" s="8">
        <v>44207</v>
      </c>
      <c r="AA2" s="8">
        <v>45331</v>
      </c>
      <c r="AB2" s="8" t="s">
        <v>365</v>
      </c>
      <c r="AC2" s="8" t="s">
        <v>366</v>
      </c>
      <c r="AE2" s="18" t="str">
        <f>_xlfn.XLOOKUP(Table2[[#This Row],[Site Num]],[1]!Table57[Branch ID],[1]!Table57[DC Name],"UNKNOWN")</f>
        <v>San Antonio</v>
      </c>
      <c r="AF2" s="18" t="str">
        <f>_xlfn.XLOOKUP(Table2[[#This Row],[Site Num]],[1]!Table57[Branch ID],[1]!Table57[External IP Address],"N/A")</f>
        <v>12.250.12.74</v>
      </c>
      <c r="AG2" s="18" t="str">
        <f>_xlfn.XLOOKUP(Table2[[#This Row],[Site Num]],[1]!Table57[Branch ID],[1]!Table57[Port Speed],"N/A")</f>
        <v>10x10</v>
      </c>
      <c r="AH2" s="38" t="str">
        <f>_xlfn.XLOOKUP(Table2[[#This Row],[Site Num]],[1]!Table57[Branch ID],[1]!Table57[City],"N/A")</f>
        <v>San Antonio</v>
      </c>
      <c r="AI2" s="38" t="str">
        <f>_xlfn.XLOOKUP(Table2[[#This Row],[Site Num]],[1]!Table57[Branch ID],[1]!Table57[State],"N/A")</f>
        <v>TX</v>
      </c>
      <c r="AJ2" s="18" t="str">
        <f>_xlfn.XLOOKUP(Table2[[#This Row],[Site Num]],[1]!Table57[Branch ID],[1]!Table57[ZIP Code],"N/A")</f>
        <v>78219</v>
      </c>
      <c r="AK2" s="18" t="str">
        <f>_xlfn.XLOOKUP(Table2[[#This Row],[Site Num]],[1]!Table57[Branch ID],[1]!Table57[Circuit ID],"N/A")</f>
        <v>33.RBBU.101217</v>
      </c>
      <c r="AL2" s="18" t="str">
        <f>_xlfn.XLOOKUP(Table2[[#This Row],[Site Num]],[1]!Table57[Branch ID],[1]!Table57[ServiceType],"N/A")</f>
        <v>Fiber</v>
      </c>
      <c r="AM2" s="18" t="str">
        <f>_xlfn.XLOOKUP(Table2[[#This Row],[Site Num]],[1]!Table57[Branch ID],[1]!Table57[Vendor],"N/A")</f>
        <v>MetTel</v>
      </c>
      <c r="AN2" s="38" t="str">
        <f t="shared" ref="AN2:AN45" si="0">SUBSTITUTE(AV2,"x","0")</f>
        <v>10.185.0.16</v>
      </c>
      <c r="AO2" s="19">
        <v>16</v>
      </c>
      <c r="AP2" s="20" t="str">
        <f t="shared" ref="AP2:AP45" si="1">TEXT("10.176.","text") &amp; AO2 &amp; ".X"</f>
        <v>10.176.16.X</v>
      </c>
      <c r="AQ2" s="20" t="str">
        <f t="shared" ref="AQ2:AQ45" si="2">TEXT("10.186.","text") &amp; AO2 &amp; ".x"</f>
        <v>10.186.16.x</v>
      </c>
      <c r="AR2" s="20" t="str">
        <f t="shared" ref="AR2:AR45" si="3">TEXT("10.184.","text") &amp; AO2 &amp; ".1"</f>
        <v>10.184.16.1</v>
      </c>
      <c r="AS2" s="20" t="str">
        <f t="shared" ref="AS2:AS45" si="4">TEXT("10.184.","text") &amp; AO2 &amp; ".25"</f>
        <v>10.184.16.25</v>
      </c>
      <c r="AT2" s="20" t="str">
        <f>TEXT("10.184.","text") &amp; AO2 &amp; ".X"</f>
        <v>10.184.16.X</v>
      </c>
      <c r="AU2" s="20" t="str">
        <f>TEXT("10.184.","text") &amp; AO2 &amp; ".X"</f>
        <v>10.184.16.X</v>
      </c>
      <c r="AV2" s="20" t="str">
        <f t="shared" ref="AV2:AV45" si="5">TEXT("10.185.x.","text") &amp; AO2</f>
        <v>10.185.x.16</v>
      </c>
      <c r="AW2" s="20" t="str">
        <f>TEXT("10.184.","text") &amp; AO2 &amp; ".x"</f>
        <v>10.184.16.x</v>
      </c>
      <c r="AX2" s="21"/>
      <c r="AY2" s="21"/>
      <c r="AZ2" s="21"/>
      <c r="BA2" s="21"/>
      <c r="BB2" s="22" t="str">
        <f t="shared" ref="BB2:BB45" si="6">TEXT("10.184.","text") &amp; AO2 &amp; ".240"</f>
        <v>10.184.16.240</v>
      </c>
    </row>
    <row r="3" spans="1:54">
      <c r="A3" s="6" t="s">
        <v>438</v>
      </c>
      <c r="B3" s="1" t="s">
        <v>259</v>
      </c>
      <c r="C3" s="1" t="s">
        <v>255</v>
      </c>
      <c r="D3" s="6" t="s">
        <v>257</v>
      </c>
      <c r="E3" s="11">
        <f>_xlfn.XLOOKUP(Table1[[#This Row],[Serial Number]],Table13[Serial No.],Table13[End Date])</f>
        <v>45317</v>
      </c>
      <c r="F3" s="11">
        <f>_xlfn.XLOOKUP(Table1[[#This Row],[Serial Number]],Table13[Serial No.],Table13[End Date])</f>
        <v>45317</v>
      </c>
      <c r="G3" s="11">
        <f>_xlfn.XLOOKUP(Table1[[#This Row],[Serial Number]],Table13[Serial No.],Table13[Registration Date])</f>
        <v>44224</v>
      </c>
      <c r="H3" s="1"/>
      <c r="I3" s="1" t="s">
        <v>81</v>
      </c>
      <c r="J3" s="1" t="s">
        <v>296</v>
      </c>
      <c r="K3" s="1"/>
      <c r="L3" s="1"/>
      <c r="M3" s="11" t="str">
        <f>_xlfn.XLOOKUP(Table1[[#This Row],[IP Address]],Table2[Firewall IP],Table2[City])</f>
        <v>Topeka</v>
      </c>
      <c r="N3" s="47" t="str">
        <f>RIGHT(Table1[[#This Row],[IP Address]],LEN(Table1[[#This Row],[IP Address]])-9)</f>
        <v>108</v>
      </c>
      <c r="O3" s="1"/>
      <c r="P3" s="1" t="s">
        <v>4</v>
      </c>
      <c r="Q3" s="50" t="s">
        <v>229</v>
      </c>
      <c r="R3" s="1"/>
      <c r="S3" s="1"/>
      <c r="T3" s="1" t="s">
        <v>5</v>
      </c>
      <c r="U3" t="s">
        <v>128</v>
      </c>
      <c r="V3" s="8">
        <v>43563</v>
      </c>
      <c r="W3" s="8">
        <v>43557</v>
      </c>
      <c r="X3" s="8">
        <v>44012</v>
      </c>
      <c r="Y3" s="8" t="s">
        <v>364</v>
      </c>
      <c r="Z3" s="8">
        <v>44207</v>
      </c>
      <c r="AA3" s="8">
        <v>45331</v>
      </c>
      <c r="AB3" s="8" t="s">
        <v>365</v>
      </c>
      <c r="AC3" s="8" t="s">
        <v>366</v>
      </c>
      <c r="AE3" s="18" t="str">
        <f>_xlfn.XLOOKUP(Table2[[#This Row],[Site Num]],[1]!Table57[Branch ID],[1]!Table57[DC Name],"UNKNOWN")</f>
        <v>Lubbock</v>
      </c>
      <c r="AF3" s="18" t="str">
        <f>_xlfn.XLOOKUP(Table2[[#This Row],[Site Num]],[1]!Table57[Branch ID],[1]!Table57[External IP Address],"N/A")</f>
        <v>12.248.129.50</v>
      </c>
      <c r="AG3" s="18" t="str">
        <f>_xlfn.XLOOKUP(Table2[[#This Row],[Site Num]],[1]!Table57[Branch ID],[1]!Table57[Port Speed],"N/A")</f>
        <v>10x10</v>
      </c>
      <c r="AH3" s="38" t="str">
        <f>_xlfn.XLOOKUP(Table2[[#This Row],[Site Num]],[1]!Table57[Branch ID],[1]!Table57[City],"N/A")</f>
        <v>Lubbock</v>
      </c>
      <c r="AI3" s="38" t="str">
        <f>_xlfn.XLOOKUP(Table2[[#This Row],[Site Num]],[1]!Table57[Branch ID],[1]!Table57[State],"N/A")</f>
        <v>TX</v>
      </c>
      <c r="AJ3" s="18">
        <f>_xlfn.XLOOKUP(Table2[[#This Row],[Site Num]],[1]!Table57[Branch ID],[1]!Table57[ZIP Code],"N/A")</f>
        <v>79404</v>
      </c>
      <c r="AK3" s="18" t="str">
        <f>_xlfn.XLOOKUP(Table2[[#This Row],[Site Num]],[1]!Table57[Branch ID],[1]!Table57[Circuit ID],"N/A")</f>
        <v>33.RBBU.101412</v>
      </c>
      <c r="AL3" s="18" t="str">
        <f>_xlfn.XLOOKUP(Table2[[#This Row],[Site Num]],[1]!Table57[Branch ID],[1]!Table57[ServiceType],"N/A")</f>
        <v>Fiber</v>
      </c>
      <c r="AM3" s="18" t="str">
        <f>_xlfn.XLOOKUP(Table2[[#This Row],[Site Num]],[1]!Table57[Branch ID],[1]!Table57[Vendor],"N/A")</f>
        <v>MetTel</v>
      </c>
      <c r="AN3" s="38" t="str">
        <f t="shared" si="0"/>
        <v>10.185.0.17</v>
      </c>
      <c r="AO3" s="19">
        <v>17</v>
      </c>
      <c r="AP3" s="20" t="str">
        <f t="shared" si="1"/>
        <v>10.176.17.X</v>
      </c>
      <c r="AQ3" s="20" t="str">
        <f t="shared" si="2"/>
        <v>10.186.17.x</v>
      </c>
      <c r="AR3" s="20" t="str">
        <f t="shared" si="3"/>
        <v>10.184.17.1</v>
      </c>
      <c r="AS3" s="20" t="str">
        <f t="shared" si="4"/>
        <v>10.184.17.25</v>
      </c>
      <c r="AT3" s="20"/>
      <c r="AU3" s="20"/>
      <c r="AV3" s="20" t="str">
        <f t="shared" si="5"/>
        <v>10.185.x.17</v>
      </c>
      <c r="AW3" s="20" t="str">
        <f t="shared" ref="AW3:AW45" si="7">TEXT("10.184.","text") &amp; AO3 &amp; ".X"</f>
        <v>10.184.17.X</v>
      </c>
      <c r="AX3" s="21"/>
      <c r="AY3" s="21"/>
      <c r="AZ3" s="21"/>
      <c r="BA3" s="21"/>
      <c r="BB3" s="22" t="str">
        <f t="shared" si="6"/>
        <v>10.184.17.240</v>
      </c>
    </row>
    <row r="4" spans="1:54">
      <c r="A4" s="6" t="s">
        <v>439</v>
      </c>
      <c r="B4" s="1" t="s">
        <v>259</v>
      </c>
      <c r="C4" s="1" t="s">
        <v>255</v>
      </c>
      <c r="D4" s="6" t="s">
        <v>257</v>
      </c>
      <c r="E4" s="11">
        <f>_xlfn.XLOOKUP(Table1[[#This Row],[Serial Number]],Table13[Serial No.],Table13[End Date])</f>
        <v>45317</v>
      </c>
      <c r="F4" s="11">
        <f>_xlfn.XLOOKUP(Table1[[#This Row],[Serial Number]],Table13[Serial No.],Table13[End Date])</f>
        <v>45317</v>
      </c>
      <c r="G4" s="11">
        <f>_xlfn.XLOOKUP(Table1[[#This Row],[Serial Number]],Table13[Serial No.],Table13[Registration Date])</f>
        <v>44224</v>
      </c>
      <c r="H4" s="1"/>
      <c r="I4" s="1" t="s">
        <v>11</v>
      </c>
      <c r="J4" s="1" t="s">
        <v>291</v>
      </c>
      <c r="K4" s="1"/>
      <c r="L4" s="1"/>
      <c r="M4" s="11" t="str">
        <f>_xlfn.XLOOKUP(Table1[[#This Row],[IP Address]],Table2[Firewall IP],Table2[City])</f>
        <v>Cordele</v>
      </c>
      <c r="N4" s="47" t="str">
        <f>RIGHT(Table1[[#This Row],[IP Address]],LEN(Table1[[#This Row],[IP Address]])-9)</f>
        <v>123</v>
      </c>
      <c r="O4" s="1"/>
      <c r="P4" s="1" t="s">
        <v>4</v>
      </c>
      <c r="Q4" s="49" t="s">
        <v>174</v>
      </c>
      <c r="R4" s="1"/>
      <c r="S4" s="1"/>
      <c r="T4" s="1" t="s">
        <v>5</v>
      </c>
      <c r="U4" t="s">
        <v>90</v>
      </c>
      <c r="V4" s="8">
        <v>42761</v>
      </c>
      <c r="W4" s="8">
        <v>42485</v>
      </c>
      <c r="X4" s="8">
        <v>42939</v>
      </c>
      <c r="Y4" s="8" t="s">
        <v>364</v>
      </c>
      <c r="Z4" s="8">
        <v>44207</v>
      </c>
      <c r="AA4" s="8">
        <v>45331</v>
      </c>
      <c r="AB4" s="8" t="s">
        <v>365</v>
      </c>
      <c r="AC4" s="8" t="s">
        <v>366</v>
      </c>
      <c r="AE4" s="18" t="str">
        <f>_xlfn.XLOOKUP(Table2[[#This Row],[Site Num]],[1]!Table57[Branch ID],[1]!Table57[DC Name],"UNKNOWN")</f>
        <v>Atlanta</v>
      </c>
      <c r="AF4" s="18" t="str">
        <f>_xlfn.XLOOKUP(Table2[[#This Row],[Site Num]],[1]!Table57[Branch ID],[1]!Table57[External IP Address],"N/A")</f>
        <v>96.73.215.209</v>
      </c>
      <c r="AG4" s="18" t="str">
        <f>_xlfn.XLOOKUP(Table2[[#This Row],[Site Num]],[1]!Table57[Branch ID],[1]!Table57[Port Speed],"N/A")</f>
        <v>75x15</v>
      </c>
      <c r="AH4" s="38" t="str">
        <f>_xlfn.XLOOKUP(Table2[[#This Row],[Site Num]],[1]!Table57[Branch ID],[1]!Table57[City],"N/A")</f>
        <v>Kennesaw</v>
      </c>
      <c r="AI4" s="38" t="str">
        <f>_xlfn.XLOOKUP(Table2[[#This Row],[Site Num]],[1]!Table57[Branch ID],[1]!Table57[State],"N/A")</f>
        <v>GA</v>
      </c>
      <c r="AJ4" s="18" t="str">
        <f>_xlfn.XLOOKUP(Table2[[#This Row],[Site Num]],[1]!Table57[Branch ID],[1]!Table57[ZIP Code],"N/A")</f>
        <v>30144</v>
      </c>
      <c r="AK4" s="18" t="str">
        <f>_xlfn.XLOOKUP(Table2[[#This Row],[Site Num]],[1]!Table57[Branch ID],[1]!Table57[Circuit ID],"N/A")</f>
        <v>Acct# 8220111010718858</v>
      </c>
      <c r="AL4" s="18" t="str">
        <f>_xlfn.XLOOKUP(Table2[[#This Row],[Site Num]],[1]!Table57[Branch ID],[1]!Table57[ServiceType],"N/A")</f>
        <v>Cable</v>
      </c>
      <c r="AM4" s="18" t="str">
        <f>_xlfn.XLOOKUP(Table2[[#This Row],[Site Num]],[1]!Table57[Branch ID],[1]!Table57[Vendor],"N/A")</f>
        <v>ComCast</v>
      </c>
      <c r="AN4" s="38" t="str">
        <f t="shared" si="0"/>
        <v>10.185.0.18</v>
      </c>
      <c r="AO4" s="19">
        <v>18</v>
      </c>
      <c r="AP4" s="20" t="str">
        <f t="shared" si="1"/>
        <v>10.176.18.X</v>
      </c>
      <c r="AQ4" s="20" t="str">
        <f t="shared" si="2"/>
        <v>10.186.18.x</v>
      </c>
      <c r="AR4" s="20" t="str">
        <f t="shared" si="3"/>
        <v>10.184.18.1</v>
      </c>
      <c r="AS4" s="20" t="str">
        <f t="shared" si="4"/>
        <v>10.184.18.25</v>
      </c>
      <c r="AT4" s="20"/>
      <c r="AU4" s="20"/>
      <c r="AV4" s="20" t="str">
        <f t="shared" si="5"/>
        <v>10.185.x.18</v>
      </c>
      <c r="AW4" s="20" t="str">
        <f t="shared" si="7"/>
        <v>10.184.18.X</v>
      </c>
      <c r="AX4" s="21"/>
      <c r="AY4" s="21"/>
      <c r="AZ4" s="21"/>
      <c r="BA4" s="21"/>
      <c r="BB4" s="22" t="str">
        <f t="shared" si="6"/>
        <v>10.184.18.240</v>
      </c>
    </row>
    <row r="5" spans="1:54">
      <c r="A5" s="6" t="s">
        <v>440</v>
      </c>
      <c r="B5" s="1" t="s">
        <v>259</v>
      </c>
      <c r="C5" s="1" t="s">
        <v>255</v>
      </c>
      <c r="D5" s="6" t="s">
        <v>257</v>
      </c>
      <c r="E5" s="11">
        <f>_xlfn.XLOOKUP(Table1[[#This Row],[Serial Number]],Table13[Serial No.],Table13[End Date])</f>
        <v>45317</v>
      </c>
      <c r="F5" s="11">
        <f>_xlfn.XLOOKUP(Table1[[#This Row],[Serial Number]],Table13[Serial No.],Table13[End Date])</f>
        <v>45317</v>
      </c>
      <c r="G5" s="11">
        <f>_xlfn.XLOOKUP(Table1[[#This Row],[Serial Number]],Table13[Serial No.],Table13[Registration Date])</f>
        <v>44224</v>
      </c>
      <c r="H5" s="1"/>
      <c r="I5" s="1" t="s">
        <v>43</v>
      </c>
      <c r="J5" s="1" t="s">
        <v>289</v>
      </c>
      <c r="K5" s="1"/>
      <c r="L5" s="1"/>
      <c r="M5" s="11" t="str">
        <f>_xlfn.XLOOKUP(Table1[[#This Row],[IP Address]],Table2[Firewall IP],Table2[City])</f>
        <v>Lebanon</v>
      </c>
      <c r="N5" s="47" t="str">
        <f>RIGHT(Table1[[#This Row],[IP Address]],LEN(Table1[[#This Row],[IP Address]])-9)</f>
        <v>128</v>
      </c>
      <c r="O5" s="1"/>
      <c r="P5" s="1" t="s">
        <v>4</v>
      </c>
      <c r="Q5" s="50" t="s">
        <v>201</v>
      </c>
      <c r="R5" s="1"/>
      <c r="S5" s="1"/>
      <c r="T5" s="1" t="s">
        <v>5</v>
      </c>
      <c r="U5" t="s">
        <v>56</v>
      </c>
      <c r="V5" s="8">
        <v>43736</v>
      </c>
      <c r="W5" s="8">
        <v>43728</v>
      </c>
      <c r="X5" s="8">
        <v>44183</v>
      </c>
      <c r="Y5" s="8" t="s">
        <v>364</v>
      </c>
      <c r="Z5" s="8">
        <v>44207</v>
      </c>
      <c r="AA5" s="8">
        <v>45331</v>
      </c>
      <c r="AB5" s="8" t="s">
        <v>365</v>
      </c>
      <c r="AC5" s="8" t="s">
        <v>366</v>
      </c>
      <c r="AE5" s="18" t="str">
        <f>_xlfn.XLOOKUP(Table2[[#This Row],[Site Num]],[1]!Table57[Branch ID],[1]!Table57[DC Name],"UNKNOWN")</f>
        <v xml:space="preserve">Houston </v>
      </c>
      <c r="AF5" s="18" t="str">
        <f>_xlfn.XLOOKUP(Table2[[#This Row],[Site Num]],[1]!Table57[Branch ID],[1]!Table57[External IP Address],"N/A")</f>
        <v>96.91.33.137</v>
      </c>
      <c r="AG5" s="18" t="str">
        <f>_xlfn.XLOOKUP(Table2[[#This Row],[Site Num]],[1]!Table57[Branch ID],[1]!Table57[Port Speed],"N/A")</f>
        <v>100x15</v>
      </c>
      <c r="AH5" s="38" t="str">
        <f>_xlfn.XLOOKUP(Table2[[#This Row],[Site Num]],[1]!Table57[Branch ID],[1]!Table57[City],"N/A")</f>
        <v>Houston</v>
      </c>
      <c r="AI5" s="38" t="str">
        <f>_xlfn.XLOOKUP(Table2[[#This Row],[Site Num]],[1]!Table57[Branch ID],[1]!Table57[State],"N/A")</f>
        <v>TX</v>
      </c>
      <c r="AJ5" s="18" t="str">
        <f>_xlfn.XLOOKUP(Table2[[#This Row],[Site Num]],[1]!Table57[Branch ID],[1]!Table57[ZIP Code],"N/A")</f>
        <v>77032</v>
      </c>
      <c r="AK5" s="18" t="str">
        <f>_xlfn.XLOOKUP(Table2[[#This Row],[Site Num]],[1]!Table57[Branch ID],[1]!Table57[Circuit ID],"N/A")</f>
        <v>Acct# 8777 70 315 1587220</v>
      </c>
      <c r="AL5" s="18" t="str">
        <f>_xlfn.XLOOKUP(Table2[[#This Row],[Site Num]],[1]!Table57[Branch ID],[1]!Table57[ServiceType],"N/A")</f>
        <v>Cable</v>
      </c>
      <c r="AM5" s="18" t="str">
        <f>_xlfn.XLOOKUP(Table2[[#This Row],[Site Num]],[1]!Table57[Branch ID],[1]!Table57[Vendor],"N/A")</f>
        <v>Comcast</v>
      </c>
      <c r="AN5" s="38" t="str">
        <f t="shared" si="0"/>
        <v>10.185.0.19</v>
      </c>
      <c r="AO5" s="19">
        <v>19</v>
      </c>
      <c r="AP5" s="20" t="str">
        <f t="shared" si="1"/>
        <v>10.176.19.X</v>
      </c>
      <c r="AQ5" s="20" t="str">
        <f t="shared" si="2"/>
        <v>10.186.19.x</v>
      </c>
      <c r="AR5" s="20" t="str">
        <f t="shared" si="3"/>
        <v>10.184.19.1</v>
      </c>
      <c r="AS5" s="20" t="str">
        <f t="shared" si="4"/>
        <v>10.184.19.25</v>
      </c>
      <c r="AT5" s="20"/>
      <c r="AU5" s="20"/>
      <c r="AV5" s="20" t="str">
        <f t="shared" si="5"/>
        <v>10.185.x.19</v>
      </c>
      <c r="AW5" s="20" t="str">
        <f t="shared" si="7"/>
        <v>10.184.19.X</v>
      </c>
      <c r="AX5" s="21"/>
      <c r="AY5" s="21"/>
      <c r="AZ5" s="21"/>
      <c r="BA5" s="21"/>
      <c r="BB5" s="22" t="str">
        <f t="shared" si="6"/>
        <v>10.184.19.240</v>
      </c>
    </row>
    <row r="6" spans="1:54">
      <c r="A6" s="6" t="s">
        <v>441</v>
      </c>
      <c r="B6" s="1" t="s">
        <v>259</v>
      </c>
      <c r="C6" s="1" t="s">
        <v>255</v>
      </c>
      <c r="D6" s="6" t="s">
        <v>257</v>
      </c>
      <c r="E6" s="11">
        <f>_xlfn.XLOOKUP(Table1[[#This Row],[Serial Number]],Table13[Serial No.],Table13[End Date])</f>
        <v>45331</v>
      </c>
      <c r="F6" s="11">
        <f>_xlfn.XLOOKUP(Table1[[#This Row],[Serial Number]],Table13[Serial No.],Table13[End Date])</f>
        <v>45331</v>
      </c>
      <c r="G6" s="11">
        <f>_xlfn.XLOOKUP(Table1[[#This Row],[Serial Number]],Table13[Serial No.],Table13[Registration Date])</f>
        <v>42761</v>
      </c>
      <c r="H6" s="1"/>
      <c r="I6" s="1" t="s">
        <v>90</v>
      </c>
      <c r="J6" s="1" t="s">
        <v>276</v>
      </c>
      <c r="K6" s="1"/>
      <c r="L6" s="1"/>
      <c r="M6" s="11" t="str">
        <f>_xlfn.XLOOKUP(Table1[[#This Row],[IP Address]],Table2[Firewall IP],Table2[City])</f>
        <v>Memphis</v>
      </c>
      <c r="N6" s="47" t="str">
        <f>RIGHT(Table1[[#This Row],[IP Address]],LEN(Table1[[#This Row],[IP Address]])-9)</f>
        <v>130</v>
      </c>
      <c r="O6" s="1"/>
      <c r="P6" s="1" t="s">
        <v>4</v>
      </c>
      <c r="Q6" s="50" t="s">
        <v>205</v>
      </c>
      <c r="R6" s="1"/>
      <c r="S6" s="1"/>
      <c r="T6" s="1" t="s">
        <v>5</v>
      </c>
      <c r="U6" t="s">
        <v>142</v>
      </c>
      <c r="V6" s="8">
        <v>43712</v>
      </c>
      <c r="W6" s="8">
        <v>43703</v>
      </c>
      <c r="X6" s="8">
        <v>44158</v>
      </c>
      <c r="Y6" s="8" t="s">
        <v>364</v>
      </c>
      <c r="Z6" s="8">
        <v>44207</v>
      </c>
      <c r="AA6" s="8">
        <v>45331</v>
      </c>
      <c r="AB6" s="8" t="s">
        <v>365</v>
      </c>
      <c r="AC6" s="8" t="s">
        <v>366</v>
      </c>
      <c r="AE6" s="18" t="str">
        <f>_xlfn.XLOOKUP(Table2[[#This Row],[Site Num]],[1]!Table57[Branch ID],[1]!Table57[DC Name],"UNKNOWN")</f>
        <v>Albuquerque</v>
      </c>
      <c r="AF6" s="18" t="str">
        <f>_xlfn.XLOOKUP(Table2[[#This Row],[Site Num]],[1]!Table57[Branch ID],[1]!Table57[External IP Address],"N/A")</f>
        <v>96.84.157.141</v>
      </c>
      <c r="AG6" s="18" t="str">
        <f>_xlfn.XLOOKUP(Table2[[#This Row],[Site Num]],[1]!Table57[Branch ID],[1]!Table57[Port Speed],"N/A")</f>
        <v>250 Meg</v>
      </c>
      <c r="AH6" s="38" t="str">
        <f>_xlfn.XLOOKUP(Table2[[#This Row],[Site Num]],[1]!Table57[Branch ID],[1]!Table57[City],"N/A")</f>
        <v>Albuquerque</v>
      </c>
      <c r="AI6" s="38" t="str">
        <f>_xlfn.XLOOKUP(Table2[[#This Row],[Site Num]],[1]!Table57[Branch ID],[1]!Table57[State],"N/A")</f>
        <v>NM</v>
      </c>
      <c r="AJ6" s="18" t="str">
        <f>_xlfn.XLOOKUP(Table2[[#This Row],[Site Num]],[1]!Table57[Branch ID],[1]!Table57[ZIP Code],"N/A")</f>
        <v>87107</v>
      </c>
      <c r="AK6" s="18" t="str">
        <f>_xlfn.XLOOKUP(Table2[[#This Row],[Site Num]],[1]!Table57[Branch ID],[1]!Table57[Circuit ID],"N/A")</f>
        <v>Acct# 8497950040679267</v>
      </c>
      <c r="AL6" s="18" t="str">
        <f>_xlfn.XLOOKUP(Table2[[#This Row],[Site Num]],[1]!Table57[Branch ID],[1]!Table57[ServiceType],"N/A")</f>
        <v>Cable</v>
      </c>
      <c r="AM6" s="18" t="str">
        <f>_xlfn.XLOOKUP(Table2[[#This Row],[Site Num]],[1]!Table57[Branch ID],[1]!Table57[Vendor],"N/A")</f>
        <v>Comcast</v>
      </c>
      <c r="AN6" s="38" t="str">
        <f t="shared" si="0"/>
        <v>10.185.0.20</v>
      </c>
      <c r="AO6" s="19">
        <v>20</v>
      </c>
      <c r="AP6" s="20" t="str">
        <f t="shared" si="1"/>
        <v>10.176.20.X</v>
      </c>
      <c r="AQ6" s="20" t="str">
        <f t="shared" si="2"/>
        <v>10.186.20.x</v>
      </c>
      <c r="AR6" s="20" t="str">
        <f t="shared" si="3"/>
        <v>10.184.20.1</v>
      </c>
      <c r="AS6" s="20" t="str">
        <f t="shared" si="4"/>
        <v>10.184.20.25</v>
      </c>
      <c r="AT6" s="20"/>
      <c r="AU6" s="20"/>
      <c r="AV6" s="20" t="str">
        <f t="shared" si="5"/>
        <v>10.185.x.20</v>
      </c>
      <c r="AW6" s="20" t="str">
        <f t="shared" si="7"/>
        <v>10.184.20.X</v>
      </c>
      <c r="AX6" s="21"/>
      <c r="AY6" s="21"/>
      <c r="AZ6" s="21"/>
      <c r="BA6" s="21"/>
      <c r="BB6" s="22" t="str">
        <f t="shared" si="6"/>
        <v>10.184.20.240</v>
      </c>
    </row>
    <row r="7" spans="1:54">
      <c r="A7" s="6" t="s">
        <v>442</v>
      </c>
      <c r="B7" s="1" t="s">
        <v>259</v>
      </c>
      <c r="C7" s="1" t="s">
        <v>255</v>
      </c>
      <c r="D7" s="6" t="s">
        <v>257</v>
      </c>
      <c r="E7" s="11">
        <f>_xlfn.XLOOKUP(Table1[[#This Row],[Serial Number]],Table13[Serial No.],Table13[End Date])</f>
        <v>44191</v>
      </c>
      <c r="F7" s="11">
        <f>_xlfn.XLOOKUP(Table1[[#This Row],[Serial Number]],Table13[Serial No.],Table13[End Date])</f>
        <v>44191</v>
      </c>
      <c r="G7" s="11">
        <f>_xlfn.XLOOKUP(Table1[[#This Row],[Serial Number]],Table13[Serial No.],Table13[Registration Date])</f>
        <v>43433</v>
      </c>
      <c r="H7" s="1"/>
      <c r="I7" s="1" t="s">
        <v>137</v>
      </c>
      <c r="J7" s="1" t="s">
        <v>307</v>
      </c>
      <c r="K7" s="1"/>
      <c r="L7" s="1"/>
      <c r="M7" s="11" t="str">
        <f>_xlfn.XLOOKUP(Table1[[#This Row],[IP Address]],Table2[Firewall IP],Table2[City])</f>
        <v>Columbia</v>
      </c>
      <c r="N7" s="47" t="str">
        <f>RIGHT(Table1[[#This Row],[IP Address]],LEN(Table1[[#This Row],[IP Address]])-9)</f>
        <v>131</v>
      </c>
      <c r="O7" s="1"/>
      <c r="P7" s="1" t="s">
        <v>4</v>
      </c>
      <c r="Q7" s="50" t="s">
        <v>173</v>
      </c>
      <c r="R7" s="1"/>
      <c r="S7" s="1"/>
      <c r="T7" s="1" t="s">
        <v>5</v>
      </c>
      <c r="U7" t="s">
        <v>35</v>
      </c>
      <c r="V7" s="8">
        <v>43712</v>
      </c>
      <c r="W7" s="8">
        <v>43703</v>
      </c>
      <c r="X7" s="8">
        <v>44158</v>
      </c>
      <c r="Y7" s="8" t="s">
        <v>364</v>
      </c>
      <c r="Z7" s="8">
        <v>44207</v>
      </c>
      <c r="AA7" s="8">
        <v>45331</v>
      </c>
      <c r="AB7" s="8" t="s">
        <v>365</v>
      </c>
      <c r="AC7" s="8" t="s">
        <v>366</v>
      </c>
      <c r="AE7" s="18" t="str">
        <f>_xlfn.XLOOKUP(Table2[[#This Row],[Site Num]],[1]!Table57[Branch ID],[1]!Table57[DC Name],"UNKNOWN")</f>
        <v>Phoenix</v>
      </c>
      <c r="AF7" s="18" t="str">
        <f>_xlfn.XLOOKUP(Table2[[#This Row],[Site Num]],[1]!Table57[Branch ID],[1]!Table57[External IP Address],"N/A")</f>
        <v>72.212.142.50</v>
      </c>
      <c r="AG7" s="18" t="str">
        <f>_xlfn.XLOOKUP(Table2[[#This Row],[Site Num]],[1]!Table57[Branch ID],[1]!Table57[Port Speed],"N/A")</f>
        <v>200 x 20</v>
      </c>
      <c r="AH7" s="38" t="str">
        <f>_xlfn.XLOOKUP(Table2[[#This Row],[Site Num]],[1]!Table57[Branch ID],[1]!Table57[City],"N/A")</f>
        <v>Phoenix</v>
      </c>
      <c r="AI7" s="38" t="str">
        <f>_xlfn.XLOOKUP(Table2[[#This Row],[Site Num]],[1]!Table57[Branch ID],[1]!Table57[State],"N/A")</f>
        <v>AZ</v>
      </c>
      <c r="AJ7" s="18" t="str">
        <f>_xlfn.XLOOKUP(Table2[[#This Row],[Site Num]],[1]!Table57[Branch ID],[1]!Table57[ZIP Code],"N/A")</f>
        <v>85053</v>
      </c>
      <c r="AK7" s="18" t="str">
        <f>_xlfn.XLOOKUP(Table2[[#This Row],[Site Num]],[1]!Table57[Branch ID],[1]!Table57[Circuit ID],"N/A")</f>
        <v>Acct# 001 8501 205114702</v>
      </c>
      <c r="AL7" s="18" t="str">
        <f>_xlfn.XLOOKUP(Table2[[#This Row],[Site Num]],[1]!Table57[Branch ID],[1]!Table57[ServiceType],"N/A")</f>
        <v>Cable</v>
      </c>
      <c r="AM7" s="18" t="str">
        <f>_xlfn.XLOOKUP(Table2[[#This Row],[Site Num]],[1]!Table57[Branch ID],[1]!Table57[Vendor],"N/A")</f>
        <v>Cox Business</v>
      </c>
      <c r="AN7" s="38" t="str">
        <f t="shared" si="0"/>
        <v>10.185.0.24</v>
      </c>
      <c r="AO7" s="23">
        <v>24</v>
      </c>
      <c r="AP7" s="20" t="str">
        <f t="shared" si="1"/>
        <v>10.176.24.X</v>
      </c>
      <c r="AQ7" s="20" t="str">
        <f t="shared" si="2"/>
        <v>10.186.24.x</v>
      </c>
      <c r="AR7" s="20" t="str">
        <f t="shared" si="3"/>
        <v>10.184.24.1</v>
      </c>
      <c r="AS7" s="20" t="str">
        <f t="shared" si="4"/>
        <v>10.184.24.25</v>
      </c>
      <c r="AT7" s="20"/>
      <c r="AU7" s="20"/>
      <c r="AV7" s="20" t="str">
        <f t="shared" si="5"/>
        <v>10.185.x.24</v>
      </c>
      <c r="AW7" s="20" t="str">
        <f t="shared" si="7"/>
        <v>10.184.24.X</v>
      </c>
      <c r="AX7" s="21"/>
      <c r="AY7" s="21"/>
      <c r="AZ7" s="21"/>
      <c r="BA7" s="21"/>
      <c r="BB7" s="22" t="str">
        <f t="shared" si="6"/>
        <v>10.184.24.240</v>
      </c>
    </row>
    <row r="8" spans="1:54">
      <c r="A8" s="6" t="s">
        <v>443</v>
      </c>
      <c r="B8" s="1" t="s">
        <v>259</v>
      </c>
      <c r="C8" s="1" t="s">
        <v>255</v>
      </c>
      <c r="D8" s="6" t="s">
        <v>257</v>
      </c>
      <c r="E8" s="11">
        <f>_xlfn.XLOOKUP(Table1[[#This Row],[Serial Number]],Table13[Serial No.],Table13[End Date])</f>
        <v>45331</v>
      </c>
      <c r="F8" s="11">
        <f>_xlfn.XLOOKUP(Table1[[#This Row],[Serial Number]],Table13[Serial No.],Table13[End Date])</f>
        <v>45331</v>
      </c>
      <c r="G8" s="11">
        <f>_xlfn.XLOOKUP(Table1[[#This Row],[Serial Number]],Table13[Serial No.],Table13[Registration Date])</f>
        <v>43433</v>
      </c>
      <c r="H8" s="1"/>
      <c r="I8" s="1" t="s">
        <v>53</v>
      </c>
      <c r="J8" s="1" t="s">
        <v>306</v>
      </c>
      <c r="K8" s="1"/>
      <c r="L8" s="1"/>
      <c r="M8" s="11" t="str">
        <f>_xlfn.XLOOKUP(Table1[[#This Row],[IP Address]],Table2[Firewall IP],Table2[City])</f>
        <v>Rocky Mount</v>
      </c>
      <c r="N8" s="47" t="str">
        <f>RIGHT(Table1[[#This Row],[IP Address]],LEN(Table1[[#This Row],[IP Address]])-9)</f>
        <v>132</v>
      </c>
      <c r="O8" s="1"/>
      <c r="P8" s="1" t="s">
        <v>4</v>
      </c>
      <c r="Q8" s="49" t="s">
        <v>216</v>
      </c>
      <c r="R8" s="1"/>
      <c r="S8" s="1"/>
      <c r="T8" s="1" t="s">
        <v>5</v>
      </c>
      <c r="U8" t="s">
        <v>35</v>
      </c>
      <c r="V8" s="8">
        <v>43712</v>
      </c>
      <c r="W8" s="8">
        <v>43703</v>
      </c>
      <c r="X8" s="8">
        <v>44158</v>
      </c>
      <c r="Y8" s="8" t="s">
        <v>367</v>
      </c>
      <c r="Z8" s="8">
        <v>44414</v>
      </c>
      <c r="AA8" s="8">
        <v>44778</v>
      </c>
      <c r="AB8" s="8" t="s">
        <v>365</v>
      </c>
      <c r="AC8" s="8" t="s">
        <v>368</v>
      </c>
      <c r="AE8" s="18" t="str">
        <f>_xlfn.XLOOKUP(Table2[[#This Row],[Site Num]],[1]!Table57[Branch ID],[1]!Table57[DC Name],"UNKNOWN")</f>
        <v>Cincinnati(Old)</v>
      </c>
      <c r="AF8" s="18" t="str">
        <f>_xlfn.XLOOKUP(Table2[[#This Row],[Site Num]],[1]!Table57[Branch ID],[1]!Table57[External IP Address],"N/A")</f>
        <v>66.162.112.122</v>
      </c>
      <c r="AG8" s="18" t="str">
        <f>_xlfn.XLOOKUP(Table2[[#This Row],[Site Num]],[1]!Table57[Branch ID],[1]!Table57[Port Speed],"N/A")</f>
        <v>3072 T1*2 (3 meg)</v>
      </c>
      <c r="AH8" s="38" t="str">
        <f>_xlfn.XLOOKUP(Table2[[#This Row],[Site Num]],[1]!Table57[Branch ID],[1]!Table57[City],"N/A")</f>
        <v>West Harrison</v>
      </c>
      <c r="AI8" s="38" t="str">
        <f>_xlfn.XLOOKUP(Table2[[#This Row],[Site Num]],[1]!Table57[Branch ID],[1]!Table57[State],"N/A")</f>
        <v>IN</v>
      </c>
      <c r="AJ8" s="18" t="str">
        <f>_xlfn.XLOOKUP(Table2[[#This Row],[Site Num]],[1]!Table57[Branch ID],[1]!Table57[ZIP Code],"N/A")</f>
        <v>47060</v>
      </c>
      <c r="AK8" s="18" t="str">
        <f>_xlfn.XLOOKUP(Table2[[#This Row],[Site Num]],[1]!Table57[Branch ID],[1]!Table57[Circuit ID],"N/A")</f>
        <v>17/HCGS/108866/TWCS (108865)</v>
      </c>
      <c r="AL8" s="18" t="str">
        <f>_xlfn.XLOOKUP(Table2[[#This Row],[Site Num]],[1]!Table57[Branch ID],[1]!Table57[ServiceType],"N/A")</f>
        <v>T1 x 3</v>
      </c>
      <c r="AM8" s="18" t="str">
        <f>_xlfn.XLOOKUP(Table2[[#This Row],[Site Num]],[1]!Table57[Branch ID],[1]!Table57[Vendor],"N/A")</f>
        <v>Level 3</v>
      </c>
      <c r="AN8" s="38" t="str">
        <f t="shared" si="0"/>
        <v>10.185.0.26</v>
      </c>
      <c r="AO8" s="19">
        <v>26</v>
      </c>
      <c r="AP8" s="20" t="str">
        <f t="shared" si="1"/>
        <v>10.176.26.X</v>
      </c>
      <c r="AQ8" s="20" t="str">
        <f t="shared" si="2"/>
        <v>10.186.26.x</v>
      </c>
      <c r="AR8" s="20" t="str">
        <f t="shared" si="3"/>
        <v>10.184.26.1</v>
      </c>
      <c r="AS8" s="20" t="str">
        <f t="shared" si="4"/>
        <v>10.184.26.25</v>
      </c>
      <c r="AT8" s="20"/>
      <c r="AU8" s="20"/>
      <c r="AV8" s="20" t="str">
        <f t="shared" si="5"/>
        <v>10.185.x.26</v>
      </c>
      <c r="AW8" s="20" t="str">
        <f t="shared" si="7"/>
        <v>10.184.26.X</v>
      </c>
      <c r="AX8" s="21"/>
      <c r="AY8" s="21"/>
      <c r="AZ8" s="21"/>
      <c r="BA8" s="21"/>
      <c r="BB8" s="22" t="str">
        <f t="shared" si="6"/>
        <v>10.184.26.240</v>
      </c>
    </row>
    <row r="9" spans="1:54">
      <c r="A9" s="6" t="s">
        <v>444</v>
      </c>
      <c r="B9" s="1" t="s">
        <v>259</v>
      </c>
      <c r="C9" s="1" t="s">
        <v>255</v>
      </c>
      <c r="D9" s="6" t="s">
        <v>257</v>
      </c>
      <c r="E9" s="11">
        <f>_xlfn.XLOOKUP(Table1[[#This Row],[Serial Number]],Table13[Serial No.],Table13[End Date])</f>
        <v>45331</v>
      </c>
      <c r="F9" s="11">
        <f>_xlfn.XLOOKUP(Table1[[#This Row],[Serial Number]],Table13[Serial No.],Table13[End Date])</f>
        <v>45331</v>
      </c>
      <c r="G9" s="11">
        <f>_xlfn.XLOOKUP(Table1[[#This Row],[Serial Number]],Table13[Serial No.],Table13[Registration Date])</f>
        <v>44224</v>
      </c>
      <c r="H9" s="1"/>
      <c r="I9" s="1" t="s">
        <v>38</v>
      </c>
      <c r="J9" s="1" t="s">
        <v>288</v>
      </c>
      <c r="K9" s="1"/>
      <c r="L9" s="1"/>
      <c r="M9" s="11" t="str">
        <f>_xlfn.XLOOKUP(Table1[[#This Row],[IP Address]],Table2[Firewall IP],Table2[City])</f>
        <v>Bay Minette</v>
      </c>
      <c r="N9" s="47" t="str">
        <f>RIGHT(Table1[[#This Row],[IP Address]],LEN(Table1[[#This Row],[IP Address]])-9)</f>
        <v>133</v>
      </c>
      <c r="O9" s="1"/>
      <c r="P9" s="1" t="s">
        <v>4</v>
      </c>
      <c r="Q9" s="50" t="s">
        <v>159</v>
      </c>
      <c r="R9" s="1"/>
      <c r="S9" s="1"/>
      <c r="T9" s="1" t="s">
        <v>5</v>
      </c>
      <c r="U9" t="s">
        <v>88</v>
      </c>
      <c r="V9" s="8">
        <v>44206</v>
      </c>
      <c r="W9" s="8">
        <v>44172</v>
      </c>
      <c r="X9" s="8">
        <v>44626</v>
      </c>
      <c r="Y9" s="8" t="s">
        <v>369</v>
      </c>
      <c r="Z9" s="8">
        <v>44208</v>
      </c>
      <c r="AA9" s="8">
        <v>45302</v>
      </c>
      <c r="AB9" s="8" t="s">
        <v>365</v>
      </c>
      <c r="AC9" s="8" t="s">
        <v>370</v>
      </c>
      <c r="AE9" s="18" t="str">
        <f>_xlfn.XLOOKUP(Table2[[#This Row],[Site Num]],[1]!Table57[Branch ID],[1]!Table57[DC Name],"UNKNOWN")</f>
        <v>Las Vegas</v>
      </c>
      <c r="AF9" s="18" t="str">
        <f>_xlfn.XLOOKUP(Table2[[#This Row],[Site Num]],[1]!Table57[Branch ID],[1]!Table57[External IP Address],"N/A")</f>
        <v>98.191.45.40</v>
      </c>
      <c r="AG9" s="18" t="str">
        <f>_xlfn.XLOOKUP(Table2[[#This Row],[Site Num]],[1]!Table57[Branch ID],[1]!Table57[Port Speed],"N/A")</f>
        <v>200 x 20</v>
      </c>
      <c r="AH9" s="38" t="str">
        <f>_xlfn.XLOOKUP(Table2[[#This Row],[Site Num]],[1]!Table57[Branch ID],[1]!Table57[City],"N/A")</f>
        <v>North Las Vegas</v>
      </c>
      <c r="AI9" s="38" t="str">
        <f>_xlfn.XLOOKUP(Table2[[#This Row],[Site Num]],[1]!Table57[Branch ID],[1]!Table57[State],"N/A")</f>
        <v>NV</v>
      </c>
      <c r="AJ9" s="18" t="str">
        <f>_xlfn.XLOOKUP(Table2[[#This Row],[Site Num]],[1]!Table57[Branch ID],[1]!Table57[ZIP Code],"N/A")</f>
        <v>89115</v>
      </c>
      <c r="AK9" s="18" t="str">
        <f>_xlfn.XLOOKUP(Table2[[#This Row],[Site Num]],[1]!Table57[Branch ID],[1]!Table57[Circuit ID],"N/A")</f>
        <v>Acct# 001 8610 115762901</v>
      </c>
      <c r="AL9" s="18" t="str">
        <f>_xlfn.XLOOKUP(Table2[[#This Row],[Site Num]],[1]!Table57[Branch ID],[1]!Table57[ServiceType],"N/A")</f>
        <v>Cable</v>
      </c>
      <c r="AM9" s="18" t="str">
        <f>_xlfn.XLOOKUP(Table2[[#This Row],[Site Num]],[1]!Table57[Branch ID],[1]!Table57[Vendor],"N/A")</f>
        <v>Cox Business</v>
      </c>
      <c r="AN9" s="38" t="str">
        <f t="shared" si="0"/>
        <v>10.185.0.28</v>
      </c>
      <c r="AO9" s="23">
        <v>28</v>
      </c>
      <c r="AP9" s="20" t="str">
        <f t="shared" si="1"/>
        <v>10.176.28.X</v>
      </c>
      <c r="AQ9" s="20" t="str">
        <f t="shared" si="2"/>
        <v>10.186.28.x</v>
      </c>
      <c r="AR9" s="20" t="str">
        <f t="shared" si="3"/>
        <v>10.184.28.1</v>
      </c>
      <c r="AS9" s="20" t="str">
        <f t="shared" si="4"/>
        <v>10.184.28.25</v>
      </c>
      <c r="AT9" s="20"/>
      <c r="AU9" s="20"/>
      <c r="AV9" s="20" t="str">
        <f t="shared" si="5"/>
        <v>10.185.x.28</v>
      </c>
      <c r="AW9" s="20" t="str">
        <f t="shared" si="7"/>
        <v>10.184.28.X</v>
      </c>
      <c r="AX9" s="21"/>
      <c r="AY9" s="21"/>
      <c r="AZ9" s="21"/>
      <c r="BA9" s="21"/>
      <c r="BB9" s="22" t="str">
        <f t="shared" si="6"/>
        <v>10.184.28.240</v>
      </c>
    </row>
    <row r="10" spans="1:54">
      <c r="A10" s="6" t="s">
        <v>445</v>
      </c>
      <c r="B10" s="1" t="s">
        <v>259</v>
      </c>
      <c r="C10" s="1" t="s">
        <v>255</v>
      </c>
      <c r="D10" s="6" t="s">
        <v>257</v>
      </c>
      <c r="E10" s="11">
        <f>_xlfn.XLOOKUP(Table1[[#This Row],[Serial Number]],Table13[Serial No.],Table13[End Date])</f>
        <v>45331</v>
      </c>
      <c r="F10" s="11">
        <f>_xlfn.XLOOKUP(Table1[[#This Row],[Serial Number]],Table13[Serial No.],Table13[End Date])</f>
        <v>45331</v>
      </c>
      <c r="G10" s="11">
        <f>_xlfn.XLOOKUP(Table1[[#This Row],[Serial Number]],Table13[Serial No.],Table13[Registration Date])</f>
        <v>43391</v>
      </c>
      <c r="H10" s="1"/>
      <c r="I10" s="1" t="s">
        <v>66</v>
      </c>
      <c r="J10" s="1" t="s">
        <v>286</v>
      </c>
      <c r="K10" s="1"/>
      <c r="L10" s="1"/>
      <c r="M10" s="11" t="str">
        <f>_xlfn.XLOOKUP(Table1[[#This Row],[IP Address]],Table2[Firewall IP],Table2[City])</f>
        <v>Beaver Dam</v>
      </c>
      <c r="N10" s="47" t="str">
        <f>RIGHT(Table1[[#This Row],[IP Address]],LEN(Table1[[#This Row],[IP Address]])-9)</f>
        <v>135</v>
      </c>
      <c r="O10" s="1"/>
      <c r="P10" s="1" t="s">
        <v>4</v>
      </c>
      <c r="Q10" s="49" t="s">
        <v>160</v>
      </c>
      <c r="R10" s="1"/>
      <c r="S10" s="1"/>
      <c r="T10" s="1" t="s">
        <v>5</v>
      </c>
      <c r="U10" t="s">
        <v>39</v>
      </c>
      <c r="V10" s="8">
        <v>44132</v>
      </c>
      <c r="W10" s="8">
        <v>44112</v>
      </c>
      <c r="X10" s="8">
        <v>44566</v>
      </c>
      <c r="Y10" s="8" t="s">
        <v>371</v>
      </c>
      <c r="Z10" s="8">
        <v>44559</v>
      </c>
      <c r="AA10" s="8">
        <v>44923</v>
      </c>
      <c r="AB10" s="8" t="s">
        <v>365</v>
      </c>
      <c r="AC10" s="8" t="s">
        <v>368</v>
      </c>
      <c r="AE10" s="18" t="str">
        <f>_xlfn.XLOOKUP(Table2[[#This Row],[Site Num]],[1]!Table57[Branch ID],[1]!Table57[DC Name],"UNKNOWN")</f>
        <v>Tulsa</v>
      </c>
      <c r="AF10" s="18" t="str">
        <f>_xlfn.XLOOKUP(Table2[[#This Row],[Site Num]],[1]!Table57[Branch ID],[1]!Table57[External IP Address],"N/A")</f>
        <v>184.180.92.48</v>
      </c>
      <c r="AG10" s="18" t="str">
        <f>_xlfn.XLOOKUP(Table2[[#This Row],[Site Num]],[1]!Table57[Branch ID],[1]!Table57[Port Speed],"N/A")</f>
        <v>50x10</v>
      </c>
      <c r="AH10" s="38" t="str">
        <f>_xlfn.XLOOKUP(Table2[[#This Row],[Site Num]],[1]!Table57[Branch ID],[1]!Table57[City],"N/A")</f>
        <v>Broken Arrow</v>
      </c>
      <c r="AI10" s="38" t="str">
        <f>_xlfn.XLOOKUP(Table2[[#This Row],[Site Num]],[1]!Table57[Branch ID],[1]!Table57[State],"N/A")</f>
        <v>OK</v>
      </c>
      <c r="AJ10" s="18" t="str">
        <f>_xlfn.XLOOKUP(Table2[[#This Row],[Site Num]],[1]!Table57[Branch ID],[1]!Table57[ZIP Code],"N/A")</f>
        <v>74012</v>
      </c>
      <c r="AK10" s="18" t="str">
        <f>_xlfn.XLOOKUP(Table2[[#This Row],[Site Num]],[1]!Table57[Branch ID],[1]!Table57[Circuit ID],"N/A")</f>
        <v>Acct# 001 6311 066523902</v>
      </c>
      <c r="AL10" s="18" t="str">
        <f>_xlfn.XLOOKUP(Table2[[#This Row],[Site Num]],[1]!Table57[Branch ID],[1]!Table57[ServiceType],"N/A")</f>
        <v>Cable</v>
      </c>
      <c r="AM10" s="18" t="str">
        <f>_xlfn.XLOOKUP(Table2[[#This Row],[Site Num]],[1]!Table57[Branch ID],[1]!Table57[Vendor],"N/A")</f>
        <v>Cox Business</v>
      </c>
      <c r="AN10" s="38" t="str">
        <f t="shared" si="0"/>
        <v>10.185.0.30</v>
      </c>
      <c r="AO10" s="19">
        <v>30</v>
      </c>
      <c r="AP10" s="20" t="str">
        <f t="shared" si="1"/>
        <v>10.176.30.X</v>
      </c>
      <c r="AQ10" s="20" t="str">
        <f t="shared" si="2"/>
        <v>10.186.30.x</v>
      </c>
      <c r="AR10" s="20" t="str">
        <f t="shared" si="3"/>
        <v>10.184.30.1</v>
      </c>
      <c r="AS10" s="20" t="str">
        <f t="shared" si="4"/>
        <v>10.184.30.25</v>
      </c>
      <c r="AT10" s="20"/>
      <c r="AU10" s="20"/>
      <c r="AV10" s="20" t="str">
        <f t="shared" si="5"/>
        <v>10.185.x.30</v>
      </c>
      <c r="AW10" s="20" t="str">
        <f t="shared" si="7"/>
        <v>10.184.30.X</v>
      </c>
      <c r="AX10" s="21"/>
      <c r="AY10" s="21"/>
      <c r="AZ10" s="21"/>
      <c r="BA10" s="21"/>
      <c r="BB10" s="22" t="str">
        <f t="shared" si="6"/>
        <v>10.184.30.240</v>
      </c>
    </row>
    <row r="11" spans="1:54">
      <c r="A11" s="6" t="s">
        <v>446</v>
      </c>
      <c r="B11" s="1" t="s">
        <v>259</v>
      </c>
      <c r="C11" s="1" t="s">
        <v>255</v>
      </c>
      <c r="D11" s="6" t="s">
        <v>257</v>
      </c>
      <c r="E11" s="11">
        <f>_xlfn.XLOOKUP(Table1[[#This Row],[Serial Number]],Table13[Serial No.],Table13[End Date])</f>
        <v>45317</v>
      </c>
      <c r="F11" s="11">
        <f>_xlfn.XLOOKUP(Table1[[#This Row],[Serial Number]],Table13[Serial No.],Table13[End Date])</f>
        <v>45317</v>
      </c>
      <c r="G11" s="11">
        <f>_xlfn.XLOOKUP(Table1[[#This Row],[Serial Number]],Table13[Serial No.],Table13[Registration Date])</f>
        <v>44224</v>
      </c>
      <c r="H11" s="1"/>
      <c r="I11" s="1" t="s">
        <v>127</v>
      </c>
      <c r="J11" s="1" t="s">
        <v>302</v>
      </c>
      <c r="K11" s="1"/>
      <c r="L11" s="1"/>
      <c r="M11" s="11" t="str">
        <f>_xlfn.XLOOKUP(Table1[[#This Row],[IP Address]],Table2[Firewall IP],Table2[City])</f>
        <v>Oklahoma City</v>
      </c>
      <c r="N11" s="47" t="str">
        <f>RIGHT(Table1[[#This Row],[IP Address]],LEN(Table1[[#This Row],[IP Address]])-9)</f>
        <v>144</v>
      </c>
      <c r="O11" s="1"/>
      <c r="P11" s="1" t="s">
        <v>4</v>
      </c>
      <c r="Q11" s="50" t="s">
        <v>207</v>
      </c>
      <c r="R11" s="1"/>
      <c r="S11" s="1"/>
      <c r="T11" s="1" t="s">
        <v>5</v>
      </c>
      <c r="U11" t="s">
        <v>86</v>
      </c>
      <c r="V11" s="8">
        <v>44132</v>
      </c>
      <c r="W11" s="8">
        <v>44112</v>
      </c>
      <c r="X11" s="8">
        <v>44566</v>
      </c>
      <c r="Y11" s="8" t="s">
        <v>364</v>
      </c>
      <c r="Z11" s="8">
        <v>44207</v>
      </c>
      <c r="AA11" s="8">
        <v>45331</v>
      </c>
      <c r="AB11" s="8" t="s">
        <v>365</v>
      </c>
      <c r="AC11" s="8" t="s">
        <v>366</v>
      </c>
      <c r="AE11" s="18" t="str">
        <f>_xlfn.XLOOKUP(Table2[[#This Row],[Site Num]],[1]!Table57[Branch ID],[1]!Table57[DC Name],"UNKNOWN")</f>
        <v>Dallas</v>
      </c>
      <c r="AF11" s="18" t="str">
        <f>_xlfn.XLOOKUP(Table2[[#This Row],[Site Num]],[1]!Table57[Branch ID],[1]!Table57[External IP Address],"N/A")</f>
        <v>24.173.196.44</v>
      </c>
      <c r="AG11" s="18" t="str">
        <f>_xlfn.XLOOKUP(Table2[[#This Row],[Site Num]],[1]!Table57[Branch ID],[1]!Table57[Port Speed],"N/A")</f>
        <v>100x10</v>
      </c>
      <c r="AH11" s="38" t="str">
        <f>_xlfn.XLOOKUP(Table2[[#This Row],[Site Num]],[1]!Table57[Branch ID],[1]!Table57[City],"N/A")</f>
        <v>Dallas</v>
      </c>
      <c r="AI11" s="38" t="str">
        <f>_xlfn.XLOOKUP(Table2[[#This Row],[Site Num]],[1]!Table57[Branch ID],[1]!Table57[State],"N/A")</f>
        <v>TX</v>
      </c>
      <c r="AJ11" s="18">
        <f>_xlfn.XLOOKUP(Table2[[#This Row],[Site Num]],[1]!Table57[Branch ID],[1]!Table57[ZIP Code],"N/A")</f>
        <v>75238</v>
      </c>
      <c r="AK11" s="18" t="str">
        <f>_xlfn.XLOOKUP(Table2[[#This Row],[Site Num]],[1]!Table57[Branch ID],[1]!Table57[Circuit ID],"N/A")</f>
        <v>Acct# - use physical address</v>
      </c>
      <c r="AL11" s="18" t="str">
        <f>_xlfn.XLOOKUP(Table2[[#This Row],[Site Num]],[1]!Table57[Branch ID],[1]!Table57[ServiceType],"N/A")</f>
        <v>Cable</v>
      </c>
      <c r="AM11" s="18" t="str">
        <f>_xlfn.XLOOKUP(Table2[[#This Row],[Site Num]],[1]!Table57[Branch ID],[1]!Table57[Vendor],"N/A")</f>
        <v>Charter</v>
      </c>
      <c r="AN11" s="38" t="str">
        <f t="shared" si="0"/>
        <v>10.185.0.31</v>
      </c>
      <c r="AO11" s="19">
        <v>31</v>
      </c>
      <c r="AP11" s="20" t="str">
        <f t="shared" si="1"/>
        <v>10.176.31.X</v>
      </c>
      <c r="AQ11" s="20" t="str">
        <f t="shared" si="2"/>
        <v>10.186.31.x</v>
      </c>
      <c r="AR11" s="20" t="str">
        <f t="shared" si="3"/>
        <v>10.184.31.1</v>
      </c>
      <c r="AS11" s="20" t="str">
        <f t="shared" si="4"/>
        <v>10.184.31.25</v>
      </c>
      <c r="AT11" s="20"/>
      <c r="AU11" s="20"/>
      <c r="AV11" s="20" t="str">
        <f t="shared" si="5"/>
        <v>10.185.x.31</v>
      </c>
      <c r="AW11" s="20" t="str">
        <f t="shared" si="7"/>
        <v>10.184.31.X</v>
      </c>
      <c r="AX11" s="21"/>
      <c r="AY11" s="21"/>
      <c r="AZ11" s="21"/>
      <c r="BA11" s="21"/>
      <c r="BB11" s="22" t="str">
        <f t="shared" si="6"/>
        <v>10.184.31.240</v>
      </c>
    </row>
    <row r="12" spans="1:54">
      <c r="A12" s="6" t="s">
        <v>447</v>
      </c>
      <c r="B12" s="1" t="s">
        <v>259</v>
      </c>
      <c r="C12" s="1" t="s">
        <v>255</v>
      </c>
      <c r="D12" s="6" t="s">
        <v>257</v>
      </c>
      <c r="E12" s="11">
        <f>_xlfn.XLOOKUP(Table1[[#This Row],[Serial Number]],Table13[Serial No.],Table13[End Date])</f>
        <v>45331</v>
      </c>
      <c r="F12" s="11">
        <f>_xlfn.XLOOKUP(Table1[[#This Row],[Serial Number]],Table13[Serial No.],Table13[End Date])</f>
        <v>45331</v>
      </c>
      <c r="G12" s="11">
        <f>_xlfn.XLOOKUP(Table1[[#This Row],[Serial Number]],Table13[Serial No.],Table13[Registration Date])</f>
        <v>43433</v>
      </c>
      <c r="H12" s="1"/>
      <c r="I12" s="1" t="s">
        <v>73</v>
      </c>
      <c r="J12" s="1" t="s">
        <v>310</v>
      </c>
      <c r="K12" s="1"/>
      <c r="L12" s="1"/>
      <c r="M12" s="11" t="str">
        <f>_xlfn.XLOOKUP(Table1[[#This Row],[IP Address]],Table2[Firewall IP],Table2[City])</f>
        <v>San Antonio</v>
      </c>
      <c r="N12" s="47" t="str">
        <f>RIGHT(Table1[[#This Row],[IP Address]],LEN(Table1[[#This Row],[IP Address]])-9)</f>
        <v>16</v>
      </c>
      <c r="O12" s="1"/>
      <c r="P12" s="1" t="s">
        <v>4</v>
      </c>
      <c r="Q12" s="50" t="s">
        <v>221</v>
      </c>
      <c r="R12" s="1"/>
      <c r="S12" s="1"/>
      <c r="T12" s="1" t="s">
        <v>5</v>
      </c>
      <c r="U12" t="s">
        <v>63</v>
      </c>
      <c r="V12" s="8">
        <v>44132</v>
      </c>
      <c r="W12" s="8">
        <v>44111</v>
      </c>
      <c r="X12" s="8">
        <v>44565</v>
      </c>
      <c r="Y12" s="8" t="s">
        <v>364</v>
      </c>
      <c r="Z12" s="8">
        <v>44207</v>
      </c>
      <c r="AA12" s="8">
        <v>45331</v>
      </c>
      <c r="AB12" s="8" t="s">
        <v>365</v>
      </c>
      <c r="AC12" s="8" t="s">
        <v>366</v>
      </c>
      <c r="AE12" s="18" t="str">
        <f>_xlfn.XLOOKUP(Table2[[#This Row],[Site Num]],[1]!Table57[Branch ID],[1]!Table57[DC Name],"UNKNOWN")</f>
        <v>Fort Wayne</v>
      </c>
      <c r="AF12" s="18" t="str">
        <f>_xlfn.XLOOKUP(Table2[[#This Row],[Site Num]],[1]!Table57[Branch ID],[1]!Table57[External IP Address],"N/A")</f>
        <v>66.18.187.26</v>
      </c>
      <c r="AG12" s="18" t="str">
        <f>_xlfn.XLOOKUP(Table2[[#This Row],[Site Num]],[1]!Table57[Branch ID],[1]!Table57[Port Speed],"N/A")</f>
        <v>50 x 10</v>
      </c>
      <c r="AH12" s="38" t="str">
        <f>_xlfn.XLOOKUP(Table2[[#This Row],[Site Num]],[1]!Table57[Branch ID],[1]!Table57[City],"N/A")</f>
        <v>Bluffton</v>
      </c>
      <c r="AI12" s="38" t="str">
        <f>_xlfn.XLOOKUP(Table2[[#This Row],[Site Num]],[1]!Table57[Branch ID],[1]!Table57[State],"N/A")</f>
        <v>IN</v>
      </c>
      <c r="AJ12" s="18" t="str">
        <f>_xlfn.XLOOKUP(Table2[[#This Row],[Site Num]],[1]!Table57[Branch ID],[1]!Table57[ZIP Code],"N/A")</f>
        <v>46714</v>
      </c>
      <c r="AK12" s="18" t="str">
        <f>_xlfn.XLOOKUP(Table2[[#This Row],[Site Num]],[1]!Table57[Branch ID],[1]!Table57[Circuit ID],"N/A")</f>
        <v>Acct# 99790089272</v>
      </c>
      <c r="AL12" s="18" t="str">
        <f>_xlfn.XLOOKUP(Table2[[#This Row],[Site Num]],[1]!Table57[Branch ID],[1]!Table57[ServiceType],"N/A")</f>
        <v>Cable</v>
      </c>
      <c r="AM12" s="18" t="str">
        <f>_xlfn.XLOOKUP(Table2[[#This Row],[Site Num]],[1]!Table57[Branch ID],[1]!Table57[Vendor],"N/A")</f>
        <v>Adams Wells</v>
      </c>
      <c r="AN12" s="38" t="str">
        <f t="shared" si="0"/>
        <v>10.185.0.32</v>
      </c>
      <c r="AO12" s="23">
        <v>32</v>
      </c>
      <c r="AP12" s="20" t="str">
        <f t="shared" si="1"/>
        <v>10.176.32.X</v>
      </c>
      <c r="AQ12" s="20" t="str">
        <f t="shared" si="2"/>
        <v>10.186.32.x</v>
      </c>
      <c r="AR12" s="20" t="str">
        <f t="shared" si="3"/>
        <v>10.184.32.1</v>
      </c>
      <c r="AS12" s="20" t="str">
        <f t="shared" si="4"/>
        <v>10.184.32.25</v>
      </c>
      <c r="AT12" s="20"/>
      <c r="AU12" s="20"/>
      <c r="AV12" s="20" t="str">
        <f t="shared" si="5"/>
        <v>10.185.x.32</v>
      </c>
      <c r="AW12" s="20" t="str">
        <f t="shared" si="7"/>
        <v>10.184.32.X</v>
      </c>
      <c r="AX12" s="21"/>
      <c r="AY12" s="21"/>
      <c r="AZ12" s="21"/>
      <c r="BA12" s="21"/>
      <c r="BB12" s="22" t="str">
        <f t="shared" si="6"/>
        <v>10.184.32.240</v>
      </c>
    </row>
    <row r="13" spans="1:54">
      <c r="A13" s="6" t="s">
        <v>448</v>
      </c>
      <c r="B13" s="1" t="s">
        <v>259</v>
      </c>
      <c r="C13" s="1" t="s">
        <v>255</v>
      </c>
      <c r="D13" s="6" t="s">
        <v>257</v>
      </c>
      <c r="E13" s="11">
        <f>_xlfn.XLOOKUP(Table1[[#This Row],[Serial Number]],Table13[Serial No.],Table13[End Date])</f>
        <v>45317</v>
      </c>
      <c r="F13" s="11">
        <f>_xlfn.XLOOKUP(Table1[[#This Row],[Serial Number]],Table13[Serial No.],Table13[End Date])</f>
        <v>45317</v>
      </c>
      <c r="G13" s="11">
        <f>_xlfn.XLOOKUP(Table1[[#This Row],[Serial Number]],Table13[Serial No.],Table13[Registration Date])</f>
        <v>44224</v>
      </c>
      <c r="H13" s="1"/>
      <c r="I13" s="1" t="s">
        <v>47</v>
      </c>
      <c r="J13" s="1" t="s">
        <v>300</v>
      </c>
      <c r="K13" s="1"/>
      <c r="L13" s="1"/>
      <c r="M13" s="11" t="str">
        <f>_xlfn.XLOOKUP(Table1[[#This Row],[IP Address]],Table2[Firewall IP],Table2[City])</f>
        <v>Belcamp</v>
      </c>
      <c r="N13" s="47" t="str">
        <f>RIGHT(Table1[[#This Row],[IP Address]],LEN(Table1[[#This Row],[IP Address]])-9)</f>
        <v>167</v>
      </c>
      <c r="O13" s="1"/>
      <c r="P13" s="1" t="s">
        <v>4</v>
      </c>
      <c r="Q13" s="50" t="s">
        <v>161</v>
      </c>
      <c r="R13" s="1"/>
      <c r="S13" s="1"/>
      <c r="T13" s="1" t="s">
        <v>5</v>
      </c>
      <c r="U13" t="s">
        <v>63</v>
      </c>
      <c r="V13" s="8">
        <v>44132</v>
      </c>
      <c r="W13" s="8">
        <v>44111</v>
      </c>
      <c r="X13" s="8">
        <v>44565</v>
      </c>
      <c r="Y13" s="8" t="s">
        <v>371</v>
      </c>
      <c r="Z13" s="8">
        <v>44559</v>
      </c>
      <c r="AA13" s="8">
        <v>44923</v>
      </c>
      <c r="AB13" s="8" t="s">
        <v>365</v>
      </c>
      <c r="AC13" s="8" t="s">
        <v>368</v>
      </c>
      <c r="AE13" s="18" t="str">
        <f>_xlfn.XLOOKUP(Table2[[#This Row],[Site Num]],[1]!Table57[Branch ID],[1]!Table57[DC Name],"UNKNOWN")</f>
        <v>Reno</v>
      </c>
      <c r="AF13" s="18" t="str">
        <f>_xlfn.XLOOKUP(Table2[[#This Row],[Site Num]],[1]!Table57[Branch ID],[1]!Table57[External IP Address],"N/A")</f>
        <v>23.114.30.113</v>
      </c>
      <c r="AG13" s="18" t="str">
        <f>_xlfn.XLOOKUP(Table2[[#This Row],[Site Num]],[1]!Table57[Branch ID],[1]!Table57[Port Speed],"N/A")</f>
        <v>6 x 768kbps</v>
      </c>
      <c r="AH13" s="38" t="str">
        <f>_xlfn.XLOOKUP(Table2[[#This Row],[Site Num]],[1]!Table57[Branch ID],[1]!Table57[City],"N/A")</f>
        <v>Reno</v>
      </c>
      <c r="AI13" s="38" t="str">
        <f>_xlfn.XLOOKUP(Table2[[#This Row],[Site Num]],[1]!Table57[Branch ID],[1]!Table57[State],"N/A")</f>
        <v>NV</v>
      </c>
      <c r="AJ13" s="18" t="str">
        <f>_xlfn.XLOOKUP(Table2[[#This Row],[Site Num]],[1]!Table57[Branch ID],[1]!Table57[ZIP Code],"N/A")</f>
        <v>89506</v>
      </c>
      <c r="AK13" s="18" t="str">
        <f>_xlfn.XLOOKUP(Table2[[#This Row],[Site Num]],[1]!Table57[Branch ID],[1]!Table57[Circuit ID],"N/A")</f>
        <v>Acct# 166 003-4619</v>
      </c>
      <c r="AL13" s="18" t="str">
        <f>_xlfn.XLOOKUP(Table2[[#This Row],[Site Num]],[1]!Table57[Branch ID],[1]!Table57[ServiceType],"N/A")</f>
        <v>DSL</v>
      </c>
      <c r="AM13" s="18" t="str">
        <f>_xlfn.XLOOKUP(Table2[[#This Row],[Site Num]],[1]!Table57[Branch ID],[1]!Table57[Vendor],"N/A")</f>
        <v>AT&amp;T</v>
      </c>
      <c r="AN13" s="38" t="str">
        <f t="shared" si="0"/>
        <v>10.185.0.33</v>
      </c>
      <c r="AO13" s="23">
        <v>33</v>
      </c>
      <c r="AP13" s="20" t="str">
        <f t="shared" si="1"/>
        <v>10.176.33.X</v>
      </c>
      <c r="AQ13" s="20" t="str">
        <f t="shared" si="2"/>
        <v>10.186.33.x</v>
      </c>
      <c r="AR13" s="20" t="str">
        <f t="shared" si="3"/>
        <v>10.184.33.1</v>
      </c>
      <c r="AS13" s="20" t="str">
        <f t="shared" si="4"/>
        <v>10.184.33.25</v>
      </c>
      <c r="AT13" s="20"/>
      <c r="AU13" s="20"/>
      <c r="AV13" s="20" t="str">
        <f t="shared" si="5"/>
        <v>10.185.x.33</v>
      </c>
      <c r="AW13" s="20" t="str">
        <f t="shared" si="7"/>
        <v>10.184.33.X</v>
      </c>
      <c r="AX13" s="21"/>
      <c r="AY13" s="21"/>
      <c r="AZ13" s="21"/>
      <c r="BA13" s="21"/>
      <c r="BB13" s="22" t="str">
        <f t="shared" si="6"/>
        <v>10.184.33.240</v>
      </c>
    </row>
    <row r="14" spans="1:54">
      <c r="A14" s="6" t="s">
        <v>449</v>
      </c>
      <c r="B14" s="1" t="s">
        <v>259</v>
      </c>
      <c r="C14" s="1" t="s">
        <v>255</v>
      </c>
      <c r="D14" s="6" t="s">
        <v>257</v>
      </c>
      <c r="E14" s="11">
        <f>_xlfn.XLOOKUP(Table1[[#This Row],[Serial Number]],Table13[Serial No.],Table13[End Date])</f>
        <v>44191</v>
      </c>
      <c r="F14" s="11">
        <f>_xlfn.XLOOKUP(Table1[[#This Row],[Serial Number]],Table13[Serial No.],Table13[End Date])</f>
        <v>44191</v>
      </c>
      <c r="G14" s="11">
        <f>_xlfn.XLOOKUP(Table1[[#This Row],[Serial Number]],Table13[Serial No.],Table13[Registration Date])</f>
        <v>43613</v>
      </c>
      <c r="H14" s="1"/>
      <c r="I14" s="1" t="s">
        <v>64</v>
      </c>
      <c r="J14" s="1" t="s">
        <v>272</v>
      </c>
      <c r="K14" s="1"/>
      <c r="L14" s="1"/>
      <c r="M14" s="11" t="str">
        <f>_xlfn.XLOOKUP(Table1[[#This Row],[IP Address]],Table2[Firewall IP],Table2[City])</f>
        <v>Lebanon</v>
      </c>
      <c r="N14" s="47" t="str">
        <f>RIGHT(Table1[[#This Row],[IP Address]],LEN(Table1[[#This Row],[IP Address]])-9)</f>
        <v>168</v>
      </c>
      <c r="O14" s="1"/>
      <c r="P14" s="1" t="s">
        <v>4</v>
      </c>
      <c r="Q14" s="49" t="s">
        <v>190</v>
      </c>
      <c r="R14" s="1"/>
      <c r="S14" s="1"/>
      <c r="T14" s="1" t="s">
        <v>5</v>
      </c>
      <c r="U14" t="s">
        <v>66</v>
      </c>
      <c r="V14" s="8">
        <v>43391</v>
      </c>
      <c r="W14" s="8">
        <v>43354</v>
      </c>
      <c r="X14" s="8">
        <v>43808</v>
      </c>
      <c r="Y14" s="8" t="s">
        <v>364</v>
      </c>
      <c r="Z14" s="8">
        <v>44207</v>
      </c>
      <c r="AA14" s="8">
        <v>45331</v>
      </c>
      <c r="AB14" s="8" t="s">
        <v>365</v>
      </c>
      <c r="AC14" s="8" t="s">
        <v>366</v>
      </c>
      <c r="AE14" s="18" t="str">
        <f>_xlfn.XLOOKUP(Table2[[#This Row],[Site Num]],[1]!Table57[Branch ID],[1]!Table57[DC Name],"UNKNOWN")</f>
        <v>Lansing</v>
      </c>
      <c r="AF14" s="18" t="str">
        <f>_xlfn.XLOOKUP(Table2[[#This Row],[Site Num]],[1]!Table57[Branch ID],[1]!Table57[External IP Address],"N/A")</f>
        <v>12.239.195.106</v>
      </c>
      <c r="AG14" s="18" t="str">
        <f>_xlfn.XLOOKUP(Table2[[#This Row],[Site Num]],[1]!Table57[Branch ID],[1]!Table57[Port Speed],"N/A")</f>
        <v>10x10</v>
      </c>
      <c r="AH14" s="38" t="str">
        <f>_xlfn.XLOOKUP(Table2[[#This Row],[Site Num]],[1]!Table57[Branch ID],[1]!Table57[City],"N/A")</f>
        <v>Lansing</v>
      </c>
      <c r="AI14" s="38" t="str">
        <f>_xlfn.XLOOKUP(Table2[[#This Row],[Site Num]],[1]!Table57[Branch ID],[1]!Table57[State],"N/A")</f>
        <v>MI</v>
      </c>
      <c r="AJ14" s="18" t="str">
        <f>_xlfn.XLOOKUP(Table2[[#This Row],[Site Num]],[1]!Table57[Branch ID],[1]!Table57[ZIP Code],"N/A")</f>
        <v>48917</v>
      </c>
      <c r="AK14" s="18" t="str">
        <f>_xlfn.XLOOKUP(Table2[[#This Row],[Site Num]],[1]!Table57[Branch ID],[1]!Table57[Circuit ID],"N/A")</f>
        <v>/MLEC/571069//ATI/</v>
      </c>
      <c r="AL14" s="18" t="str">
        <f>_xlfn.XLOOKUP(Table2[[#This Row],[Site Num]],[1]!Table57[Branch ID],[1]!Table57[ServiceType],"N/A")</f>
        <v>Fiber</v>
      </c>
      <c r="AM14" s="18" t="str">
        <f>_xlfn.XLOOKUP(Table2[[#This Row],[Site Num]],[1]!Table57[Branch ID],[1]!Table57[Vendor],"N/A")</f>
        <v>AT&amp;T Fiber</v>
      </c>
      <c r="AN14" s="38" t="str">
        <f t="shared" si="0"/>
        <v>10.185.0.34</v>
      </c>
      <c r="AO14" s="23">
        <v>34</v>
      </c>
      <c r="AP14" s="20" t="str">
        <f t="shared" si="1"/>
        <v>10.176.34.X</v>
      </c>
      <c r="AQ14" s="20" t="str">
        <f t="shared" si="2"/>
        <v>10.186.34.x</v>
      </c>
      <c r="AR14" s="20" t="str">
        <f t="shared" si="3"/>
        <v>10.184.34.1</v>
      </c>
      <c r="AS14" s="20" t="str">
        <f t="shared" si="4"/>
        <v>10.184.34.25</v>
      </c>
      <c r="AT14" s="20"/>
      <c r="AU14" s="20"/>
      <c r="AV14" s="20" t="str">
        <f t="shared" si="5"/>
        <v>10.185.x.34</v>
      </c>
      <c r="AW14" s="20" t="str">
        <f t="shared" si="7"/>
        <v>10.184.34.X</v>
      </c>
      <c r="AX14" s="21"/>
      <c r="AY14" s="21"/>
      <c r="AZ14" s="21"/>
      <c r="BA14" s="21"/>
      <c r="BB14" s="22" t="str">
        <f t="shared" si="6"/>
        <v>10.184.34.240</v>
      </c>
    </row>
    <row r="15" spans="1:54">
      <c r="A15" s="6" t="s">
        <v>450</v>
      </c>
      <c r="B15" s="1" t="s">
        <v>259</v>
      </c>
      <c r="C15" s="1" t="s">
        <v>255</v>
      </c>
      <c r="D15" s="6" t="s">
        <v>257</v>
      </c>
      <c r="E15" s="11">
        <f>_xlfn.XLOOKUP(Table1[[#This Row],[Serial Number]],Table13[Serial No.],Table13[End Date])</f>
        <v>45317</v>
      </c>
      <c r="F15" s="11">
        <f>_xlfn.XLOOKUP(Table1[[#This Row],[Serial Number]],Table13[Serial No.],Table13[End Date])</f>
        <v>45317</v>
      </c>
      <c r="G15" s="11">
        <f>_xlfn.XLOOKUP(Table1[[#This Row],[Serial Number]],Table13[Serial No.],Table13[Registration Date])</f>
        <v>44224</v>
      </c>
      <c r="H15" s="1"/>
      <c r="I15" s="1" t="s">
        <v>30</v>
      </c>
      <c r="J15" s="1" t="s">
        <v>303</v>
      </c>
      <c r="K15" s="1"/>
      <c r="L15" s="1"/>
      <c r="M15" s="11" t="str">
        <f>_xlfn.XLOOKUP(Table1[[#This Row],[IP Address]],Table2[Firewall IP],Table2[City])</f>
        <v>Lubbock</v>
      </c>
      <c r="N15" s="47" t="str">
        <f>RIGHT(Table1[[#This Row],[IP Address]],LEN(Table1[[#This Row],[IP Address]])-9)</f>
        <v>17</v>
      </c>
      <c r="O15" s="1"/>
      <c r="P15" s="1" t="s">
        <v>4</v>
      </c>
      <c r="Q15" s="50" t="s">
        <v>203</v>
      </c>
      <c r="R15" s="1"/>
      <c r="S15" s="1"/>
      <c r="T15" s="1" t="s">
        <v>5</v>
      </c>
      <c r="U15" t="s">
        <v>21</v>
      </c>
      <c r="V15" s="8">
        <v>44206</v>
      </c>
      <c r="W15" s="8">
        <v>44173</v>
      </c>
      <c r="X15" s="8">
        <v>44627</v>
      </c>
      <c r="Y15" s="8" t="s">
        <v>369</v>
      </c>
      <c r="Z15" s="8">
        <v>44208</v>
      </c>
      <c r="AA15" s="8">
        <v>45302</v>
      </c>
      <c r="AB15" s="8" t="s">
        <v>365</v>
      </c>
      <c r="AC15" s="8" t="s">
        <v>370</v>
      </c>
      <c r="AE15" s="18" t="str">
        <f>_xlfn.XLOOKUP(Table2[[#This Row],[Site Num]],[1]!Table57[Branch ID],[1]!Table57[DC Name],"UNKNOWN")</f>
        <v>Boston</v>
      </c>
      <c r="AF15" s="18" t="str">
        <f>_xlfn.XLOOKUP(Table2[[#This Row],[Site Num]],[1]!Table57[Branch ID],[1]!Table57[External IP Address],"N/A")</f>
        <v>108.49.192.146</v>
      </c>
      <c r="AG15" s="18" t="str">
        <f>_xlfn.XLOOKUP(Table2[[#This Row],[Site Num]],[1]!Table57[Branch ID],[1]!Table57[Port Speed],"N/A")</f>
        <v>75x75</v>
      </c>
      <c r="AH15" s="38" t="str">
        <f>_xlfn.XLOOKUP(Table2[[#This Row],[Site Num]],[1]!Table57[Branch ID],[1]!Table57[City],"N/A")</f>
        <v>Lakeville</v>
      </c>
      <c r="AI15" s="38" t="str">
        <f>_xlfn.XLOOKUP(Table2[[#This Row],[Site Num]],[1]!Table57[Branch ID],[1]!Table57[State],"N/A")</f>
        <v>MA</v>
      </c>
      <c r="AJ15" s="18" t="str">
        <f>_xlfn.XLOOKUP(Table2[[#This Row],[Site Num]],[1]!Table57[Branch ID],[1]!Table57[ZIP Code],"N/A")</f>
        <v>02347</v>
      </c>
      <c r="AK15" s="18" t="str">
        <f>_xlfn.XLOOKUP(Table2[[#This Row],[Site Num]],[1]!Table57[Branch ID],[1]!Table57[Circuit ID],"N/A")</f>
        <v>Acct# 5529215480001</v>
      </c>
      <c r="AL15" s="18" t="str">
        <f>_xlfn.XLOOKUP(Table2[[#This Row],[Site Num]],[1]!Table57[Branch ID],[1]!Table57[ServiceType],"N/A")</f>
        <v>Fiber</v>
      </c>
      <c r="AM15" s="18" t="str">
        <f>_xlfn.XLOOKUP(Table2[[#This Row],[Site Num]],[1]!Table57[Branch ID],[1]!Table57[Vendor],"N/A")</f>
        <v>FIOS</v>
      </c>
      <c r="AN15" s="38" t="str">
        <f t="shared" si="0"/>
        <v>10.185.0.36</v>
      </c>
      <c r="AO15" s="23">
        <v>36</v>
      </c>
      <c r="AP15" s="20" t="str">
        <f t="shared" si="1"/>
        <v>10.176.36.X</v>
      </c>
      <c r="AQ15" s="20" t="str">
        <f t="shared" si="2"/>
        <v>10.186.36.x</v>
      </c>
      <c r="AR15" s="20" t="str">
        <f t="shared" si="3"/>
        <v>10.184.36.1</v>
      </c>
      <c r="AS15" s="20" t="str">
        <f t="shared" si="4"/>
        <v>10.184.36.25</v>
      </c>
      <c r="AT15" s="20"/>
      <c r="AU15" s="20"/>
      <c r="AV15" s="20" t="str">
        <f t="shared" si="5"/>
        <v>10.185.x.36</v>
      </c>
      <c r="AW15" s="20" t="str">
        <f t="shared" si="7"/>
        <v>10.184.36.X</v>
      </c>
      <c r="AX15" s="21"/>
      <c r="AY15" s="21"/>
      <c r="AZ15" s="21"/>
      <c r="BA15" s="21"/>
      <c r="BB15" s="22" t="str">
        <f t="shared" si="6"/>
        <v>10.184.36.240</v>
      </c>
    </row>
    <row r="16" spans="1:54">
      <c r="A16" s="6" t="s">
        <v>451</v>
      </c>
      <c r="B16" s="1" t="s">
        <v>259</v>
      </c>
      <c r="C16" s="1" t="s">
        <v>255</v>
      </c>
      <c r="D16" s="6" t="s">
        <v>257</v>
      </c>
      <c r="E16" s="11">
        <f>_xlfn.XLOOKUP(Table1[[#This Row],[Serial Number]],Table13[Serial No.],Table13[End Date])</f>
        <v>44101</v>
      </c>
      <c r="F16" s="11">
        <f>_xlfn.XLOOKUP(Table1[[#This Row],[Serial Number]],Table13[Serial No.],Table13[End Date])</f>
        <v>44101</v>
      </c>
      <c r="G16" s="11">
        <f>_xlfn.XLOOKUP(Table1[[#This Row],[Serial Number]],Table13[Serial No.],Table13[Registration Date])</f>
        <v>43736</v>
      </c>
      <c r="H16" s="1"/>
      <c r="I16" s="1" t="s">
        <v>61</v>
      </c>
      <c r="J16" s="1" t="s">
        <v>277</v>
      </c>
      <c r="K16" s="1"/>
      <c r="L16" s="1"/>
      <c r="M16" s="11" t="str">
        <f>_xlfn.XLOOKUP(Table1[[#This Row],[IP Address]],Table2[Firewall IP],Table2[City])</f>
        <v>Kennesaw</v>
      </c>
      <c r="N16" s="47" t="str">
        <f>RIGHT(Table1[[#This Row],[IP Address]],LEN(Table1[[#This Row],[IP Address]])-9)</f>
        <v>18</v>
      </c>
      <c r="O16" s="1"/>
      <c r="P16" s="1" t="s">
        <v>4</v>
      </c>
      <c r="Q16" s="50" t="s">
        <v>157</v>
      </c>
      <c r="R16" s="1"/>
      <c r="S16" s="1"/>
      <c r="T16" s="1" t="s">
        <v>5</v>
      </c>
      <c r="U16" t="s">
        <v>38</v>
      </c>
      <c r="V16" s="8">
        <v>44224</v>
      </c>
      <c r="W16" s="8">
        <v>44210</v>
      </c>
      <c r="X16" s="8">
        <v>44664</v>
      </c>
      <c r="Y16" s="8" t="s">
        <v>364</v>
      </c>
      <c r="Z16" s="8">
        <v>44207</v>
      </c>
      <c r="AA16" s="8">
        <v>45331</v>
      </c>
      <c r="AB16" s="8" t="s">
        <v>365</v>
      </c>
      <c r="AC16" s="8" t="s">
        <v>366</v>
      </c>
      <c r="AE16" s="18" t="str">
        <f>_xlfn.XLOOKUP(Table2[[#This Row],[Site Num]],[1]!Table57[Branch ID],[1]!Table57[DC Name],"UNKNOWN")</f>
        <v>Waterville</v>
      </c>
      <c r="AF16" s="18" t="str">
        <f>_xlfn.XLOOKUP(Table2[[#This Row],[Site Num]],[1]!Table57[Branch ID],[1]!Table57[External IP Address],"N/A")</f>
        <v>72.43.231.82</v>
      </c>
      <c r="AG16" s="18" t="str">
        <f>_xlfn.XLOOKUP(Table2[[#This Row],[Site Num]],[1]!Table57[Branch ID],[1]!Table57[Port Speed],"N/A")</f>
        <v>50 x 50</v>
      </c>
      <c r="AH16" s="38" t="str">
        <f>_xlfn.XLOOKUP(Table2[[#This Row],[Site Num]],[1]!Table57[Branch ID],[1]!Table57[City],"N/A")</f>
        <v>Waterville</v>
      </c>
      <c r="AI16" s="38" t="str">
        <f>_xlfn.XLOOKUP(Table2[[#This Row],[Site Num]],[1]!Table57[Branch ID],[1]!Table57[State],"N/A")</f>
        <v>ME</v>
      </c>
      <c r="AJ16" s="18" t="str">
        <f>_xlfn.XLOOKUP(Table2[[#This Row],[Site Num]],[1]!Table57[Branch ID],[1]!Table57[ZIP Code],"N/A")</f>
        <v>04901</v>
      </c>
      <c r="AK16" s="18" t="str">
        <f>_xlfn.XLOOKUP(Table2[[#This Row],[Site Num]],[1]!Table57[Branch ID],[1]!Table57[Circuit ID],"N/A")</f>
        <v>Acct# 202-864567702-001</v>
      </c>
      <c r="AL16" s="18" t="str">
        <f>_xlfn.XLOOKUP(Table2[[#This Row],[Site Num]],[1]!Table57[Branch ID],[1]!Table57[ServiceType],"N/A")</f>
        <v>Fiber</v>
      </c>
      <c r="AM16" s="18" t="str">
        <f>_xlfn.XLOOKUP(Table2[[#This Row],[Site Num]],[1]!Table57[Branch ID],[1]!Table57[Vendor],"N/A")</f>
        <v>Charter Fiber</v>
      </c>
      <c r="AN16" s="38" t="str">
        <f t="shared" si="0"/>
        <v>10.185.0.40</v>
      </c>
      <c r="AO16" s="19">
        <v>40</v>
      </c>
      <c r="AP16" s="20" t="str">
        <f t="shared" si="1"/>
        <v>10.176.40.X</v>
      </c>
      <c r="AQ16" s="20" t="str">
        <f t="shared" si="2"/>
        <v>10.186.40.x</v>
      </c>
      <c r="AR16" s="20" t="str">
        <f t="shared" si="3"/>
        <v>10.184.40.1</v>
      </c>
      <c r="AS16" s="20" t="str">
        <f t="shared" si="4"/>
        <v>10.184.40.25</v>
      </c>
      <c r="AT16" s="20"/>
      <c r="AU16" s="20"/>
      <c r="AV16" s="20" t="str">
        <f t="shared" si="5"/>
        <v>10.185.x.40</v>
      </c>
      <c r="AW16" s="20" t="str">
        <f t="shared" si="7"/>
        <v>10.184.40.X</v>
      </c>
      <c r="AX16" s="21"/>
      <c r="AY16" s="21"/>
      <c r="AZ16" s="21"/>
      <c r="BA16" s="21"/>
      <c r="BB16" s="22" t="str">
        <f t="shared" si="6"/>
        <v>10.184.40.240</v>
      </c>
    </row>
    <row r="17" spans="1:54">
      <c r="A17" s="6" t="s">
        <v>452</v>
      </c>
      <c r="B17" s="1" t="s">
        <v>259</v>
      </c>
      <c r="C17" s="1" t="s">
        <v>255</v>
      </c>
      <c r="D17" s="6" t="s">
        <v>257</v>
      </c>
      <c r="E17" s="11">
        <f>_xlfn.XLOOKUP(Table1[[#This Row],[Serial Number]],Table13[Serial No.],Table13[End Date])</f>
        <v>45331</v>
      </c>
      <c r="F17" s="11">
        <f>_xlfn.XLOOKUP(Table1[[#This Row],[Serial Number]],Table13[Serial No.],Table13[End Date])</f>
        <v>45331</v>
      </c>
      <c r="G17" s="11">
        <f>_xlfn.XLOOKUP(Table1[[#This Row],[Serial Number]],Table13[Serial No.],Table13[Registration Date])</f>
        <v>44349</v>
      </c>
      <c r="H17" s="1"/>
      <c r="I17" s="1" t="s">
        <v>65</v>
      </c>
      <c r="J17" s="1" t="s">
        <v>311</v>
      </c>
      <c r="K17" s="1"/>
      <c r="L17" s="1"/>
      <c r="M17" s="11" t="str">
        <f>_xlfn.XLOOKUP(Table1[[#This Row],[IP Address]],Table2[Firewall IP],Table2[City])</f>
        <v>Joplin</v>
      </c>
      <c r="N17" s="47" t="str">
        <f>RIGHT(Table1[[#This Row],[IP Address]],LEN(Table1[[#This Row],[IP Address]])-9)</f>
        <v>183</v>
      </c>
      <c r="O17" s="1"/>
      <c r="P17" s="1" t="s">
        <v>4</v>
      </c>
      <c r="Q17" s="49" t="s">
        <v>192</v>
      </c>
      <c r="R17" s="1"/>
      <c r="S17" s="1"/>
      <c r="T17" s="1" t="s">
        <v>5</v>
      </c>
      <c r="U17" t="s">
        <v>38</v>
      </c>
      <c r="V17" s="8">
        <v>44224</v>
      </c>
      <c r="W17" s="8">
        <v>44210</v>
      </c>
      <c r="X17" s="8">
        <v>44664</v>
      </c>
      <c r="Y17" s="8" t="s">
        <v>364</v>
      </c>
      <c r="Z17" s="8">
        <v>44207</v>
      </c>
      <c r="AA17" s="8">
        <v>45331</v>
      </c>
      <c r="AB17" s="8" t="s">
        <v>365</v>
      </c>
      <c r="AC17" s="8" t="s">
        <v>366</v>
      </c>
      <c r="AE17" s="18" t="str">
        <f>_xlfn.XLOOKUP(Table2[[#This Row],[Site Num]],[1]!Table57[Branch ID],[1]!Table57[DC Name],"UNKNOWN")</f>
        <v>Alexandria</v>
      </c>
      <c r="AF17" s="18" t="str">
        <f>_xlfn.XLOOKUP(Table2[[#This Row],[Site Num]],[1]!Table57[Branch ID],[1]!Table57[External IP Address],"N/A")</f>
        <v>4.1.136.230</v>
      </c>
      <c r="AG17" s="18" t="str">
        <f>_xlfn.XLOOKUP(Table2[[#This Row],[Site Num]],[1]!Table57[Branch ID],[1]!Table57[Port Speed],"N/A")</f>
        <v>20x20</v>
      </c>
      <c r="AH17" s="38" t="str">
        <f>_xlfn.XLOOKUP(Table2[[#This Row],[Site Num]],[1]!Table57[Branch ID],[1]!Table57[City],"N/A")</f>
        <v>Alexandria</v>
      </c>
      <c r="AI17" s="38" t="str">
        <f>_xlfn.XLOOKUP(Table2[[#This Row],[Site Num]],[1]!Table57[Branch ID],[1]!Table57[State],"N/A")</f>
        <v>LA</v>
      </c>
      <c r="AJ17" s="18" t="str">
        <f>_xlfn.XLOOKUP(Table2[[#This Row],[Site Num]],[1]!Table57[Branch ID],[1]!Table57[ZIP Code],"N/A")</f>
        <v>71302</v>
      </c>
      <c r="AK17" s="18" t="str">
        <f>_xlfn.XLOOKUP(Table2[[#This Row],[Site Num]],[1]!Table57[Branch ID],[1]!Table57[Circuit ID],"N/A")</f>
        <v>Account number 328925 - Circuit ID 442934760 Local=L1/KQGN/827810//SC</v>
      </c>
      <c r="AL17" s="18" t="str">
        <f>_xlfn.XLOOKUP(Table2[[#This Row],[Site Num]],[1]!Table57[Branch ID],[1]!Table57[ServiceType],"N/A")</f>
        <v>Fiber</v>
      </c>
      <c r="AM17" s="18" t="str">
        <f>_xlfn.XLOOKUP(Table2[[#This Row],[Site Num]],[1]!Table57[Branch ID],[1]!Table57[Vendor],"N/A")</f>
        <v>CenturyLink</v>
      </c>
      <c r="AN17" s="38" t="str">
        <f t="shared" si="0"/>
        <v>10.185.0.41</v>
      </c>
      <c r="AO17" s="19">
        <v>41</v>
      </c>
      <c r="AP17" s="20" t="str">
        <f t="shared" si="1"/>
        <v>10.176.41.X</v>
      </c>
      <c r="AQ17" s="20" t="str">
        <f t="shared" si="2"/>
        <v>10.186.41.x</v>
      </c>
      <c r="AR17" s="20" t="str">
        <f t="shared" si="3"/>
        <v>10.184.41.1</v>
      </c>
      <c r="AS17" s="20" t="str">
        <f t="shared" si="4"/>
        <v>10.184.41.25</v>
      </c>
      <c r="AT17" s="20"/>
      <c r="AU17" s="20"/>
      <c r="AV17" s="20" t="str">
        <f t="shared" si="5"/>
        <v>10.185.x.41</v>
      </c>
      <c r="AW17" s="20" t="str">
        <f t="shared" si="7"/>
        <v>10.184.41.X</v>
      </c>
      <c r="AX17" s="21"/>
      <c r="AY17" s="21"/>
      <c r="AZ17" s="21"/>
      <c r="BA17" s="21"/>
      <c r="BB17" s="22" t="str">
        <f t="shared" si="6"/>
        <v>10.184.41.240</v>
      </c>
    </row>
    <row r="18" spans="1:54">
      <c r="A18" s="6" t="s">
        <v>453</v>
      </c>
      <c r="B18" s="1" t="s">
        <v>259</v>
      </c>
      <c r="C18" s="1" t="s">
        <v>255</v>
      </c>
      <c r="D18" s="6" t="s">
        <v>257</v>
      </c>
      <c r="E18" s="11">
        <f>_xlfn.XLOOKUP(Table1[[#This Row],[Serial Number]],Table13[Serial No.],Table13[End Date])</f>
        <v>44191</v>
      </c>
      <c r="F18" s="11">
        <f>_xlfn.XLOOKUP(Table1[[#This Row],[Serial Number]],Table13[Serial No.],Table13[End Date])</f>
        <v>44191</v>
      </c>
      <c r="G18" s="11">
        <f>_xlfn.XLOOKUP(Table1[[#This Row],[Serial Number]],Table13[Serial No.],Table13[Registration Date])</f>
        <v>43613</v>
      </c>
      <c r="H18" s="1"/>
      <c r="I18" s="1" t="s">
        <v>80</v>
      </c>
      <c r="J18" s="1" t="s">
        <v>273</v>
      </c>
      <c r="K18" s="1"/>
      <c r="L18" s="1"/>
      <c r="M18" s="11" t="str">
        <f>_xlfn.XLOOKUP(Table1[[#This Row],[IP Address]],Table2[Firewall IP],Table2[City])</f>
        <v>Houston</v>
      </c>
      <c r="N18" s="47" t="str">
        <f>RIGHT(Table1[[#This Row],[IP Address]],LEN(Table1[[#This Row],[IP Address]])-9)</f>
        <v>19</v>
      </c>
      <c r="O18" s="1"/>
      <c r="P18" s="1" t="s">
        <v>4</v>
      </c>
      <c r="Q18" s="50" t="s">
        <v>191</v>
      </c>
      <c r="R18" s="1"/>
      <c r="S18" s="1"/>
      <c r="T18" s="1" t="s">
        <v>5</v>
      </c>
      <c r="U18" t="s">
        <v>38</v>
      </c>
      <c r="V18" s="8">
        <v>44224</v>
      </c>
      <c r="W18" s="8">
        <v>44210</v>
      </c>
      <c r="X18" s="8">
        <v>44664</v>
      </c>
      <c r="Y18" s="8" t="s">
        <v>372</v>
      </c>
      <c r="Z18" s="8">
        <v>44223</v>
      </c>
      <c r="AA18" s="8">
        <v>45317</v>
      </c>
      <c r="AB18" s="8" t="s">
        <v>365</v>
      </c>
      <c r="AC18" s="8" t="s">
        <v>370</v>
      </c>
      <c r="AE18" s="18" t="str">
        <f>_xlfn.XLOOKUP(Table2[[#This Row],[Site Num]],[1]!Table57[Branch ID],[1]!Table57[DC Name],"UNKNOWN")</f>
        <v>Lafayette</v>
      </c>
      <c r="AF18" s="18" t="str">
        <f>_xlfn.XLOOKUP(Table2[[#This Row],[Site Num]],[1]!Table57[Branch ID],[1]!Table57[External IP Address],"N/A")</f>
        <v>174.79.17.99</v>
      </c>
      <c r="AG18" s="18" t="str">
        <f>_xlfn.XLOOKUP(Table2[[#This Row],[Site Num]],[1]!Table57[Branch ID],[1]!Table57[Port Speed],"N/A")</f>
        <v>50 x 10</v>
      </c>
      <c r="AH18" s="38" t="str">
        <f>_xlfn.XLOOKUP(Table2[[#This Row],[Site Num]],[1]!Table57[Branch ID],[1]!Table57[City],"N/A")</f>
        <v>Lafayette</v>
      </c>
      <c r="AI18" s="38" t="str">
        <f>_xlfn.XLOOKUP(Table2[[#This Row],[Site Num]],[1]!Table57[Branch ID],[1]!Table57[State],"N/A")</f>
        <v>LA</v>
      </c>
      <c r="AJ18" s="18" t="str">
        <f>_xlfn.XLOOKUP(Table2[[#This Row],[Site Num]],[1]!Table57[Branch ID],[1]!Table57[ZIP Code],"N/A")</f>
        <v>70506</v>
      </c>
      <c r="AK18" s="18" t="str">
        <f>_xlfn.XLOOKUP(Table2[[#This Row],[Site Num]],[1]!Table57[Branch ID],[1]!Table57[Circuit ID],"N/A")</f>
        <v>Acct# 182-291182502</v>
      </c>
      <c r="AL18" s="18" t="str">
        <f>_xlfn.XLOOKUP(Table2[[#This Row],[Site Num]],[1]!Table57[Branch ID],[1]!Table57[ServiceType],"N/A")</f>
        <v>Cable</v>
      </c>
      <c r="AM18" s="18" t="str">
        <f>_xlfn.XLOOKUP(Table2[[#This Row],[Site Num]],[1]!Table57[Branch ID],[1]!Table57[Vendor],"N/A")</f>
        <v>Cox Business</v>
      </c>
      <c r="AN18" s="38" t="str">
        <f t="shared" si="0"/>
        <v>10.185.0.42</v>
      </c>
      <c r="AO18" s="19">
        <v>42</v>
      </c>
      <c r="AP18" s="20" t="str">
        <f t="shared" si="1"/>
        <v>10.176.42.X</v>
      </c>
      <c r="AQ18" s="20" t="str">
        <f t="shared" si="2"/>
        <v>10.186.42.x</v>
      </c>
      <c r="AR18" s="20" t="str">
        <f t="shared" si="3"/>
        <v>10.184.42.1</v>
      </c>
      <c r="AS18" s="20" t="str">
        <f t="shared" si="4"/>
        <v>10.184.42.25</v>
      </c>
      <c r="AT18" s="20"/>
      <c r="AU18" s="20"/>
      <c r="AV18" s="20" t="str">
        <f t="shared" si="5"/>
        <v>10.185.x.42</v>
      </c>
      <c r="AW18" s="20" t="str">
        <f t="shared" si="7"/>
        <v>10.184.42.X</v>
      </c>
      <c r="AX18" s="21"/>
      <c r="AY18" s="21"/>
      <c r="AZ18" s="21"/>
      <c r="BA18" s="21"/>
      <c r="BB18" s="22" t="str">
        <f t="shared" si="6"/>
        <v>10.184.42.240</v>
      </c>
    </row>
    <row r="19" spans="1:54">
      <c r="A19" s="6" t="s">
        <v>454</v>
      </c>
      <c r="B19" s="1" t="s">
        <v>260</v>
      </c>
      <c r="C19" s="1" t="s">
        <v>255</v>
      </c>
      <c r="D19" s="6" t="s">
        <v>257</v>
      </c>
      <c r="E19" s="11">
        <f>_xlfn.XLOOKUP(Table1[[#This Row],[Serial Number]],Table13[Serial No.],Table13[End Date])</f>
        <v>44923</v>
      </c>
      <c r="F19" s="11">
        <f>_xlfn.XLOOKUP(Table1[[#This Row],[Serial Number]],Table13[Serial No.],Table13[End Date])</f>
        <v>44923</v>
      </c>
      <c r="G19" s="11">
        <f>_xlfn.XLOOKUP(Table1[[#This Row],[Serial Number]],Table13[Serial No.],Table13[Registration Date])</f>
        <v>43859</v>
      </c>
      <c r="H19" s="1"/>
      <c r="I19" s="1" t="s">
        <v>134</v>
      </c>
      <c r="J19" s="1" t="s">
        <v>313</v>
      </c>
      <c r="K19" s="1"/>
      <c r="L19" s="1"/>
      <c r="M19" s="45" t="s">
        <v>133</v>
      </c>
      <c r="N19" s="47" t="str">
        <f>RIGHT(Table1[[#This Row],[IP Address]],LEN(Table1[[#This Row],[IP Address]])-9)</f>
        <v>190</v>
      </c>
      <c r="O19" s="1"/>
      <c r="P19" s="1" t="s">
        <v>4</v>
      </c>
      <c r="Q19" s="49" t="s">
        <v>224</v>
      </c>
      <c r="R19" s="1"/>
      <c r="S19" s="1"/>
      <c r="T19" s="1" t="s">
        <v>5</v>
      </c>
      <c r="U19" t="s">
        <v>43</v>
      </c>
      <c r="V19" s="8">
        <v>44224</v>
      </c>
      <c r="W19" s="8">
        <v>44210</v>
      </c>
      <c r="X19" s="8">
        <v>44664</v>
      </c>
      <c r="Y19" s="8" t="s">
        <v>372</v>
      </c>
      <c r="Z19" s="8">
        <v>44223</v>
      </c>
      <c r="AA19" s="8">
        <v>45317</v>
      </c>
      <c r="AB19" s="8" t="s">
        <v>365</v>
      </c>
      <c r="AC19" s="8" t="s">
        <v>370</v>
      </c>
      <c r="AE19" s="18" t="str">
        <f>_xlfn.XLOOKUP(Table2[[#This Row],[Site Num]],[1]!Table57[Branch ID],[1]!Table57[DC Name],"UNKNOWN")</f>
        <v>Pueblo</v>
      </c>
      <c r="AF19" s="18" t="str">
        <f>_xlfn.XLOOKUP(Table2[[#This Row],[Site Num]],[1]!Table57[Branch ID],[1]!Table57[External IP Address],"N/A")</f>
        <v>65.121.160.162</v>
      </c>
      <c r="AG19" s="18" t="str">
        <f>_xlfn.XLOOKUP(Table2[[#This Row],[Site Num]],[1]!Table57[Branch ID],[1]!Table57[Port Speed],"N/A")</f>
        <v>3072 T1*2 (3 meg)</v>
      </c>
      <c r="AH19" s="38" t="str">
        <f>_xlfn.XLOOKUP(Table2[[#This Row],[Site Num]],[1]!Table57[Branch ID],[1]!Table57[City],"N/A")</f>
        <v>Pueblo</v>
      </c>
      <c r="AI19" s="38" t="str">
        <f>_xlfn.XLOOKUP(Table2[[#This Row],[Site Num]],[1]!Table57[Branch ID],[1]!Table57[State],"N/A")</f>
        <v>CO</v>
      </c>
      <c r="AJ19" s="18" t="str">
        <f>_xlfn.XLOOKUP(Table2[[#This Row],[Site Num]],[1]!Table57[Branch ID],[1]!Table57[ZIP Code],"N/A")</f>
        <v>81004</v>
      </c>
      <c r="AK19" s="18" t="str">
        <f>_xlfn.XLOOKUP(Table2[[#This Row],[Site Num]],[1]!Table57[Branch ID],[1]!Table57[Circuit ID],"N/A")</f>
        <v>DS1NTDT-17916776 (.01\.02)</v>
      </c>
      <c r="AL19" s="18" t="str">
        <f>_xlfn.XLOOKUP(Table2[[#This Row],[Site Num]],[1]!Table57[Branch ID],[1]!Table57[ServiceType],"N/A")</f>
        <v>T1 x 2</v>
      </c>
      <c r="AM19" s="18" t="str">
        <f>_xlfn.XLOOKUP(Table2[[#This Row],[Site Num]],[1]!Table57[Branch ID],[1]!Table57[Vendor],"N/A")</f>
        <v>CenturyLink</v>
      </c>
      <c r="AN19" s="38" t="str">
        <f t="shared" si="0"/>
        <v>10.185.0.61</v>
      </c>
      <c r="AO19" s="19">
        <v>61</v>
      </c>
      <c r="AP19" s="20" t="str">
        <f t="shared" si="1"/>
        <v>10.176.61.X</v>
      </c>
      <c r="AQ19" s="20" t="str">
        <f t="shared" si="2"/>
        <v>10.186.61.x</v>
      </c>
      <c r="AR19" s="20" t="str">
        <f t="shared" si="3"/>
        <v>10.184.61.1</v>
      </c>
      <c r="AS19" s="20" t="str">
        <f t="shared" si="4"/>
        <v>10.184.61.25</v>
      </c>
      <c r="AT19" s="20"/>
      <c r="AU19" s="20"/>
      <c r="AV19" s="20" t="str">
        <f t="shared" si="5"/>
        <v>10.185.x.61</v>
      </c>
      <c r="AW19" s="20" t="str">
        <f t="shared" si="7"/>
        <v>10.184.61.X</v>
      </c>
      <c r="AX19" s="21" t="s">
        <v>419</v>
      </c>
      <c r="AY19" s="21" t="s">
        <v>420</v>
      </c>
      <c r="AZ19" s="21" t="s">
        <v>420</v>
      </c>
      <c r="BA19" s="21"/>
      <c r="BB19" s="22" t="str">
        <f t="shared" si="6"/>
        <v>10.184.61.240</v>
      </c>
    </row>
    <row r="20" spans="1:54">
      <c r="A20" s="6" t="s">
        <v>455</v>
      </c>
      <c r="B20" s="1" t="s">
        <v>259</v>
      </c>
      <c r="C20" s="1" t="s">
        <v>255</v>
      </c>
      <c r="D20" s="6" t="s">
        <v>257</v>
      </c>
      <c r="E20" s="11">
        <f>_xlfn.XLOOKUP(Table1[[#This Row],[Serial Number]],Table13[Serial No.],Table13[End Date])</f>
        <v>45317</v>
      </c>
      <c r="F20" s="11">
        <f>_xlfn.XLOOKUP(Table1[[#This Row],[Serial Number]],Table13[Serial No.],Table13[End Date])</f>
        <v>45317</v>
      </c>
      <c r="G20" s="11">
        <f>_xlfn.XLOOKUP(Table1[[#This Row],[Serial Number]],Table13[Serial No.],Table13[Registration Date])</f>
        <v>44224</v>
      </c>
      <c r="H20" s="1"/>
      <c r="I20" s="1" t="s">
        <v>60</v>
      </c>
      <c r="J20" s="1" t="s">
        <v>297</v>
      </c>
      <c r="K20" s="1"/>
      <c r="L20" s="1"/>
      <c r="M20" s="11" t="str">
        <f>_xlfn.XLOOKUP(Table1[[#This Row],[IP Address]],Table2[Firewall IP],Table2[City])</f>
        <v>Albuquerque</v>
      </c>
      <c r="N20" s="47" t="str">
        <f>RIGHT(Table1[[#This Row],[IP Address]],LEN(Table1[[#This Row],[IP Address]])-9)</f>
        <v>20</v>
      </c>
      <c r="O20" s="1"/>
      <c r="P20" s="1" t="s">
        <v>4</v>
      </c>
      <c r="Q20" s="49" t="s">
        <v>154</v>
      </c>
      <c r="R20" s="1"/>
      <c r="S20" s="1"/>
      <c r="T20" s="1" t="s">
        <v>5</v>
      </c>
      <c r="U20" t="s">
        <v>45</v>
      </c>
      <c r="V20" s="8">
        <v>44206</v>
      </c>
      <c r="W20" s="8">
        <v>44200</v>
      </c>
      <c r="X20" s="8">
        <v>44654</v>
      </c>
      <c r="Y20" s="8" t="s">
        <v>364</v>
      </c>
      <c r="Z20" s="8">
        <v>44207</v>
      </c>
      <c r="AA20" s="8">
        <v>45331</v>
      </c>
      <c r="AB20" s="8" t="s">
        <v>365</v>
      </c>
      <c r="AC20" s="8" t="s">
        <v>366</v>
      </c>
      <c r="AE20" s="18" t="str">
        <f>_xlfn.XLOOKUP(Table2[[#This Row],[Site Num]],[1]!Table57[Branch ID],[1]!Table57[DC Name],"UNKNOWN")</f>
        <v>Cleveland</v>
      </c>
      <c r="AF20" s="18" t="str">
        <f>_xlfn.XLOOKUP(Table2[[#This Row],[Site Num]],[1]!Table57[Branch ID],[1]!Table57[External IP Address],"N/A")</f>
        <v>98.185.207.120</v>
      </c>
      <c r="AG20" s="18" t="str">
        <f>_xlfn.XLOOKUP(Table2[[#This Row],[Site Num]],[1]!Table57[Branch ID],[1]!Table57[Port Speed],"N/A")</f>
        <v>50 x 10</v>
      </c>
      <c r="AH20" s="38" t="str">
        <f>_xlfn.XLOOKUP(Table2[[#This Row],[Site Num]],[1]!Table57[Branch ID],[1]!Table57[City],"N/A")</f>
        <v>Cleveland</v>
      </c>
      <c r="AI20" s="38" t="str">
        <f>_xlfn.XLOOKUP(Table2[[#This Row],[Site Num]],[1]!Table57[Branch ID],[1]!Table57[State],"N/A")</f>
        <v>OH</v>
      </c>
      <c r="AJ20" s="18" t="str">
        <f>_xlfn.XLOOKUP(Table2[[#This Row],[Site Num]],[1]!Table57[Branch ID],[1]!Table57[ZIP Code],"N/A")</f>
        <v>44131</v>
      </c>
      <c r="AK20" s="18" t="str">
        <f>_xlfn.XLOOKUP(Table2[[#This Row],[Site Num]],[1]!Table57[Branch ID],[1]!Table57[Circuit ID],"N/A")</f>
        <v>Acct# 609026129701</v>
      </c>
      <c r="AL20" s="18" t="str">
        <f>_xlfn.XLOOKUP(Table2[[#This Row],[Site Num]],[1]!Table57[Branch ID],[1]!Table57[ServiceType],"N/A")</f>
        <v>Cable</v>
      </c>
      <c r="AM20" s="18" t="str">
        <f>_xlfn.XLOOKUP(Table2[[#This Row],[Site Num]],[1]!Table57[Branch ID],[1]!Table57[Vendor],"N/A")</f>
        <v>Cox Business</v>
      </c>
      <c r="AN20" s="38" t="str">
        <f t="shared" si="0"/>
        <v>10.185.0.71</v>
      </c>
      <c r="AO20" s="19">
        <v>71</v>
      </c>
      <c r="AP20" s="20" t="str">
        <f t="shared" si="1"/>
        <v>10.176.71.X</v>
      </c>
      <c r="AQ20" s="20" t="str">
        <f t="shared" si="2"/>
        <v>10.186.71.x</v>
      </c>
      <c r="AR20" s="20" t="str">
        <f t="shared" si="3"/>
        <v>10.184.71.1</v>
      </c>
      <c r="AS20" s="20" t="str">
        <f t="shared" si="4"/>
        <v>10.184.71.25</v>
      </c>
      <c r="AT20" s="20"/>
      <c r="AU20" s="20"/>
      <c r="AV20" s="20" t="str">
        <f t="shared" si="5"/>
        <v>10.185.x.71</v>
      </c>
      <c r="AW20" s="20" t="str">
        <f t="shared" si="7"/>
        <v>10.184.71.X</v>
      </c>
      <c r="AX20" s="21"/>
      <c r="AY20" s="21"/>
      <c r="AZ20" s="21"/>
      <c r="BA20" s="21"/>
      <c r="BB20" s="22" t="str">
        <f t="shared" si="6"/>
        <v>10.184.71.240</v>
      </c>
    </row>
    <row r="21" spans="1:54">
      <c r="A21" s="6" t="s">
        <v>456</v>
      </c>
      <c r="B21" s="1" t="s">
        <v>259</v>
      </c>
      <c r="C21" s="1" t="s">
        <v>255</v>
      </c>
      <c r="D21" s="6" t="s">
        <v>257</v>
      </c>
      <c r="E21" s="11">
        <f>_xlfn.XLOOKUP(Table1[[#This Row],[Serial Number]],Table13[Serial No.],Table13[End Date])</f>
        <v>45331</v>
      </c>
      <c r="F21" s="11">
        <f>_xlfn.XLOOKUP(Table1[[#This Row],[Serial Number]],Table13[Serial No.],Table13[End Date])</f>
        <v>45331</v>
      </c>
      <c r="G21" s="11">
        <f>_xlfn.XLOOKUP(Table1[[#This Row],[Serial Number]],Table13[Serial No.],Table13[Registration Date])</f>
        <v>43712</v>
      </c>
      <c r="H21" s="1"/>
      <c r="I21" s="1" t="s">
        <v>142</v>
      </c>
      <c r="J21" s="1" t="s">
        <v>280</v>
      </c>
      <c r="K21" s="1"/>
      <c r="L21" s="1"/>
      <c r="M21" s="11" t="str">
        <f>_xlfn.XLOOKUP(Table1[[#This Row],[IP Address]],Table2[Firewall IP],Table2[City])</f>
        <v>Phoenix</v>
      </c>
      <c r="N21" s="47" t="str">
        <f>RIGHT(Table1[[#This Row],[IP Address]],LEN(Table1[[#This Row],[IP Address]])-9)</f>
        <v>24</v>
      </c>
      <c r="O21" s="1"/>
      <c r="P21" s="1" t="s">
        <v>4</v>
      </c>
      <c r="Q21" s="49" t="s">
        <v>210</v>
      </c>
      <c r="R21" s="1"/>
      <c r="S21" s="1"/>
      <c r="T21" s="1" t="s">
        <v>5</v>
      </c>
      <c r="U21" t="s">
        <v>45</v>
      </c>
      <c r="V21" s="8">
        <v>44206</v>
      </c>
      <c r="W21" s="8">
        <v>44200</v>
      </c>
      <c r="X21" s="8">
        <v>44654</v>
      </c>
      <c r="Y21" s="8" t="s">
        <v>369</v>
      </c>
      <c r="Z21" s="8">
        <v>44208</v>
      </c>
      <c r="AA21" s="8">
        <v>45302</v>
      </c>
      <c r="AB21" s="8" t="s">
        <v>365</v>
      </c>
      <c r="AC21" s="8" t="s">
        <v>370</v>
      </c>
      <c r="AE21" s="18" t="str">
        <f>_xlfn.XLOOKUP(Table2[[#This Row],[Site Num]],[1]!Table57[Branch ID],[1]!Table57[DC Name],"UNKNOWN")</f>
        <v>St Louis</v>
      </c>
      <c r="AF21" s="18" t="str">
        <f>_xlfn.XLOOKUP(Table2[[#This Row],[Site Num]],[1]!Table57[Branch ID],[1]!Table57[External IP Address],"N/A")</f>
        <v>12.50.49.106</v>
      </c>
      <c r="AG21" s="18" t="str">
        <f>_xlfn.XLOOKUP(Table2[[#This Row],[Site Num]],[1]!Table57[Branch ID],[1]!Table57[Port Speed],"N/A")</f>
        <v>50 meg</v>
      </c>
      <c r="AH21" s="38" t="str">
        <f>_xlfn.XLOOKUP(Table2[[#This Row],[Site Num]],[1]!Table57[Branch ID],[1]!Table57[City],"N/A")</f>
        <v>St Louis</v>
      </c>
      <c r="AI21" s="38" t="str">
        <f>_xlfn.XLOOKUP(Table2[[#This Row],[Site Num]],[1]!Table57[Branch ID],[1]!Table57[State],"N/A")</f>
        <v>MO</v>
      </c>
      <c r="AJ21" s="18" t="str">
        <f>_xlfn.XLOOKUP(Table2[[#This Row],[Site Num]],[1]!Table57[Branch ID],[1]!Table57[ZIP Code],"N/A")</f>
        <v>63130</v>
      </c>
      <c r="AK21" s="18" t="str">
        <f>_xlfn.XLOOKUP(Table2[[#This Row],[Site Num]],[1]!Table57[Branch ID],[1]!Table57[Circuit ID],"N/A")</f>
        <v>Acct# 831 000 9106 990 .. BBEC.529939..ATI</v>
      </c>
      <c r="AL21" s="18" t="str">
        <f>_xlfn.XLOOKUP(Table2[[#This Row],[Site Num]],[1]!Table57[Branch ID],[1]!Table57[ServiceType],"N/A")</f>
        <v>Fiber</v>
      </c>
      <c r="AM21" s="18" t="str">
        <f>_xlfn.XLOOKUP(Table2[[#This Row],[Site Num]],[1]!Table57[Branch ID],[1]!Table57[Vendor],"N/A")</f>
        <v>AT&amp;T Fiber</v>
      </c>
      <c r="AN21" s="38" t="str">
        <f t="shared" si="0"/>
        <v>10.185.0.72</v>
      </c>
      <c r="AO21" s="23">
        <v>72</v>
      </c>
      <c r="AP21" s="20" t="str">
        <f t="shared" si="1"/>
        <v>10.176.72.X</v>
      </c>
      <c r="AQ21" s="20" t="str">
        <f t="shared" si="2"/>
        <v>10.186.72.x</v>
      </c>
      <c r="AR21" s="20" t="str">
        <f t="shared" si="3"/>
        <v>10.184.72.1</v>
      </c>
      <c r="AS21" s="20" t="str">
        <f t="shared" si="4"/>
        <v>10.184.72.25</v>
      </c>
      <c r="AT21" s="20"/>
      <c r="AU21" s="20"/>
      <c r="AV21" s="20" t="str">
        <f t="shared" si="5"/>
        <v>10.185.x.72</v>
      </c>
      <c r="AW21" s="20" t="str">
        <f t="shared" si="7"/>
        <v>10.184.72.X</v>
      </c>
      <c r="AX21" s="21"/>
      <c r="AY21" s="21"/>
      <c r="AZ21" s="21"/>
      <c r="BA21" s="21"/>
      <c r="BB21" s="22" t="str">
        <f t="shared" si="6"/>
        <v>10.184.72.240</v>
      </c>
    </row>
    <row r="22" spans="1:54">
      <c r="A22" s="6" t="s">
        <v>457</v>
      </c>
      <c r="B22" s="1" t="s">
        <v>259</v>
      </c>
      <c r="C22" s="1" t="s">
        <v>255</v>
      </c>
      <c r="D22" s="6" t="s">
        <v>257</v>
      </c>
      <c r="E22" s="11">
        <f>_xlfn.XLOOKUP(Table1[[#This Row],[Serial Number]],Table13[Serial No.],Table13[End Date])</f>
        <v>45331</v>
      </c>
      <c r="F22" s="11">
        <f>_xlfn.XLOOKUP(Table1[[#This Row],[Serial Number]],Table13[Serial No.],Table13[End Date])</f>
        <v>45331</v>
      </c>
      <c r="G22" s="11">
        <f>_xlfn.XLOOKUP(Table1[[#This Row],[Serial Number]],Table13[Serial No.],Table13[Registration Date])</f>
        <v>44224</v>
      </c>
      <c r="H22" s="1"/>
      <c r="I22" s="1" t="s">
        <v>8</v>
      </c>
      <c r="J22" s="1" t="s">
        <v>299</v>
      </c>
      <c r="K22" s="1"/>
      <c r="L22" s="1"/>
      <c r="M22" s="11" t="str">
        <f>_xlfn.XLOOKUP(Table1[[#This Row],[IP Address]],Table2[Firewall IP],Table2[City])</f>
        <v>West Harrison</v>
      </c>
      <c r="N22" s="47" t="str">
        <f>RIGHT(Table1[[#This Row],[IP Address]],LEN(Table1[[#This Row],[IP Address]])-9)</f>
        <v>26</v>
      </c>
      <c r="O22" s="1"/>
      <c r="P22" s="1" t="s">
        <v>4</v>
      </c>
      <c r="Q22" s="49" t="s">
        <v>236</v>
      </c>
      <c r="R22" s="1"/>
      <c r="S22" s="1"/>
      <c r="T22" s="1" t="s">
        <v>5</v>
      </c>
      <c r="U22" t="s">
        <v>11</v>
      </c>
      <c r="V22" s="8">
        <v>44224</v>
      </c>
      <c r="W22" s="8">
        <v>44210</v>
      </c>
      <c r="X22" s="8">
        <v>44664</v>
      </c>
      <c r="Y22" s="8" t="s">
        <v>372</v>
      </c>
      <c r="Z22" s="8">
        <v>44223</v>
      </c>
      <c r="AA22" s="8">
        <v>45317</v>
      </c>
      <c r="AB22" s="8" t="s">
        <v>365</v>
      </c>
      <c r="AC22" s="8" t="s">
        <v>370</v>
      </c>
      <c r="AE22" s="18" t="str">
        <f>_xlfn.XLOOKUP(Table2[[#This Row],[Site Num]],[1]!Table57[Branch ID],[1]!Table57[DC Name],"UNKNOWN")</f>
        <v>Minneapolis</v>
      </c>
      <c r="AF22" s="18" t="str">
        <f>_xlfn.XLOOKUP(Table2[[#This Row],[Site Num]],[1]!Table57[Branch ID],[1]!Table57[External IP Address],"N/A")</f>
        <v>23.30.246.33</v>
      </c>
      <c r="AG22" s="18" t="str">
        <f>_xlfn.XLOOKUP(Table2[[#This Row],[Site Num]],[1]!Table57[Branch ID],[1]!Table57[Port Speed],"N/A")</f>
        <v>75x15</v>
      </c>
      <c r="AH22" s="38" t="str">
        <f>_xlfn.XLOOKUP(Table2[[#This Row],[Site Num]],[1]!Table57[Branch ID],[1]!Table57[City],"N/A")</f>
        <v>Rogers</v>
      </c>
      <c r="AI22" s="38" t="str">
        <f>_xlfn.XLOOKUP(Table2[[#This Row],[Site Num]],[1]!Table57[Branch ID],[1]!Table57[State],"N/A")</f>
        <v>MN</v>
      </c>
      <c r="AJ22" s="18" t="str">
        <f>_xlfn.XLOOKUP(Table2[[#This Row],[Site Num]],[1]!Table57[Branch ID],[1]!Table57[ZIP Code],"N/A")</f>
        <v>55374</v>
      </c>
      <c r="AK22" s="18" t="str">
        <f>_xlfn.XLOOKUP(Table2[[#This Row],[Site Num]],[1]!Table57[Branch ID],[1]!Table57[Circuit ID],"N/A")</f>
        <v>Acct# 8772105600064238</v>
      </c>
      <c r="AL22" s="18" t="str">
        <f>_xlfn.XLOOKUP(Table2[[#This Row],[Site Num]],[1]!Table57[Branch ID],[1]!Table57[ServiceType],"N/A")</f>
        <v>Cable</v>
      </c>
      <c r="AM22" s="18" t="str">
        <f>_xlfn.XLOOKUP(Table2[[#This Row],[Site Num]],[1]!Table57[Branch ID],[1]!Table57[Vendor],"N/A")</f>
        <v>ComCast</v>
      </c>
      <c r="AN22" s="38" t="str">
        <f t="shared" si="0"/>
        <v>10.185.0.91</v>
      </c>
      <c r="AO22" s="24">
        <v>91</v>
      </c>
      <c r="AP22" s="20" t="str">
        <f t="shared" si="1"/>
        <v>10.176.91.X</v>
      </c>
      <c r="AQ22" s="20" t="str">
        <f t="shared" si="2"/>
        <v>10.186.91.x</v>
      </c>
      <c r="AR22" s="20" t="str">
        <f t="shared" si="3"/>
        <v>10.184.91.1</v>
      </c>
      <c r="AS22" s="20" t="str">
        <f t="shared" si="4"/>
        <v>10.184.91.25</v>
      </c>
      <c r="AT22" s="20"/>
      <c r="AU22" s="20"/>
      <c r="AV22" s="20" t="str">
        <f t="shared" si="5"/>
        <v>10.185.x.91</v>
      </c>
      <c r="AW22" s="20" t="str">
        <f t="shared" si="7"/>
        <v>10.184.91.X</v>
      </c>
      <c r="AX22" s="21"/>
      <c r="AY22" s="21"/>
      <c r="AZ22" s="21"/>
      <c r="BA22" s="21"/>
      <c r="BB22" s="22" t="str">
        <f t="shared" si="6"/>
        <v>10.184.91.240</v>
      </c>
    </row>
    <row r="23" spans="1:54">
      <c r="A23" s="6" t="s">
        <v>458</v>
      </c>
      <c r="B23" s="1" t="s">
        <v>259</v>
      </c>
      <c r="C23" s="1" t="s">
        <v>255</v>
      </c>
      <c r="D23" s="6" t="s">
        <v>257</v>
      </c>
      <c r="E23" s="11">
        <f>_xlfn.XLOOKUP(Table1[[#This Row],[Serial Number]],Table13[Serial No.],Table13[End Date])</f>
        <v>45331</v>
      </c>
      <c r="F23" s="11">
        <f>_xlfn.XLOOKUP(Table1[[#This Row],[Serial Number]],Table13[Serial No.],Table13[End Date])</f>
        <v>45331</v>
      </c>
      <c r="G23" s="11">
        <f>_xlfn.XLOOKUP(Table1[[#This Row],[Serial Number]],Table13[Serial No.],Table13[Registration Date])</f>
        <v>43563</v>
      </c>
      <c r="H23" s="1"/>
      <c r="I23" s="1" t="s">
        <v>128</v>
      </c>
      <c r="J23" s="1" t="s">
        <v>274</v>
      </c>
      <c r="K23" s="1"/>
      <c r="L23" s="1"/>
      <c r="M23" s="11" t="str">
        <f>_xlfn.XLOOKUP(Table1[[#This Row],[IP Address]],Table2[Firewall IP],Table2[City])</f>
        <v>North Las Vegas</v>
      </c>
      <c r="N23" s="47" t="str">
        <f>RIGHT(Table1[[#This Row],[IP Address]],LEN(Table1[[#This Row],[IP Address]])-9)</f>
        <v>28</v>
      </c>
      <c r="O23" s="1"/>
      <c r="P23" s="1" t="s">
        <v>4</v>
      </c>
      <c r="Q23" s="50" t="s">
        <v>199</v>
      </c>
      <c r="R23" s="1"/>
      <c r="S23" s="1"/>
      <c r="T23" s="1" t="s">
        <v>5</v>
      </c>
      <c r="U23" t="s">
        <v>94</v>
      </c>
      <c r="V23" s="8">
        <v>44206</v>
      </c>
      <c r="W23" s="8">
        <v>44200</v>
      </c>
      <c r="X23" s="8">
        <v>44654</v>
      </c>
      <c r="Y23" s="8" t="s">
        <v>364</v>
      </c>
      <c r="Z23" s="8">
        <v>44207</v>
      </c>
      <c r="AA23" s="8">
        <v>45331</v>
      </c>
      <c r="AB23" s="8" t="s">
        <v>365</v>
      </c>
      <c r="AC23" s="8" t="s">
        <v>366</v>
      </c>
      <c r="AE23" s="18" t="str">
        <f>_xlfn.XLOOKUP(Table2[[#This Row],[Site Num]],[1]!Table57[Branch ID],[1]!Table57[DC Name],"UNKNOWN")</f>
        <v>Fargo</v>
      </c>
      <c r="AF23" s="18" t="str">
        <f>_xlfn.XLOOKUP(Table2[[#This Row],[Site Num]],[1]!Table57[Branch ID],[1]!Table57[External IP Address],"N/A")</f>
        <v>96.3.212.26</v>
      </c>
      <c r="AG23" s="18" t="str">
        <f>_xlfn.XLOOKUP(Table2[[#This Row],[Site Num]],[1]!Table57[Branch ID],[1]!Table57[Port Speed],"N/A")</f>
        <v>10x10???</v>
      </c>
      <c r="AH23" s="38" t="str">
        <f>_xlfn.XLOOKUP(Table2[[#This Row],[Site Num]],[1]!Table57[Branch ID],[1]!Table57[City],"N/A")</f>
        <v>Fargo</v>
      </c>
      <c r="AI23" s="38" t="str">
        <f>_xlfn.XLOOKUP(Table2[[#This Row],[Site Num]],[1]!Table57[Branch ID],[1]!Table57[State],"N/A")</f>
        <v>ND</v>
      </c>
      <c r="AJ23" s="18">
        <f>_xlfn.XLOOKUP(Table2[[#This Row],[Site Num]],[1]!Table57[Branch ID],[1]!Table57[ZIP Code],"N/A")</f>
        <v>58102</v>
      </c>
      <c r="AK23" s="18" t="str">
        <f>_xlfn.XLOOKUP(Table2[[#This Row],[Site Num]],[1]!Table57[Branch ID],[1]!Table57[Circuit ID],"N/A")</f>
        <v>Acct# 153312701</v>
      </c>
      <c r="AL23" s="18" t="str">
        <f>_xlfn.XLOOKUP(Table2[[#This Row],[Site Num]],[1]!Table57[Branch ID],[1]!Table57[ServiceType],"N/A")</f>
        <v>Fiber</v>
      </c>
      <c r="AM23" s="18" t="str">
        <f>_xlfn.XLOOKUP(Table2[[#This Row],[Site Num]],[1]!Table57[Branch ID],[1]!Table57[Vendor],"N/A")</f>
        <v>Midcontinent</v>
      </c>
      <c r="AN23" s="38" t="str">
        <f t="shared" si="0"/>
        <v>10.185.0.92</v>
      </c>
      <c r="AO23" s="19">
        <v>92</v>
      </c>
      <c r="AP23" s="20" t="str">
        <f t="shared" si="1"/>
        <v>10.176.92.X</v>
      </c>
      <c r="AQ23" s="20" t="str">
        <f t="shared" si="2"/>
        <v>10.186.92.x</v>
      </c>
      <c r="AR23" s="20" t="str">
        <f t="shared" si="3"/>
        <v>10.184.92.1</v>
      </c>
      <c r="AS23" s="20" t="str">
        <f t="shared" si="4"/>
        <v>10.184.92.25</v>
      </c>
      <c r="AT23" s="20"/>
      <c r="AU23" s="20"/>
      <c r="AV23" s="20" t="str">
        <f t="shared" si="5"/>
        <v>10.185.x.92</v>
      </c>
      <c r="AW23" s="20" t="str">
        <f t="shared" si="7"/>
        <v>10.184.92.X</v>
      </c>
      <c r="AX23" s="21"/>
      <c r="AY23" s="21"/>
      <c r="AZ23" s="21"/>
      <c r="BA23" s="21"/>
      <c r="BB23" s="22" t="str">
        <f t="shared" si="6"/>
        <v>10.184.92.240</v>
      </c>
    </row>
    <row r="24" spans="1:54">
      <c r="A24" s="6" t="s">
        <v>459</v>
      </c>
      <c r="B24" s="1" t="s">
        <v>259</v>
      </c>
      <c r="C24" s="1" t="s">
        <v>255</v>
      </c>
      <c r="D24" s="6" t="s">
        <v>257</v>
      </c>
      <c r="E24" s="11">
        <f>_xlfn.XLOOKUP(Table1[[#This Row],[Serial Number]],Table13[Serial No.],Table13[End Date])</f>
        <v>45331</v>
      </c>
      <c r="F24" s="11">
        <f>_xlfn.XLOOKUP(Table1[[#This Row],[Serial Number]],Table13[Serial No.],Table13[End Date])</f>
        <v>45331</v>
      </c>
      <c r="G24" s="11">
        <f>_xlfn.XLOOKUP(Table1[[#This Row],[Serial Number]],Table13[Serial No.],Table13[Registration Date])</f>
        <v>43736</v>
      </c>
      <c r="H24" s="1"/>
      <c r="I24" s="1" t="s">
        <v>56</v>
      </c>
      <c r="J24" s="1" t="s">
        <v>278</v>
      </c>
      <c r="K24" s="1"/>
      <c r="L24" s="1"/>
      <c r="M24" s="11" t="str">
        <f>_xlfn.XLOOKUP(Table1[[#This Row],[IP Address]],Table2[Firewall IP],Table2[City])</f>
        <v>Broken Arrow</v>
      </c>
      <c r="N24" s="47" t="str">
        <f>RIGHT(Table1[[#This Row],[IP Address]],LEN(Table1[[#This Row],[IP Address]])-9)</f>
        <v>30</v>
      </c>
      <c r="O24" s="1"/>
      <c r="P24" s="1" t="s">
        <v>4</v>
      </c>
      <c r="Q24" s="49" t="s">
        <v>230</v>
      </c>
      <c r="R24" s="1"/>
      <c r="S24" s="1"/>
      <c r="T24" s="1" t="s">
        <v>5</v>
      </c>
      <c r="U24" t="s">
        <v>94</v>
      </c>
      <c r="V24" s="8">
        <v>44206</v>
      </c>
      <c r="W24" s="8">
        <v>44200</v>
      </c>
      <c r="X24" s="8">
        <v>44654</v>
      </c>
      <c r="Y24" s="8" t="s">
        <v>369</v>
      </c>
      <c r="Z24" s="8">
        <v>44208</v>
      </c>
      <c r="AA24" s="8">
        <v>45302</v>
      </c>
      <c r="AB24" s="8" t="s">
        <v>365</v>
      </c>
      <c r="AC24" s="8" t="s">
        <v>370</v>
      </c>
      <c r="AE24" s="18" t="str">
        <f>_xlfn.XLOOKUP(Table2[[#This Row],[Site Num]],[1]!Table57[Branch ID],[1]!Table57[DC Name],"UNKNOWN")</f>
        <v>Lacrosse</v>
      </c>
      <c r="AF24" s="18" t="str">
        <f>_xlfn.XLOOKUP(Table2[[#This Row],[Site Num]],[1]!Table57[Branch ID],[1]!Table57[External IP Address],"N/A")</f>
        <v>68.117.96.70</v>
      </c>
      <c r="AG24" s="18" t="str">
        <f>_xlfn.XLOOKUP(Table2[[#This Row],[Site Num]],[1]!Table57[Branch ID],[1]!Table57[Port Speed],"N/A")</f>
        <v>100 x 5</v>
      </c>
      <c r="AH24" s="38" t="str">
        <f>_xlfn.XLOOKUP(Table2[[#This Row],[Site Num]],[1]!Table57[Branch ID],[1]!Table57[City],"N/A")</f>
        <v>Lacrosse</v>
      </c>
      <c r="AI24" s="38" t="str">
        <f>_xlfn.XLOOKUP(Table2[[#This Row],[Site Num]],[1]!Table57[Branch ID],[1]!Table57[State],"N/A")</f>
        <v>WI</v>
      </c>
      <c r="AJ24" s="18">
        <f>_xlfn.XLOOKUP(Table2[[#This Row],[Site Num]],[1]!Table57[Branch ID],[1]!Table57[ZIP Code],"N/A")</f>
        <v>54601</v>
      </c>
      <c r="AK24" s="18" t="str">
        <f>_xlfn.XLOOKUP(Table2[[#This Row],[Site Num]],[1]!Table57[Branch ID],[1]!Table57[Circuit ID],"N/A")</f>
        <v>Acct# 8245114290027546</v>
      </c>
      <c r="AL24" s="18" t="str">
        <f>_xlfn.XLOOKUP(Table2[[#This Row],[Site Num]],[1]!Table57[Branch ID],[1]!Table57[ServiceType],"N/A")</f>
        <v>Cable</v>
      </c>
      <c r="AM24" s="18" t="str">
        <f>_xlfn.XLOOKUP(Table2[[#This Row],[Site Num]],[1]!Table57[Branch ID],[1]!Table57[Vendor],"N/A")</f>
        <v>Charter</v>
      </c>
      <c r="AN24" s="38" t="str">
        <f t="shared" si="0"/>
        <v>10.185.0.93</v>
      </c>
      <c r="AO24" s="19">
        <v>93</v>
      </c>
      <c r="AP24" s="20" t="str">
        <f t="shared" si="1"/>
        <v>10.176.93.X</v>
      </c>
      <c r="AQ24" s="20" t="str">
        <f t="shared" si="2"/>
        <v>10.186.93.x</v>
      </c>
      <c r="AR24" s="20" t="str">
        <f t="shared" si="3"/>
        <v>10.184.93.1</v>
      </c>
      <c r="AS24" s="20" t="str">
        <f t="shared" si="4"/>
        <v>10.184.93.25</v>
      </c>
      <c r="AT24" s="20"/>
      <c r="AU24" s="20"/>
      <c r="AV24" s="20" t="str">
        <f t="shared" si="5"/>
        <v>10.185.x.93</v>
      </c>
      <c r="AW24" s="20" t="str">
        <f t="shared" si="7"/>
        <v>10.184.93.X</v>
      </c>
      <c r="AX24" s="21"/>
      <c r="AY24" s="21"/>
      <c r="AZ24" s="21"/>
      <c r="BA24" s="21"/>
      <c r="BB24" s="22" t="str">
        <f t="shared" si="6"/>
        <v>10.184.93.240</v>
      </c>
    </row>
    <row r="25" spans="1:54">
      <c r="A25" s="6" t="s">
        <v>460</v>
      </c>
      <c r="B25" s="1" t="s">
        <v>259</v>
      </c>
      <c r="C25" s="1" t="s">
        <v>255</v>
      </c>
      <c r="D25" s="6" t="s">
        <v>257</v>
      </c>
      <c r="E25" s="11">
        <f>_xlfn.XLOOKUP(Table1[[#This Row],[Serial Number]],Table13[Serial No.],Table13[End Date])</f>
        <v>45331</v>
      </c>
      <c r="F25" s="11">
        <f>_xlfn.XLOOKUP(Table1[[#This Row],[Serial Number]],Table13[Serial No.],Table13[End Date])</f>
        <v>45331</v>
      </c>
      <c r="G25" s="11">
        <f>_xlfn.XLOOKUP(Table1[[#This Row],[Serial Number]],Table13[Serial No.],Table13[Registration Date])</f>
        <v>43621</v>
      </c>
      <c r="H25" s="1"/>
      <c r="I25" s="1" t="s">
        <v>93</v>
      </c>
      <c r="J25" s="1" t="s">
        <v>271</v>
      </c>
      <c r="K25" s="1"/>
      <c r="L25" s="1"/>
      <c r="M25" s="11" t="str">
        <f>_xlfn.XLOOKUP(Table1[[#This Row],[IP Address]],Table2[Firewall IP],Table2[City])</f>
        <v>Dallas</v>
      </c>
      <c r="N25" s="47" t="str">
        <f>RIGHT(Table1[[#This Row],[IP Address]],LEN(Table1[[#This Row],[IP Address]])-9)</f>
        <v>31</v>
      </c>
      <c r="O25" s="1"/>
      <c r="P25" s="1" t="s">
        <v>4</v>
      </c>
      <c r="Q25" s="49" t="s">
        <v>176</v>
      </c>
      <c r="R25" s="1"/>
      <c r="S25" s="1"/>
      <c r="T25" s="1" t="s">
        <v>5</v>
      </c>
      <c r="U25" t="s">
        <v>19</v>
      </c>
      <c r="V25" s="8">
        <v>44224</v>
      </c>
      <c r="W25" s="8">
        <v>44210</v>
      </c>
      <c r="X25" s="8">
        <v>44664</v>
      </c>
      <c r="Y25" s="8" t="s">
        <v>372</v>
      </c>
      <c r="Z25" s="8">
        <v>44223</v>
      </c>
      <c r="AA25" s="8">
        <v>45317</v>
      </c>
      <c r="AB25" s="8" t="s">
        <v>365</v>
      </c>
      <c r="AC25" s="8" t="s">
        <v>370</v>
      </c>
      <c r="AE25" s="18" t="str">
        <f>_xlfn.XLOOKUP(Table2[[#This Row],[Site Num]],[1]!Table57[Branch ID],[1]!Table57[DC Name],"UNKNOWN")</f>
        <v>Billings</v>
      </c>
      <c r="AF25" s="18" t="str">
        <f>_xlfn.XLOOKUP(Table2[[#This Row],[Site Num]],[1]!Table57[Branch ID],[1]!Table57[External IP Address],"N/A")</f>
        <v>69.146.59.26</v>
      </c>
      <c r="AG25" s="18" t="str">
        <f>_xlfn.XLOOKUP(Table2[[#This Row],[Site Num]],[1]!Table57[Branch ID],[1]!Table57[Port Speed],"N/A")</f>
        <v>200x16</v>
      </c>
      <c r="AH25" s="38" t="str">
        <f>_xlfn.XLOOKUP(Table2[[#This Row],[Site Num]],[1]!Table57[Branch ID],[1]!Table57[City],"N/A")</f>
        <v>Billings</v>
      </c>
      <c r="AI25" s="38" t="str">
        <f>_xlfn.XLOOKUP(Table2[[#This Row],[Site Num]],[1]!Table57[Branch ID],[1]!Table57[State],"N/A")</f>
        <v>MT</v>
      </c>
      <c r="AJ25" s="18">
        <f>_xlfn.XLOOKUP(Table2[[#This Row],[Site Num]],[1]!Table57[Branch ID],[1]!Table57[ZIP Code],"N/A")</f>
        <v>59102</v>
      </c>
      <c r="AK25" s="18" t="str">
        <f>_xlfn.XLOOKUP(Table2[[#This Row],[Site Num]],[1]!Table57[Branch ID],[1]!Table57[Circuit ID],"N/A")</f>
        <v>Acct# 8313 20 001 1901338</v>
      </c>
      <c r="AL25" s="18" t="str">
        <f>_xlfn.XLOOKUP(Table2[[#This Row],[Site Num]],[1]!Table57[Branch ID],[1]!Table57[ServiceType],"N/A")</f>
        <v>Cable</v>
      </c>
      <c r="AM25" s="18" t="str">
        <f>_xlfn.XLOOKUP(Table2[[#This Row],[Site Num]],[1]!Table57[Branch ID],[1]!Table57[Vendor],"N/A")</f>
        <v>Charter</v>
      </c>
      <c r="AN25" s="38" t="str">
        <f t="shared" si="0"/>
        <v>10.185.0.94</v>
      </c>
      <c r="AO25" s="19">
        <v>94</v>
      </c>
      <c r="AP25" s="20" t="str">
        <f t="shared" si="1"/>
        <v>10.176.94.X</v>
      </c>
      <c r="AQ25" s="20" t="str">
        <f t="shared" si="2"/>
        <v>10.186.94.x</v>
      </c>
      <c r="AR25" s="20" t="str">
        <f t="shared" si="3"/>
        <v>10.184.94.1</v>
      </c>
      <c r="AS25" s="20" t="str">
        <f t="shared" si="4"/>
        <v>10.184.94.25</v>
      </c>
      <c r="AT25" s="20"/>
      <c r="AU25" s="20"/>
      <c r="AV25" s="20" t="str">
        <f t="shared" si="5"/>
        <v>10.185.x.94</v>
      </c>
      <c r="AW25" s="20" t="str">
        <f t="shared" si="7"/>
        <v>10.184.94.X</v>
      </c>
      <c r="AX25" s="21"/>
      <c r="AY25" s="21"/>
      <c r="AZ25" s="21"/>
      <c r="BA25" s="21"/>
      <c r="BB25" s="22" t="str">
        <f t="shared" si="6"/>
        <v>10.184.94.240</v>
      </c>
    </row>
    <row r="26" spans="1:54">
      <c r="A26" s="6" t="s">
        <v>461</v>
      </c>
      <c r="B26" s="1" t="s">
        <v>259</v>
      </c>
      <c r="C26" s="1" t="s">
        <v>255</v>
      </c>
      <c r="D26" s="6" t="s">
        <v>257</v>
      </c>
      <c r="E26" s="11">
        <f>_xlfn.XLOOKUP(Table1[[#This Row],[Serial Number]],Table13[Serial No.],Table13[End Date])</f>
        <v>45331</v>
      </c>
      <c r="F26" s="11">
        <f>_xlfn.XLOOKUP(Table1[[#This Row],[Serial Number]],Table13[Serial No.],Table13[End Date])</f>
        <v>45331</v>
      </c>
      <c r="G26" s="11">
        <f>_xlfn.XLOOKUP(Table1[[#This Row],[Serial Number]],Table13[Serial No.],Table13[Registration Date])</f>
        <v>43803</v>
      </c>
      <c r="H26" s="1"/>
      <c r="I26" s="1" t="s">
        <v>91</v>
      </c>
      <c r="J26" s="1" t="s">
        <v>316</v>
      </c>
      <c r="K26" s="1"/>
      <c r="L26" s="1"/>
      <c r="M26" s="11" t="str">
        <f>_xlfn.XLOOKUP(Table1[[#This Row],[IP Address]],Table2[Firewall IP],Table2[City])</f>
        <v>Bluffton</v>
      </c>
      <c r="N26" s="47" t="str">
        <f>RIGHT(Table1[[#This Row],[IP Address]],LEN(Table1[[#This Row],[IP Address]])-9)</f>
        <v>32</v>
      </c>
      <c r="O26" s="1"/>
      <c r="P26" s="1" t="s">
        <v>4</v>
      </c>
      <c r="Q26" s="50" t="s">
        <v>183</v>
      </c>
      <c r="R26" s="1"/>
      <c r="S26" s="1"/>
      <c r="T26" s="1" t="s">
        <v>5</v>
      </c>
      <c r="U26" t="s">
        <v>72</v>
      </c>
      <c r="V26" s="8">
        <v>44224</v>
      </c>
      <c r="W26" s="8">
        <v>44210</v>
      </c>
      <c r="X26" s="8">
        <v>44664</v>
      </c>
      <c r="Y26" s="8" t="s">
        <v>372</v>
      </c>
      <c r="Z26" s="8">
        <v>44223</v>
      </c>
      <c r="AA26" s="8">
        <v>45317</v>
      </c>
      <c r="AB26" s="8" t="s">
        <v>365</v>
      </c>
      <c r="AC26" s="8" t="s">
        <v>370</v>
      </c>
      <c r="AE26" s="18" t="str">
        <f>_xlfn.XLOOKUP(Table2[[#This Row],[Site Num]],[1]!Table57[Branch ID],[1]!Table57[DC Name],"UNKNOWN")</f>
        <v>Sioux City</v>
      </c>
      <c r="AF26" s="18" t="str">
        <f>_xlfn.XLOOKUP(Table2[[#This Row],[Site Num]],[1]!Table57[Branch ID],[1]!Table57[External IP Address],"N/A")</f>
        <v>24.119.182.174</v>
      </c>
      <c r="AG26" s="18" t="str">
        <f>_xlfn.XLOOKUP(Table2[[#This Row],[Site Num]],[1]!Table57[Branch ID],[1]!Table57[Port Speed],"N/A")</f>
        <v>300x30</v>
      </c>
      <c r="AH26" s="38" t="str">
        <f>_xlfn.XLOOKUP(Table2[[#This Row],[Site Num]],[1]!Table57[Branch ID],[1]!Table57[City],"N/A")</f>
        <v>Sioux City</v>
      </c>
      <c r="AI26" s="38" t="str">
        <f>_xlfn.XLOOKUP(Table2[[#This Row],[Site Num]],[1]!Table57[Branch ID],[1]!Table57[State],"N/A")</f>
        <v>IA</v>
      </c>
      <c r="AJ26" s="18" t="str">
        <f>_xlfn.XLOOKUP(Table2[[#This Row],[Site Num]],[1]!Table57[Branch ID],[1]!Table57[ZIP Code],"N/A")</f>
        <v>51106</v>
      </c>
      <c r="AK26" s="18" t="str">
        <f>_xlfn.XLOOKUP(Table2[[#This Row],[Site Num]],[1]!Table57[Branch ID],[1]!Table57[Circuit ID],"N/A")</f>
        <v>Acct# 103285623</v>
      </c>
      <c r="AL26" s="18" t="str">
        <f>_xlfn.XLOOKUP(Table2[[#This Row],[Site Num]],[1]!Table57[Branch ID],[1]!Table57[ServiceType],"N/A")</f>
        <v>Cable</v>
      </c>
      <c r="AM26" s="18" t="str">
        <f>_xlfn.XLOOKUP(Table2[[#This Row],[Site Num]],[1]!Table57[Branch ID],[1]!Table57[Vendor],"N/A")</f>
        <v>SparkLight</v>
      </c>
      <c r="AN26" s="38" t="str">
        <f t="shared" si="0"/>
        <v>10.185.0.95</v>
      </c>
      <c r="AO26" s="19">
        <v>95</v>
      </c>
      <c r="AP26" s="20" t="str">
        <f t="shared" si="1"/>
        <v>10.176.95.X</v>
      </c>
      <c r="AQ26" s="20" t="str">
        <f t="shared" si="2"/>
        <v>10.186.95.x</v>
      </c>
      <c r="AR26" s="20" t="str">
        <f t="shared" si="3"/>
        <v>10.184.95.1</v>
      </c>
      <c r="AS26" s="20" t="str">
        <f t="shared" si="4"/>
        <v>10.184.95.25</v>
      </c>
      <c r="AT26" s="20"/>
      <c r="AU26" s="20"/>
      <c r="AV26" s="20" t="str">
        <f t="shared" si="5"/>
        <v>10.185.x.95</v>
      </c>
      <c r="AW26" s="20" t="str">
        <f t="shared" si="7"/>
        <v>10.184.95.X</v>
      </c>
      <c r="AX26" s="21"/>
      <c r="AY26" s="21"/>
      <c r="AZ26" s="21"/>
      <c r="BA26" s="21"/>
      <c r="BB26" s="22" t="str">
        <f t="shared" si="6"/>
        <v>10.184.95.240</v>
      </c>
    </row>
    <row r="27" spans="1:54">
      <c r="A27" s="6" t="s">
        <v>462</v>
      </c>
      <c r="B27" s="1" t="s">
        <v>259</v>
      </c>
      <c r="C27" s="1" t="s">
        <v>255</v>
      </c>
      <c r="D27" s="6" t="s">
        <v>257</v>
      </c>
      <c r="E27" s="11">
        <f>_xlfn.XLOOKUP(Table1[[#This Row],[Serial Number]],Table13[Serial No.],Table13[End Date])</f>
        <v>45331</v>
      </c>
      <c r="F27" s="11">
        <f>_xlfn.XLOOKUP(Table1[[#This Row],[Serial Number]],Table13[Serial No.],Table13[End Date])</f>
        <v>45331</v>
      </c>
      <c r="G27" s="11">
        <f>_xlfn.XLOOKUP(Table1[[#This Row],[Serial Number]],Table13[Serial No.],Table13[Registration Date])</f>
        <v>43803</v>
      </c>
      <c r="H27" s="1"/>
      <c r="I27" s="1" t="s">
        <v>49</v>
      </c>
      <c r="J27" s="1" t="s">
        <v>315</v>
      </c>
      <c r="K27" s="1"/>
      <c r="L27" s="1"/>
      <c r="M27" s="11" t="str">
        <f>_xlfn.XLOOKUP(Table1[[#This Row],[IP Address]],Table2[Firewall IP],Table2[City])</f>
        <v>Reno</v>
      </c>
      <c r="N27" s="47" t="str">
        <f>RIGHT(Table1[[#This Row],[IP Address]],LEN(Table1[[#This Row],[IP Address]])-9)</f>
        <v>33</v>
      </c>
      <c r="O27" s="1"/>
      <c r="P27" s="1" t="s">
        <v>4</v>
      </c>
      <c r="Q27" s="49" t="s">
        <v>214</v>
      </c>
      <c r="R27" s="1"/>
      <c r="S27" s="1"/>
      <c r="T27" s="1" t="s">
        <v>5</v>
      </c>
      <c r="U27" t="s">
        <v>77</v>
      </c>
      <c r="V27" s="8">
        <v>44224</v>
      </c>
      <c r="W27" s="8">
        <v>44210</v>
      </c>
      <c r="X27" s="8">
        <v>44664</v>
      </c>
      <c r="Y27" s="8" t="s">
        <v>364</v>
      </c>
      <c r="Z27" s="8">
        <v>44207</v>
      </c>
      <c r="AA27" s="8">
        <v>45331</v>
      </c>
      <c r="AB27" s="8" t="s">
        <v>365</v>
      </c>
      <c r="AC27" s="8" t="s">
        <v>366</v>
      </c>
      <c r="AE27" s="18" t="str">
        <f>_xlfn.XLOOKUP(Table2[[#This Row],[Site Num]],[1]!Table57[Branch ID],[1]!Table57[DC Name],"UNKNOWN")</f>
        <v>Cedar Rapids</v>
      </c>
      <c r="AF27" s="18" t="str">
        <f>_xlfn.XLOOKUP(Table2[[#This Row],[Site Num]],[1]!Table57[Branch ID],[1]!Table57[External IP Address],"N/A")</f>
        <v>63.158.219.130</v>
      </c>
      <c r="AG27" s="18" t="str">
        <f>_xlfn.XLOOKUP(Table2[[#This Row],[Site Num]],[1]!Table57[Branch ID],[1]!Table57[Port Speed],"N/A")</f>
        <v>4608 T1*3</v>
      </c>
      <c r="AH27" s="38" t="str">
        <f>_xlfn.XLOOKUP(Table2[[#This Row],[Site Num]],[1]!Table57[Branch ID],[1]!Table57[City],"N/A")</f>
        <v>Marion</v>
      </c>
      <c r="AI27" s="38" t="str">
        <f>_xlfn.XLOOKUP(Table2[[#This Row],[Site Num]],[1]!Table57[Branch ID],[1]!Table57[State],"N/A")</f>
        <v>IA</v>
      </c>
      <c r="AJ27" s="18">
        <f>_xlfn.XLOOKUP(Table2[[#This Row],[Site Num]],[1]!Table57[Branch ID],[1]!Table57[ZIP Code],"N/A")</f>
        <v>52302</v>
      </c>
      <c r="AK27" s="18" t="str">
        <f>_xlfn.XLOOKUP(Table2[[#This Row],[Site Num]],[1]!Table57[Branch ID],[1]!Table57[Circuit ID],"N/A")</f>
        <v>DS1NTDT-17774070 (.01\.02\.03)</v>
      </c>
      <c r="AL27" s="18" t="str">
        <f>_xlfn.XLOOKUP(Table2[[#This Row],[Site Num]],[1]!Table57[Branch ID],[1]!Table57[ServiceType],"N/A")</f>
        <v>T1 x 3</v>
      </c>
      <c r="AM27" s="18" t="str">
        <f>_xlfn.XLOOKUP(Table2[[#This Row],[Site Num]],[1]!Table57[Branch ID],[1]!Table57[Vendor],"N/A")</f>
        <v>CenturyLink</v>
      </c>
      <c r="AN27" s="38" t="str">
        <f t="shared" si="0"/>
        <v>10.185.0.96</v>
      </c>
      <c r="AO27" s="19">
        <v>96</v>
      </c>
      <c r="AP27" s="20" t="str">
        <f t="shared" si="1"/>
        <v>10.176.96.X</v>
      </c>
      <c r="AQ27" s="20" t="str">
        <f t="shared" si="2"/>
        <v>10.186.96.x</v>
      </c>
      <c r="AR27" s="20" t="str">
        <f t="shared" si="3"/>
        <v>10.184.96.1</v>
      </c>
      <c r="AS27" s="20" t="str">
        <f t="shared" si="4"/>
        <v>10.184.96.25</v>
      </c>
      <c r="AT27" s="20"/>
      <c r="AU27" s="20"/>
      <c r="AV27" s="20" t="str">
        <f t="shared" si="5"/>
        <v>10.185.x.96</v>
      </c>
      <c r="AW27" s="20" t="str">
        <f t="shared" si="7"/>
        <v>10.184.96.X</v>
      </c>
      <c r="AX27" s="21"/>
      <c r="AY27" s="21"/>
      <c r="AZ27" s="21"/>
      <c r="BA27" s="21"/>
      <c r="BB27" s="22" t="str">
        <f t="shared" si="6"/>
        <v>10.184.96.240</v>
      </c>
    </row>
    <row r="28" spans="1:54">
      <c r="A28" s="6" t="s">
        <v>463</v>
      </c>
      <c r="B28" s="1" t="s">
        <v>259</v>
      </c>
      <c r="C28" s="1" t="s">
        <v>255</v>
      </c>
      <c r="D28" s="6" t="s">
        <v>257</v>
      </c>
      <c r="E28" s="11">
        <f>_xlfn.XLOOKUP(Table1[[#This Row],[Serial Number]],Table13[Serial No.],Table13[End Date])</f>
        <v>44191</v>
      </c>
      <c r="F28" s="11">
        <f>_xlfn.XLOOKUP(Table1[[#This Row],[Serial Number]],Table13[Serial No.],Table13[End Date])</f>
        <v>44191</v>
      </c>
      <c r="G28" s="11">
        <f>_xlfn.XLOOKUP(Table1[[#This Row],[Serial Number]],Table13[Serial No.],Table13[Registration Date])</f>
        <v>42919</v>
      </c>
      <c r="H28" s="1"/>
      <c r="I28" s="1" t="s">
        <v>36</v>
      </c>
      <c r="J28" s="1" t="s">
        <v>279</v>
      </c>
      <c r="K28" s="1"/>
      <c r="L28" s="1"/>
      <c r="M28" s="11" t="str">
        <f>_xlfn.XLOOKUP(Table1[[#This Row],[IP Address]],Table2[Firewall IP],Table2[City])</f>
        <v>Lansing</v>
      </c>
      <c r="N28" s="47" t="str">
        <f>RIGHT(Table1[[#This Row],[IP Address]],LEN(Table1[[#This Row],[IP Address]])-9)</f>
        <v>34</v>
      </c>
      <c r="O28" s="1"/>
      <c r="P28" s="1" t="s">
        <v>4</v>
      </c>
      <c r="Q28" s="49" t="s">
        <v>198</v>
      </c>
      <c r="R28" s="1"/>
      <c r="S28" s="1"/>
      <c r="T28" s="1" t="s">
        <v>5</v>
      </c>
      <c r="U28" t="s">
        <v>77</v>
      </c>
      <c r="V28" s="8">
        <v>44224</v>
      </c>
      <c r="W28" s="8">
        <v>44210</v>
      </c>
      <c r="X28" s="8">
        <v>44664</v>
      </c>
      <c r="Y28" s="8" t="s">
        <v>372</v>
      </c>
      <c r="Z28" s="8">
        <v>44223</v>
      </c>
      <c r="AA28" s="8">
        <v>45317</v>
      </c>
      <c r="AB28" s="8" t="s">
        <v>365</v>
      </c>
      <c r="AC28" s="8" t="s">
        <v>370</v>
      </c>
      <c r="AE28" s="18" t="str">
        <f>_xlfn.XLOOKUP(Table2[[#This Row],[Site Num]],[1]!Table57[Branch ID],[1]!Table57[DC Name],"UNKNOWN")</f>
        <v>Rapid City</v>
      </c>
      <c r="AF28" s="18" t="str">
        <f>_xlfn.XLOOKUP(Table2[[#This Row],[Site Num]],[1]!Table57[Branch ID],[1]!Table57[External IP Address],"N/A")</f>
        <v>24.111.186.42</v>
      </c>
      <c r="AG28" s="18" t="str">
        <f>_xlfn.XLOOKUP(Table2[[#This Row],[Site Num]],[1]!Table57[Branch ID],[1]!Table57[Port Speed],"N/A")</f>
        <v>120x12</v>
      </c>
      <c r="AH28" s="38" t="str">
        <f>_xlfn.XLOOKUP(Table2[[#This Row],[Site Num]],[1]!Table57[Branch ID],[1]!Table57[City],"N/A")</f>
        <v>Black Hawk</v>
      </c>
      <c r="AI28" s="38" t="str">
        <f>_xlfn.XLOOKUP(Table2[[#This Row],[Site Num]],[1]!Table57[Branch ID],[1]!Table57[State],"N/A")</f>
        <v>SD</v>
      </c>
      <c r="AJ28" s="18">
        <f>_xlfn.XLOOKUP(Table2[[#This Row],[Site Num]],[1]!Table57[Branch ID],[1]!Table57[ZIP Code],"N/A")</f>
        <v>57718</v>
      </c>
      <c r="AK28" s="18" t="str">
        <f>_xlfn.XLOOKUP(Table2[[#This Row],[Site Num]],[1]!Table57[Branch ID],[1]!Table57[Circuit ID],"N/A")</f>
        <v>Acct# 115877002</v>
      </c>
      <c r="AL28" s="18" t="str">
        <f>_xlfn.XLOOKUP(Table2[[#This Row],[Site Num]],[1]!Table57[Branch ID],[1]!Table57[ServiceType],"N/A")</f>
        <v>Cable</v>
      </c>
      <c r="AM28" s="18" t="str">
        <f>_xlfn.XLOOKUP(Table2[[#This Row],[Site Num]],[1]!Table57[Branch ID],[1]!Table57[Vendor],"N/A")</f>
        <v>Midco</v>
      </c>
      <c r="AN28" s="38" t="str">
        <f t="shared" si="0"/>
        <v>10.185.0.97</v>
      </c>
      <c r="AO28" s="19">
        <v>97</v>
      </c>
      <c r="AP28" s="20" t="str">
        <f t="shared" si="1"/>
        <v>10.176.97.X</v>
      </c>
      <c r="AQ28" s="20" t="str">
        <f t="shared" si="2"/>
        <v>10.186.97.x</v>
      </c>
      <c r="AR28" s="20" t="str">
        <f t="shared" si="3"/>
        <v>10.184.97.1</v>
      </c>
      <c r="AS28" s="20" t="str">
        <f t="shared" si="4"/>
        <v>10.184.97.25</v>
      </c>
      <c r="AT28" s="20"/>
      <c r="AU28" s="20"/>
      <c r="AV28" s="20" t="str">
        <f t="shared" si="5"/>
        <v>10.185.x.97</v>
      </c>
      <c r="AW28" s="20" t="str">
        <f t="shared" si="7"/>
        <v>10.184.97.X</v>
      </c>
      <c r="AX28" s="21"/>
      <c r="AY28" s="21"/>
      <c r="AZ28" s="21"/>
      <c r="BA28" s="21"/>
      <c r="BB28" s="22" t="str">
        <f t="shared" si="6"/>
        <v>10.184.97.240</v>
      </c>
    </row>
    <row r="29" spans="1:54">
      <c r="A29" s="6" t="s">
        <v>466</v>
      </c>
      <c r="B29" s="1" t="s">
        <v>259</v>
      </c>
      <c r="C29" s="1" t="s">
        <v>255</v>
      </c>
      <c r="D29" s="6" t="s">
        <v>257</v>
      </c>
      <c r="E29" s="11">
        <f>_xlfn.XLOOKUP(Table1[[#This Row],[Serial Number]],Table13[Serial No.],Table13[End Date])</f>
        <v>45317</v>
      </c>
      <c r="F29" s="11">
        <f>_xlfn.XLOOKUP(Table1[[#This Row],[Serial Number]],Table13[Serial No.],Table13[End Date])</f>
        <v>45317</v>
      </c>
      <c r="G29" s="11">
        <f>_xlfn.XLOOKUP(Table1[[#This Row],[Serial Number]],Table13[Serial No.],Table13[Registration Date])</f>
        <v>44224</v>
      </c>
      <c r="H29" s="1"/>
      <c r="I29" s="1" t="s">
        <v>19</v>
      </c>
      <c r="J29" s="1" t="s">
        <v>293</v>
      </c>
      <c r="K29" s="1"/>
      <c r="L29" s="1"/>
      <c r="M29" s="11" t="str">
        <f>_xlfn.XLOOKUP(Table1[[#This Row],[IP Address]],Table2[Firewall IP],Table2[City])</f>
        <v>Lakeville</v>
      </c>
      <c r="N29" s="47" t="str">
        <f>RIGHT(Table1[[#This Row],[IP Address]],LEN(Table1[[#This Row],[IP Address]])-9)</f>
        <v>36</v>
      </c>
      <c r="O29" s="1"/>
      <c r="P29" s="1" t="s">
        <v>4</v>
      </c>
      <c r="Q29" s="49" t="s">
        <v>196</v>
      </c>
      <c r="R29" s="1"/>
      <c r="S29" s="1"/>
      <c r="T29" s="1" t="s">
        <v>5</v>
      </c>
      <c r="U29" t="s">
        <v>81</v>
      </c>
      <c r="V29" s="8">
        <v>44224</v>
      </c>
      <c r="W29" s="8">
        <v>44210</v>
      </c>
      <c r="X29" s="8">
        <v>44664</v>
      </c>
      <c r="Y29" s="8" t="s">
        <v>372</v>
      </c>
      <c r="Z29" s="8">
        <v>44223</v>
      </c>
      <c r="AA29" s="8">
        <v>45317</v>
      </c>
      <c r="AB29" s="8" t="s">
        <v>365</v>
      </c>
      <c r="AC29" s="8" t="s">
        <v>370</v>
      </c>
      <c r="AE29" s="18" t="str">
        <f>_xlfn.XLOOKUP(Table2[[#This Row],[Site Num]],[1]!Table57[Branch ID],[1]!Table57[DC Name],"UNKNOWN")</f>
        <v>Sioux Falls</v>
      </c>
      <c r="AF29" s="18" t="str">
        <f>_xlfn.XLOOKUP(Table2[[#This Row],[Site Num]],[1]!Table57[Branch ID],[1]!Table57[External IP Address],"N/A")</f>
        <v>24.111.174.54</v>
      </c>
      <c r="AG29" s="18" t="str">
        <f>_xlfn.XLOOKUP(Table2[[#This Row],[Site Num]],[1]!Table57[Branch ID],[1]!Table57[Port Speed],"N/A")</f>
        <v>120x12</v>
      </c>
      <c r="AH29" s="38" t="str">
        <f>_xlfn.XLOOKUP(Table2[[#This Row],[Site Num]],[1]!Table57[Branch ID],[1]!Table57[City],"N/A")</f>
        <v>Sioux Falls</v>
      </c>
      <c r="AI29" s="38" t="str">
        <f>_xlfn.XLOOKUP(Table2[[#This Row],[Site Num]],[1]!Table57[Branch ID],[1]!Table57[State],"N/A")</f>
        <v>SD</v>
      </c>
      <c r="AJ29" s="18" t="str">
        <f>_xlfn.XLOOKUP(Table2[[#This Row],[Site Num]],[1]!Table57[Branch ID],[1]!Table57[ZIP Code],"N/A")</f>
        <v>57106</v>
      </c>
      <c r="AK29" s="18" t="str">
        <f>_xlfn.XLOOKUP(Table2[[#This Row],[Site Num]],[1]!Table57[Branch ID],[1]!Table57[Circuit ID],"N/A")</f>
        <v>Acct # 156642101</v>
      </c>
      <c r="AL29" s="18" t="str">
        <f>_xlfn.XLOOKUP(Table2[[#This Row],[Site Num]],[1]!Table57[Branch ID],[1]!Table57[ServiceType],"N/A")</f>
        <v>Cable</v>
      </c>
      <c r="AM29" s="18" t="str">
        <f>_xlfn.XLOOKUP(Table2[[#This Row],[Site Num]],[1]!Table57[Branch ID],[1]!Table57[Vendor],"N/A")</f>
        <v>Midcontinent</v>
      </c>
      <c r="AN29" s="38" t="str">
        <f t="shared" si="0"/>
        <v>10.185.0.98</v>
      </c>
      <c r="AO29" s="19">
        <v>98</v>
      </c>
      <c r="AP29" s="20" t="str">
        <f t="shared" si="1"/>
        <v>10.176.98.X</v>
      </c>
      <c r="AQ29" s="20" t="str">
        <f t="shared" si="2"/>
        <v>10.186.98.x</v>
      </c>
      <c r="AR29" s="20" t="str">
        <f t="shared" si="3"/>
        <v>10.184.98.1</v>
      </c>
      <c r="AS29" s="20" t="str">
        <f t="shared" si="4"/>
        <v>10.184.98.25</v>
      </c>
      <c r="AT29" s="20"/>
      <c r="AU29" s="20"/>
      <c r="AV29" s="20" t="str">
        <f t="shared" si="5"/>
        <v>10.185.x.98</v>
      </c>
      <c r="AW29" s="20" t="str">
        <f t="shared" si="7"/>
        <v>10.184.98.X</v>
      </c>
      <c r="AX29" s="21"/>
      <c r="AY29" s="21"/>
      <c r="AZ29" s="21"/>
      <c r="BA29" s="21"/>
      <c r="BB29" s="22" t="str">
        <f t="shared" si="6"/>
        <v>10.184.98.240</v>
      </c>
    </row>
    <row r="30" spans="1:54">
      <c r="A30" s="6" t="s">
        <v>465</v>
      </c>
      <c r="B30" s="1" t="s">
        <v>259</v>
      </c>
      <c r="C30" s="1" t="s">
        <v>255</v>
      </c>
      <c r="D30" s="6" t="s">
        <v>257</v>
      </c>
      <c r="E30" s="11">
        <f>_xlfn.XLOOKUP(Table1[[#This Row],[Serial Number]],Table13[Serial No.],Table13[End Date])</f>
        <v>45331</v>
      </c>
      <c r="F30" s="11">
        <f>_xlfn.XLOOKUP(Table1[[#This Row],[Serial Number]],Table13[Serial No.],Table13[End Date])</f>
        <v>45331</v>
      </c>
      <c r="G30" s="11">
        <f>_xlfn.XLOOKUP(Table1[[#This Row],[Serial Number]],Table13[Serial No.],Table13[Registration Date])</f>
        <v>44132</v>
      </c>
      <c r="H30" s="1"/>
      <c r="I30" s="1" t="s">
        <v>86</v>
      </c>
      <c r="J30" s="1" t="s">
        <v>284</v>
      </c>
      <c r="K30" s="1"/>
      <c r="L30" s="1"/>
      <c r="M30" s="45" t="s">
        <v>429</v>
      </c>
      <c r="N30" s="47" t="str">
        <f>RIGHT(Table1[[#This Row],[IP Address]],LEN(Table1[[#This Row],[IP Address]])-9)</f>
        <v>38</v>
      </c>
      <c r="O30" s="1"/>
      <c r="P30" s="1" t="s">
        <v>4</v>
      </c>
      <c r="Q30" s="49" t="s">
        <v>228</v>
      </c>
      <c r="R30" s="1"/>
      <c r="S30" s="1"/>
      <c r="T30" s="1" t="s">
        <v>5</v>
      </c>
      <c r="U30" t="s">
        <v>81</v>
      </c>
      <c r="V30" s="8">
        <v>44224</v>
      </c>
      <c r="W30" s="8">
        <v>44210</v>
      </c>
      <c r="X30" s="8">
        <v>44664</v>
      </c>
      <c r="Y30" s="8" t="s">
        <v>373</v>
      </c>
      <c r="Z30" s="8">
        <v>44369</v>
      </c>
      <c r="AA30" s="8">
        <v>44763</v>
      </c>
      <c r="AB30" s="8" t="s">
        <v>365</v>
      </c>
      <c r="AC30" s="8" t="s">
        <v>374</v>
      </c>
      <c r="AE30" s="18" t="str">
        <f>_xlfn.XLOOKUP(Table2[[#This Row],[Site Num]],[1]!Table57[Branch ID],[1]!Table57[DC Name],"UNKNOWN")</f>
        <v>Topeka</v>
      </c>
      <c r="AF30" s="18" t="str">
        <f>_xlfn.XLOOKUP(Table2[[#This Row],[Site Num]],[1]!Table57[Branch ID],[1]!Table57[External IP Address],"N/A")</f>
        <v>70.163.37.50</v>
      </c>
      <c r="AG30" s="18" t="str">
        <f>_xlfn.XLOOKUP(Table2[[#This Row],[Site Num]],[1]!Table57[Branch ID],[1]!Table57[Port Speed],"N/A")</f>
        <v>50 x 10</v>
      </c>
      <c r="AH30" s="38" t="str">
        <f>_xlfn.XLOOKUP(Table2[[#This Row],[Site Num]],[1]!Table57[Branch ID],[1]!Table57[City],"N/A")</f>
        <v>Topeka</v>
      </c>
      <c r="AI30" s="38" t="str">
        <f>_xlfn.XLOOKUP(Table2[[#This Row],[Site Num]],[1]!Table57[Branch ID],[1]!Table57[State],"N/A")</f>
        <v>KS</v>
      </c>
      <c r="AJ30" s="18" t="str">
        <f>_xlfn.XLOOKUP(Table2[[#This Row],[Site Num]],[1]!Table57[Branch ID],[1]!Table57[ZIP Code],"N/A")</f>
        <v>66619</v>
      </c>
      <c r="AK30" s="18" t="str">
        <f>_xlfn.XLOOKUP(Table2[[#This Row],[Site Num]],[1]!Table57[Branch ID],[1]!Table57[Circuit ID],"N/A")</f>
        <v>Acct#  001 1021 091313801</v>
      </c>
      <c r="AL30" s="18" t="str">
        <f>_xlfn.XLOOKUP(Table2[[#This Row],[Site Num]],[1]!Table57[Branch ID],[1]!Table57[ServiceType],"N/A")</f>
        <v>Cable</v>
      </c>
      <c r="AM30" s="18" t="str">
        <f>_xlfn.XLOOKUP(Table2[[#This Row],[Site Num]],[1]!Table57[Branch ID],[1]!Table57[Vendor],"N/A")</f>
        <v>Cox Business</v>
      </c>
      <c r="AN30" s="38" t="str">
        <f t="shared" si="0"/>
        <v>10.185.0.108</v>
      </c>
      <c r="AO30" s="24">
        <v>108</v>
      </c>
      <c r="AP30" s="20" t="str">
        <f t="shared" si="1"/>
        <v>10.176.108.X</v>
      </c>
      <c r="AQ30" s="20" t="str">
        <f t="shared" si="2"/>
        <v>10.186.108.x</v>
      </c>
      <c r="AR30" s="20" t="str">
        <f t="shared" si="3"/>
        <v>10.184.108.1</v>
      </c>
      <c r="AS30" s="20" t="str">
        <f t="shared" si="4"/>
        <v>10.184.108.25</v>
      </c>
      <c r="AT30" s="20"/>
      <c r="AU30" s="20"/>
      <c r="AV30" s="20" t="str">
        <f t="shared" si="5"/>
        <v>10.185.x.108</v>
      </c>
      <c r="AW30" s="20" t="str">
        <f t="shared" si="7"/>
        <v>10.184.108.X</v>
      </c>
      <c r="AX30" s="21"/>
      <c r="AY30" s="21"/>
      <c r="AZ30" s="21"/>
      <c r="BA30" s="21"/>
      <c r="BB30" s="22" t="str">
        <f t="shared" si="6"/>
        <v>10.184.108.240</v>
      </c>
    </row>
    <row r="31" spans="1:54">
      <c r="A31" s="6" t="s">
        <v>464</v>
      </c>
      <c r="B31" s="1" t="s">
        <v>259</v>
      </c>
      <c r="C31" s="1" t="s">
        <v>255</v>
      </c>
      <c r="D31" s="6" t="s">
        <v>257</v>
      </c>
      <c r="E31" s="11">
        <f>_xlfn.XLOOKUP(Table1[[#This Row],[Serial Number]],Table13[Serial No.],Table13[End Date])</f>
        <v>45331</v>
      </c>
      <c r="F31" s="11">
        <f>_xlfn.XLOOKUP(Table1[[#This Row],[Serial Number]],Table13[Serial No.],Table13[End Date])</f>
        <v>45331</v>
      </c>
      <c r="G31" s="11">
        <f>_xlfn.XLOOKUP(Table1[[#This Row],[Serial Number]],Table13[Serial No.],Table13[Registration Date])</f>
        <v>44224</v>
      </c>
      <c r="H31" s="1"/>
      <c r="I31" s="1" t="s">
        <v>77</v>
      </c>
      <c r="J31" s="1" t="s">
        <v>295</v>
      </c>
      <c r="K31" s="1"/>
      <c r="L31" s="1"/>
      <c r="M31" s="11" t="str">
        <f>_xlfn.XLOOKUP(Table1[[#This Row],[IP Address]],Table2[Firewall IP],Table2[City])</f>
        <v>Waterville</v>
      </c>
      <c r="N31" s="47" t="str">
        <f>RIGHT(Table1[[#This Row],[IP Address]],LEN(Table1[[#This Row],[IP Address]])-9)</f>
        <v>40</v>
      </c>
      <c r="O31" s="1"/>
      <c r="P31" s="1" t="s">
        <v>4</v>
      </c>
      <c r="Q31" s="49" t="s">
        <v>232</v>
      </c>
      <c r="R31" s="1"/>
      <c r="S31" s="1"/>
      <c r="T31" s="1" t="s">
        <v>5</v>
      </c>
      <c r="U31" t="s">
        <v>60</v>
      </c>
      <c r="V31" s="8">
        <v>44224</v>
      </c>
      <c r="W31" s="8">
        <v>44210</v>
      </c>
      <c r="X31" s="8">
        <v>44664</v>
      </c>
      <c r="Y31" s="8" t="s">
        <v>372</v>
      </c>
      <c r="Z31" s="8">
        <v>44223</v>
      </c>
      <c r="AA31" s="8">
        <v>45317</v>
      </c>
      <c r="AB31" s="8" t="s">
        <v>365</v>
      </c>
      <c r="AC31" s="8" t="s">
        <v>370</v>
      </c>
      <c r="AE31" s="18" t="str">
        <f>_xlfn.XLOOKUP(Table2[[#This Row],[Site Num]],[1]!Table57[Branch ID],[1]!Table57[DC Name],"UNKNOWN")</f>
        <v>Cordele</v>
      </c>
      <c r="AF31" s="18" t="str">
        <f>_xlfn.XLOOKUP(Table2[[#This Row],[Site Num]],[1]!Table57[Branch ID],[1]!Table57[External IP Address],"N/A")</f>
        <v>204.98.160.50</v>
      </c>
      <c r="AG31" s="18" t="str">
        <f>_xlfn.XLOOKUP(Table2[[#This Row],[Site Num]],[1]!Table57[Branch ID],[1]!Table57[Port Speed],"N/A")</f>
        <v>3072 T1*2</v>
      </c>
      <c r="AH31" s="38" t="str">
        <f>_xlfn.XLOOKUP(Table2[[#This Row],[Site Num]],[1]!Table57[Branch ID],[1]!Table57[City],"N/A")</f>
        <v>Cordele</v>
      </c>
      <c r="AI31" s="38" t="str">
        <f>_xlfn.XLOOKUP(Table2[[#This Row],[Site Num]],[1]!Table57[Branch ID],[1]!Table57[State],"N/A")</f>
        <v>GA</v>
      </c>
      <c r="AJ31" s="18" t="str">
        <f>_xlfn.XLOOKUP(Table2[[#This Row],[Site Num]],[1]!Table57[Branch ID],[1]!Table57[ZIP Code],"N/A")</f>
        <v>31015</v>
      </c>
      <c r="AK31" s="18" t="str">
        <f>_xlfn.XLOOKUP(Table2[[#This Row],[Site Num]],[1]!Table57[Branch ID],[1]!Table57[Circuit ID],"N/A")</f>
        <v>DS1NTDT-23018977 (.01\.02) (From Cordele tag..1.44 HCGS.617893, 2.44 HCGS.618013)</v>
      </c>
      <c r="AL31" s="18" t="str">
        <f>_xlfn.XLOOKUP(Table2[[#This Row],[Site Num]],[1]!Table57[Branch ID],[1]!Table57[ServiceType],"N/A")</f>
        <v>T1 x 2</v>
      </c>
      <c r="AM31" s="18" t="str">
        <f>_xlfn.XLOOKUP(Table2[[#This Row],[Site Num]],[1]!Table57[Branch ID],[1]!Table57[Vendor],"N/A")</f>
        <v>CenturyLink</v>
      </c>
      <c r="AN31" s="38" t="str">
        <f t="shared" si="0"/>
        <v>10.185.0.123</v>
      </c>
      <c r="AO31" s="19">
        <v>123</v>
      </c>
      <c r="AP31" s="20" t="str">
        <f t="shared" si="1"/>
        <v>10.176.123.X</v>
      </c>
      <c r="AQ31" s="20" t="str">
        <f t="shared" si="2"/>
        <v>10.186.123.x</v>
      </c>
      <c r="AR31" s="20" t="str">
        <f t="shared" si="3"/>
        <v>10.184.123.1</v>
      </c>
      <c r="AS31" s="20" t="str">
        <f t="shared" si="4"/>
        <v>10.184.123.25</v>
      </c>
      <c r="AT31" s="20"/>
      <c r="AU31" s="20"/>
      <c r="AV31" s="20" t="str">
        <f t="shared" si="5"/>
        <v>10.185.x.123</v>
      </c>
      <c r="AW31" s="20" t="str">
        <f t="shared" si="7"/>
        <v>10.184.123.X</v>
      </c>
      <c r="AX31" s="21"/>
      <c r="AY31" s="21"/>
      <c r="AZ31" s="21"/>
      <c r="BA31" s="21"/>
      <c r="BB31" s="22" t="str">
        <f t="shared" si="6"/>
        <v>10.184.123.240</v>
      </c>
    </row>
    <row r="32" spans="1:54">
      <c r="A32" s="6" t="s">
        <v>467</v>
      </c>
      <c r="B32" s="1" t="s">
        <v>259</v>
      </c>
      <c r="C32" s="1" t="s">
        <v>255</v>
      </c>
      <c r="D32" s="6" t="s">
        <v>257</v>
      </c>
      <c r="E32" s="11">
        <f>_xlfn.XLOOKUP(Table1[[#This Row],[Serial Number]],Table13[Serial No.],Table13[End Date])</f>
        <v>45331</v>
      </c>
      <c r="F32" s="11">
        <f>_xlfn.XLOOKUP(Table1[[#This Row],[Serial Number]],Table13[Serial No.],Table13[End Date])</f>
        <v>45331</v>
      </c>
      <c r="G32" s="11">
        <f>_xlfn.XLOOKUP(Table1[[#This Row],[Serial Number]],Table13[Serial No.],Table13[Registration Date])</f>
        <v>44132</v>
      </c>
      <c r="H32" s="1"/>
      <c r="I32" s="1" t="s">
        <v>63</v>
      </c>
      <c r="J32" s="1" t="s">
        <v>285</v>
      </c>
      <c r="K32" s="1"/>
      <c r="L32" s="1"/>
      <c r="M32" s="11" t="str">
        <f>_xlfn.XLOOKUP(Table1[[#This Row],[IP Address]],Table2[Firewall IP],Table2[City])</f>
        <v>Alexandria</v>
      </c>
      <c r="N32" s="47" t="str">
        <f>RIGHT(Table1[[#This Row],[IP Address]],LEN(Table1[[#This Row],[IP Address]])-9)</f>
        <v>41</v>
      </c>
      <c r="O32" s="1"/>
      <c r="P32" s="1" t="s">
        <v>4</v>
      </c>
      <c r="Q32" s="49" t="s">
        <v>156</v>
      </c>
      <c r="R32" s="1"/>
      <c r="S32" s="1"/>
      <c r="T32" s="1" t="s">
        <v>5</v>
      </c>
      <c r="U32" t="s">
        <v>13</v>
      </c>
      <c r="V32" s="8">
        <v>44224</v>
      </c>
      <c r="W32" s="8">
        <v>44210</v>
      </c>
      <c r="X32" s="8">
        <v>44664</v>
      </c>
      <c r="Y32" s="8" t="s">
        <v>364</v>
      </c>
      <c r="Z32" s="8">
        <v>44207</v>
      </c>
      <c r="AA32" s="8">
        <v>45331</v>
      </c>
      <c r="AB32" s="8" t="s">
        <v>365</v>
      </c>
      <c r="AC32" s="8" t="s">
        <v>366</v>
      </c>
      <c r="AE32" s="21" t="str">
        <f>_xlfn.XLOOKUP(Table2[[#This Row],[Site Num]],[1]!Table57[Branch ID],[1]!Table57[DC Name],"UNKNOWN")</f>
        <v>UNKNOWN</v>
      </c>
      <c r="AF32" s="21" t="str">
        <f>_xlfn.XLOOKUP(Table2[[#This Row],[Site Num]],[1]!Table57[Branch ID],[1]!Table57[External IP Address],"N/A")</f>
        <v>N/A</v>
      </c>
      <c r="AG32" s="18" t="str">
        <f>_xlfn.XLOOKUP(Table2[[#This Row],[Site Num]],[1]!Table57[Branch ID],[1]!Table57[Port Speed],"N/A")</f>
        <v>N/A</v>
      </c>
      <c r="AH32" s="39" t="str">
        <f>_xlfn.XLOOKUP(Table2[[#This Row],[Site Num]],[1]!Table57[Branch ID],[1]!Table57[City],"N/A")</f>
        <v>N/A</v>
      </c>
      <c r="AI32" s="39" t="str">
        <f>_xlfn.XLOOKUP(Table2[[#This Row],[Site Num]],[1]!Table57[Branch ID],[1]!Table57[State],"N/A")</f>
        <v>N/A</v>
      </c>
      <c r="AJ32" s="21" t="str">
        <f>_xlfn.XLOOKUP(Table2[[#This Row],[Site Num]],[1]!Table57[Branch ID],[1]!Table57[ZIP Code],"N/A")</f>
        <v>N/A</v>
      </c>
      <c r="AK32" s="21" t="str">
        <f>_xlfn.XLOOKUP(Table2[[#This Row],[Site Num]],[1]!Table57[Branch ID],[1]!Table57[Circuit ID],"N/A")</f>
        <v>N/A</v>
      </c>
      <c r="AL32" s="21" t="str">
        <f>_xlfn.XLOOKUP(Table2[[#This Row],[Site Num]],[1]!Table57[Branch ID],[1]!Table57[ServiceType],"N/A")</f>
        <v>N/A</v>
      </c>
      <c r="AM32" s="21" t="str">
        <f>_xlfn.XLOOKUP(Table2[[#This Row],[Site Num]],[1]!Table57[Branch ID],[1]!Table57[Vendor],"N/A")</f>
        <v>N/A</v>
      </c>
      <c r="AN32" s="39" t="str">
        <f t="shared" si="0"/>
        <v>10.185.0.125</v>
      </c>
      <c r="AO32" s="25">
        <v>125</v>
      </c>
      <c r="AP32" s="21" t="str">
        <f t="shared" si="1"/>
        <v>10.176.125.X</v>
      </c>
      <c r="AQ32" s="21" t="str">
        <f t="shared" si="2"/>
        <v>10.186.125.x</v>
      </c>
      <c r="AR32" s="21" t="str">
        <f t="shared" si="3"/>
        <v>10.184.125.1</v>
      </c>
      <c r="AS32" s="21" t="str">
        <f t="shared" si="4"/>
        <v>10.184.125.25</v>
      </c>
      <c r="AT32" s="21"/>
      <c r="AU32" s="21"/>
      <c r="AV32" s="21" t="str">
        <f t="shared" si="5"/>
        <v>10.185.x.125</v>
      </c>
      <c r="AW32" s="21" t="str">
        <f t="shared" si="7"/>
        <v>10.184.125.X</v>
      </c>
      <c r="AX32" s="21"/>
      <c r="AY32" s="21"/>
      <c r="AZ32" s="21"/>
      <c r="BA32" s="21"/>
      <c r="BB32" s="26" t="str">
        <f t="shared" si="6"/>
        <v>10.184.125.240</v>
      </c>
    </row>
    <row r="33" spans="1:54">
      <c r="A33" s="6" t="s">
        <v>468</v>
      </c>
      <c r="B33" s="1" t="s">
        <v>259</v>
      </c>
      <c r="C33" s="1" t="s">
        <v>255</v>
      </c>
      <c r="D33" s="6" t="s">
        <v>257</v>
      </c>
      <c r="E33" s="11">
        <f>_xlfn.XLOOKUP(Table1[[#This Row],[Serial Number]],Table13[Serial No.],Table13[End Date])</f>
        <v>44923</v>
      </c>
      <c r="F33" s="11">
        <f>_xlfn.XLOOKUP(Table1[[#This Row],[Serial Number]],Table13[Serial No.],Table13[End Date])</f>
        <v>44923</v>
      </c>
      <c r="G33" s="11">
        <f>_xlfn.XLOOKUP(Table1[[#This Row],[Serial Number]],Table13[Serial No.],Table13[Registration Date])</f>
        <v>44132</v>
      </c>
      <c r="H33" s="1"/>
      <c r="I33" s="1" t="s">
        <v>39</v>
      </c>
      <c r="J33" s="1" t="s">
        <v>283</v>
      </c>
      <c r="K33" s="1"/>
      <c r="L33" s="1"/>
      <c r="M33" s="11" t="str">
        <f>_xlfn.XLOOKUP(Table1[[#This Row],[IP Address]],Table2[Firewall IP],Table2[City])</f>
        <v>Lafayette</v>
      </c>
      <c r="N33" s="47" t="str">
        <f>RIGHT(Table1[[#This Row],[IP Address]],LEN(Table1[[#This Row],[IP Address]])-9)</f>
        <v>42</v>
      </c>
      <c r="O33" s="1"/>
      <c r="P33" s="1" t="s">
        <v>4</v>
      </c>
      <c r="Q33" s="50" t="s">
        <v>195</v>
      </c>
      <c r="R33" s="1"/>
      <c r="S33" s="1"/>
      <c r="T33" s="1" t="s">
        <v>5</v>
      </c>
      <c r="U33" t="s">
        <v>13</v>
      </c>
      <c r="V33" s="8">
        <v>44224</v>
      </c>
      <c r="W33" s="8">
        <v>44210</v>
      </c>
      <c r="X33" s="8">
        <v>44664</v>
      </c>
      <c r="Y33" s="8" t="s">
        <v>372</v>
      </c>
      <c r="Z33" s="8">
        <v>44223</v>
      </c>
      <c r="AA33" s="8">
        <v>45317</v>
      </c>
      <c r="AB33" s="8" t="s">
        <v>365</v>
      </c>
      <c r="AC33" s="8" t="s">
        <v>370</v>
      </c>
      <c r="AE33" s="18" t="str">
        <f>_xlfn.XLOOKUP(Table2[[#This Row],[Site Num]],[1]!Table57[Branch ID],[1]!Table57[DC Name],"UNKNOWN")</f>
        <v>Nashville</v>
      </c>
      <c r="AF33" s="18" t="str">
        <f>_xlfn.XLOOKUP(Table2[[#This Row],[Site Num]],[1]!Table57[Branch ID],[1]!Table57[External IP Address],"N/A")</f>
        <v>47.49.196.154/29</v>
      </c>
      <c r="AG33" s="18" t="str">
        <f>_xlfn.XLOOKUP(Table2[[#This Row],[Site Num]],[1]!Table57[Branch ID],[1]!Table57[Port Speed],"N/A")</f>
        <v>100x10</v>
      </c>
      <c r="AH33" s="38" t="str">
        <f>_xlfn.XLOOKUP(Table2[[#This Row],[Site Num]],[1]!Table57[Branch ID],[1]!Table57[City],"N/A")</f>
        <v>Lebanon</v>
      </c>
      <c r="AI33" s="38" t="str">
        <f>_xlfn.XLOOKUP(Table2[[#This Row],[Site Num]],[1]!Table57[Branch ID],[1]!Table57[State],"N/A")</f>
        <v>TN</v>
      </c>
      <c r="AJ33" s="18" t="str">
        <f>_xlfn.XLOOKUP(Table2[[#This Row],[Site Num]],[1]!Table57[Branch ID],[1]!Table57[ZIP Code],"N/A")</f>
        <v>37087</v>
      </c>
      <c r="AK33" s="18" t="str">
        <f>_xlfn.XLOOKUP(Table2[[#This Row],[Site Num]],[1]!Table57[Branch ID],[1]!Table57[Circuit ID],"N/A")</f>
        <v>Acct# 8336100820394951</v>
      </c>
      <c r="AL33" s="18" t="str">
        <f>_xlfn.XLOOKUP(Table2[[#This Row],[Site Num]],[1]!Table57[Branch ID],[1]!Table57[ServiceType],"N/A")</f>
        <v>Cable</v>
      </c>
      <c r="AM33" s="18" t="str">
        <f>_xlfn.XLOOKUP(Table2[[#This Row],[Site Num]],[1]!Table57[Branch ID],[1]!Table57[Vendor],"N/A")</f>
        <v>Charter</v>
      </c>
      <c r="AN33" s="38" t="str">
        <f t="shared" si="0"/>
        <v>10.185.0.128</v>
      </c>
      <c r="AO33" s="19">
        <v>128</v>
      </c>
      <c r="AP33" s="20" t="str">
        <f t="shared" si="1"/>
        <v>10.176.128.X</v>
      </c>
      <c r="AQ33" s="20" t="str">
        <f t="shared" si="2"/>
        <v>10.186.128.x</v>
      </c>
      <c r="AR33" s="20" t="str">
        <f t="shared" si="3"/>
        <v>10.184.128.1</v>
      </c>
      <c r="AS33" s="20" t="str">
        <f t="shared" si="4"/>
        <v>10.184.128.25</v>
      </c>
      <c r="AT33" s="20"/>
      <c r="AU33" s="20"/>
      <c r="AV33" s="20" t="str">
        <f t="shared" si="5"/>
        <v>10.185.x.128</v>
      </c>
      <c r="AW33" s="20" t="str">
        <f t="shared" si="7"/>
        <v>10.184.128.X</v>
      </c>
      <c r="AX33" s="21" t="s">
        <v>421</v>
      </c>
      <c r="AY33" s="21" t="s">
        <v>420</v>
      </c>
      <c r="AZ33" s="21" t="s">
        <v>420</v>
      </c>
      <c r="BA33" s="21"/>
      <c r="BB33" s="22" t="str">
        <f t="shared" si="6"/>
        <v>10.184.128.240</v>
      </c>
    </row>
    <row r="34" spans="1:54">
      <c r="A34" s="6" t="s">
        <v>469</v>
      </c>
      <c r="B34" s="1" t="s">
        <v>259</v>
      </c>
      <c r="C34" s="1" t="s">
        <v>255</v>
      </c>
      <c r="D34" s="6" t="s">
        <v>257</v>
      </c>
      <c r="E34" s="11">
        <f>_xlfn.XLOOKUP(Table1[[#This Row],[Serial Number]],Table13[Serial No.],Table13[End Date])</f>
        <v>45302</v>
      </c>
      <c r="F34" s="11">
        <f>_xlfn.XLOOKUP(Table1[[#This Row],[Serial Number]],Table13[Serial No.],Table13[End Date])</f>
        <v>45302</v>
      </c>
      <c r="G34" s="11">
        <f>_xlfn.XLOOKUP(Table1[[#This Row],[Serial Number]],Table13[Serial No.],Table13[Registration Date])</f>
        <v>44206</v>
      </c>
      <c r="H34" s="1"/>
      <c r="I34" s="1" t="s">
        <v>21</v>
      </c>
      <c r="J34" s="1" t="s">
        <v>287</v>
      </c>
      <c r="K34" s="1"/>
      <c r="L34" s="1"/>
      <c r="M34" s="11" t="s">
        <v>430</v>
      </c>
      <c r="N34" s="47" t="str">
        <f>RIGHT(Table1[[#This Row],[IP Address]],LEN(Table1[[#This Row],[IP Address]])-9)</f>
        <v>44</v>
      </c>
      <c r="O34" s="1"/>
      <c r="P34" s="1" t="s">
        <v>4</v>
      </c>
      <c r="Q34" s="50" t="s">
        <v>20</v>
      </c>
      <c r="R34" s="1"/>
      <c r="S34" s="1"/>
      <c r="T34" s="1" t="s">
        <v>5</v>
      </c>
      <c r="U34" t="s">
        <v>8</v>
      </c>
      <c r="V34" s="8">
        <v>44224</v>
      </c>
      <c r="W34" s="8">
        <v>44210</v>
      </c>
      <c r="X34" s="8">
        <v>44664</v>
      </c>
      <c r="Y34" s="8" t="s">
        <v>364</v>
      </c>
      <c r="Z34" s="8">
        <v>44207</v>
      </c>
      <c r="AA34" s="8">
        <v>45331</v>
      </c>
      <c r="AB34" s="8" t="s">
        <v>365</v>
      </c>
      <c r="AC34" s="8" t="s">
        <v>366</v>
      </c>
      <c r="AE34" s="18" t="str">
        <f>_xlfn.XLOOKUP(Table2[[#This Row],[Site Num]],[1]!Table57[Branch ID],[1]!Table57[DC Name],"UNKNOWN")</f>
        <v>Memphis</v>
      </c>
      <c r="AF34" s="18" t="str">
        <f>_xlfn.XLOOKUP(Table2[[#This Row],[Site Num]],[1]!Table57[Branch ID],[1]!Table57[External IP Address],"N/A")</f>
        <v>50.76.221.57</v>
      </c>
      <c r="AG34" s="18" t="str">
        <f>_xlfn.XLOOKUP(Table2[[#This Row],[Site Num]],[1]!Table57[Branch ID],[1]!Table57[Port Speed],"N/A")</f>
        <v>300x25</v>
      </c>
      <c r="AH34" s="38" t="str">
        <f>_xlfn.XLOOKUP(Table2[[#This Row],[Site Num]],[1]!Table57[Branch ID],[1]!Table57[City],"N/A")</f>
        <v>Memphis</v>
      </c>
      <c r="AI34" s="38" t="str">
        <f>_xlfn.XLOOKUP(Table2[[#This Row],[Site Num]],[1]!Table57[Branch ID],[1]!Table57[State],"N/A")</f>
        <v>TN</v>
      </c>
      <c r="AJ34" s="18" t="str">
        <f>_xlfn.XLOOKUP(Table2[[#This Row],[Site Num]],[1]!Table57[Branch ID],[1]!Table57[ZIP Code],"N/A")</f>
        <v>38116</v>
      </c>
      <c r="AK34" s="18" t="str">
        <f>_xlfn.XLOOKUP(Table2[[#This Row],[Site Num]],[1]!Table57[Branch ID],[1]!Table57[Circuit ID],"N/A")</f>
        <v>Acct# 8396522022073470</v>
      </c>
      <c r="AL34" s="18" t="str">
        <f>_xlfn.XLOOKUP(Table2[[#This Row],[Site Num]],[1]!Table57[Branch ID],[1]!Table57[ServiceType],"N/A")</f>
        <v>Cable</v>
      </c>
      <c r="AM34" s="18" t="str">
        <f>_xlfn.XLOOKUP(Table2[[#This Row],[Site Num]],[1]!Table57[Branch ID],[1]!Table57[Vendor],"N/A")</f>
        <v>Comcast</v>
      </c>
      <c r="AN34" s="38" t="str">
        <f t="shared" si="0"/>
        <v>10.185.0.130</v>
      </c>
      <c r="AO34" s="24">
        <v>130</v>
      </c>
      <c r="AP34" s="20" t="str">
        <f t="shared" si="1"/>
        <v>10.176.130.X</v>
      </c>
      <c r="AQ34" s="20" t="str">
        <f t="shared" si="2"/>
        <v>10.186.130.x</v>
      </c>
      <c r="AR34" s="20" t="str">
        <f t="shared" si="3"/>
        <v>10.184.130.1</v>
      </c>
      <c r="AS34" s="20" t="str">
        <f t="shared" si="4"/>
        <v>10.184.130.25</v>
      </c>
      <c r="AT34" s="20"/>
      <c r="AU34" s="20"/>
      <c r="AV34" s="20" t="str">
        <f t="shared" si="5"/>
        <v>10.185.x.130</v>
      </c>
      <c r="AW34" s="20" t="str">
        <f t="shared" si="7"/>
        <v>10.184.130.X</v>
      </c>
      <c r="AX34" s="21"/>
      <c r="AY34" s="21"/>
      <c r="AZ34" s="21"/>
      <c r="BA34" s="21"/>
      <c r="BB34" s="22" t="str">
        <f t="shared" si="6"/>
        <v>10.184.130.240</v>
      </c>
    </row>
    <row r="35" spans="1:54">
      <c r="A35" s="6" t="s">
        <v>470</v>
      </c>
      <c r="B35" s="1" t="s">
        <v>259</v>
      </c>
      <c r="C35" s="1" t="s">
        <v>255</v>
      </c>
      <c r="D35" s="6" t="s">
        <v>257</v>
      </c>
      <c r="E35" s="11">
        <f>_xlfn.XLOOKUP(Table1[[#This Row],[Serial Number]],Table13[Serial No.],Table13[End Date])</f>
        <v>45317</v>
      </c>
      <c r="F35" s="11">
        <f>_xlfn.XLOOKUP(Table1[[#This Row],[Serial Number]],Table13[Serial No.],Table13[End Date])</f>
        <v>45317</v>
      </c>
      <c r="G35" s="11">
        <f>_xlfn.XLOOKUP(Table1[[#This Row],[Serial Number]],Table13[Serial No.],Table13[Registration Date])</f>
        <v>44224</v>
      </c>
      <c r="H35" s="1"/>
      <c r="I35" s="1" t="s">
        <v>72</v>
      </c>
      <c r="J35" s="1" t="s">
        <v>294</v>
      </c>
      <c r="K35" s="1"/>
      <c r="L35" s="1"/>
      <c r="M35" s="11" t="str">
        <f>_xlfn.XLOOKUP(Table1[[#This Row],[IP Address]],Table2[Firewall IP],Table2[City])</f>
        <v>Pueblo</v>
      </c>
      <c r="N35" s="47" t="str">
        <f>RIGHT(Table1[[#This Row],[IP Address]],LEN(Table1[[#This Row],[IP Address]])-9)</f>
        <v>61</v>
      </c>
      <c r="O35" s="1"/>
      <c r="P35" s="1" t="s">
        <v>4</v>
      </c>
      <c r="Q35" s="50" t="s">
        <v>211</v>
      </c>
      <c r="R35" s="1"/>
      <c r="S35" s="1"/>
      <c r="T35" s="1" t="s">
        <v>5</v>
      </c>
      <c r="U35" t="s">
        <v>8</v>
      </c>
      <c r="V35" s="8">
        <v>44224</v>
      </c>
      <c r="W35" s="8">
        <v>44210</v>
      </c>
      <c r="X35" s="8">
        <v>44664</v>
      </c>
      <c r="Y35" s="8" t="s">
        <v>372</v>
      </c>
      <c r="Z35" s="8">
        <v>44223</v>
      </c>
      <c r="AA35" s="8">
        <v>45317</v>
      </c>
      <c r="AB35" s="8" t="s">
        <v>365</v>
      </c>
      <c r="AC35" s="8" t="s">
        <v>370</v>
      </c>
      <c r="AE35" s="18" t="str">
        <f>_xlfn.XLOOKUP(Table2[[#This Row],[Site Num]],[1]!Table57[Branch ID],[1]!Table57[DC Name],"UNKNOWN")</f>
        <v>Columbia</v>
      </c>
      <c r="AF35" s="18" t="str">
        <f>_xlfn.XLOOKUP(Table2[[#This Row],[Site Num]],[1]!Table57[Branch ID],[1]!Table57[External IP Address],"N/A")</f>
        <v>174.108.211.90/29</v>
      </c>
      <c r="AG35" s="18" t="str">
        <f>_xlfn.XLOOKUP(Table2[[#This Row],[Site Num]],[1]!Table57[Branch ID],[1]!Table57[Port Speed],"N/A")</f>
        <v>100 x 10</v>
      </c>
      <c r="AH35" s="38" t="str">
        <f>_xlfn.XLOOKUP(Table2[[#This Row],[Site Num]],[1]!Table57[Branch ID],[1]!Table57[City],"N/A")</f>
        <v>Columbia</v>
      </c>
      <c r="AI35" s="38" t="str">
        <f>_xlfn.XLOOKUP(Table2[[#This Row],[Site Num]],[1]!Table57[Branch ID],[1]!Table57[State],"N/A")</f>
        <v>SC</v>
      </c>
      <c r="AJ35" s="18" t="str">
        <f>_xlfn.XLOOKUP(Table2[[#This Row],[Site Num]],[1]!Table57[Branch ID],[1]!Table57[ZIP Code],"N/A")</f>
        <v>29209</v>
      </c>
      <c r="AK35" s="18" t="str">
        <f>_xlfn.XLOOKUP(Table2[[#This Row],[Site Num]],[1]!Table57[Branch ID],[1]!Table57[Circuit ID],"N/A")</f>
        <v>Acct# 093305202</v>
      </c>
      <c r="AL35" s="18" t="str">
        <f>_xlfn.XLOOKUP(Table2[[#This Row],[Site Num]],[1]!Table57[Branch ID],[1]!Table57[ServiceType],"N/A")</f>
        <v>Cable</v>
      </c>
      <c r="AM35" s="18" t="str">
        <f>_xlfn.XLOOKUP(Table2[[#This Row],[Site Num]],[1]!Table57[Branch ID],[1]!Table57[Vendor],"N/A")</f>
        <v>Charter</v>
      </c>
      <c r="AN35" s="38" t="str">
        <f t="shared" si="0"/>
        <v>10.185.0.131</v>
      </c>
      <c r="AO35" s="19">
        <v>131</v>
      </c>
      <c r="AP35" s="20" t="str">
        <f t="shared" si="1"/>
        <v>10.176.131.X</v>
      </c>
      <c r="AQ35" s="20" t="str">
        <f t="shared" si="2"/>
        <v>10.186.131.x</v>
      </c>
      <c r="AR35" s="20" t="str">
        <f t="shared" si="3"/>
        <v>10.184.131.1</v>
      </c>
      <c r="AS35" s="20" t="str">
        <f t="shared" si="4"/>
        <v>10.184.131.25</v>
      </c>
      <c r="AT35" s="20"/>
      <c r="AU35" s="20"/>
      <c r="AV35" s="20" t="str">
        <f t="shared" si="5"/>
        <v>10.185.x.131</v>
      </c>
      <c r="AW35" s="20" t="str">
        <f t="shared" si="7"/>
        <v>10.184.131.X</v>
      </c>
      <c r="AX35" s="21"/>
      <c r="AY35" s="21"/>
      <c r="AZ35" s="21"/>
      <c r="BA35" s="21"/>
      <c r="BB35" s="22" t="str">
        <f t="shared" si="6"/>
        <v>10.184.131.240</v>
      </c>
    </row>
    <row r="36" spans="1:54">
      <c r="A36" s="6" t="s">
        <v>471</v>
      </c>
      <c r="B36" s="1" t="s">
        <v>259</v>
      </c>
      <c r="C36" s="1" t="s">
        <v>255</v>
      </c>
      <c r="D36" s="6" t="s">
        <v>257</v>
      </c>
      <c r="E36" s="11">
        <f>_xlfn.XLOOKUP(Table1[[#This Row],[Serial Number]],Table13[Serial No.],Table13[End Date])</f>
        <v>45317</v>
      </c>
      <c r="F36" s="11">
        <f>_xlfn.XLOOKUP(Table1[[#This Row],[Serial Number]],Table13[Serial No.],Table13[End Date])</f>
        <v>45317</v>
      </c>
      <c r="G36" s="11">
        <f>_xlfn.XLOOKUP(Table1[[#This Row],[Serial Number]],Table13[Serial No.],Table13[Registration Date])</f>
        <v>44224</v>
      </c>
      <c r="H36" s="1"/>
      <c r="I36" s="1" t="s">
        <v>138</v>
      </c>
      <c r="J36" s="1" t="s">
        <v>304</v>
      </c>
      <c r="K36" s="1"/>
      <c r="L36" s="1"/>
      <c r="M36" s="45" t="s">
        <v>431</v>
      </c>
      <c r="N36" s="47" t="str">
        <f>RIGHT(Table1[[#This Row],[IP Address]],LEN(Table1[[#This Row],[IP Address]])-9)</f>
        <v>64</v>
      </c>
      <c r="O36" s="1"/>
      <c r="P36" s="1" t="s">
        <v>4</v>
      </c>
      <c r="Q36" s="49" t="s">
        <v>180</v>
      </c>
      <c r="R36" s="1"/>
      <c r="S36" s="1"/>
      <c r="T36" s="1" t="s">
        <v>5</v>
      </c>
      <c r="U36" t="s">
        <v>47</v>
      </c>
      <c r="V36" s="8">
        <v>44224</v>
      </c>
      <c r="W36" s="8">
        <v>44210</v>
      </c>
      <c r="X36" s="8">
        <v>44664</v>
      </c>
      <c r="Y36" s="8" t="s">
        <v>372</v>
      </c>
      <c r="Z36" s="8">
        <v>44223</v>
      </c>
      <c r="AA36" s="8">
        <v>45317</v>
      </c>
      <c r="AB36" s="8" t="s">
        <v>365</v>
      </c>
      <c r="AC36" s="8" t="s">
        <v>370</v>
      </c>
      <c r="AE36" s="27" t="str">
        <f>_xlfn.XLOOKUP(Table2[[#This Row],[Site Num]],[1]!Table57[Branch ID],[1]!Table57[DC Name],"UNKNOWN")</f>
        <v>Rocky Mount</v>
      </c>
      <c r="AF36" s="27" t="str">
        <f>_xlfn.XLOOKUP(Table2[[#This Row],[Site Num]],[1]!Table57[Branch ID],[1]!Table57[External IP Address],"N/A")</f>
        <v>205.170.168.198/30</v>
      </c>
      <c r="AG36" s="18" t="str">
        <f>_xlfn.XLOOKUP(Table2[[#This Row],[Site Num]],[1]!Table57[Branch ID],[1]!Table57[Port Speed],"N/A")</f>
        <v>10 x 10</v>
      </c>
      <c r="AH36" s="40" t="str">
        <f>_xlfn.XLOOKUP(Table2[[#This Row],[Site Num]],[1]!Table57[Branch ID],[1]!Table57[City],"N/A")</f>
        <v>Rocky Mount</v>
      </c>
      <c r="AI36" s="40" t="str">
        <f>_xlfn.XLOOKUP(Table2[[#This Row],[Site Num]],[1]!Table57[Branch ID],[1]!Table57[State],"N/A")</f>
        <v>NC</v>
      </c>
      <c r="AJ36" s="27" t="str">
        <f>_xlfn.XLOOKUP(Table2[[#This Row],[Site Num]],[1]!Table57[Branch ID],[1]!Table57[ZIP Code],"N/A")</f>
        <v>27804</v>
      </c>
      <c r="AK36" s="27" t="str">
        <f>_xlfn.XLOOKUP(Table2[[#This Row],[Site Num]],[1]!Table57[Branch ID],[1]!Table57[Circuit ID],"N/A")</f>
        <v>EDT100-23804430</v>
      </c>
      <c r="AL36" s="27" t="str">
        <f>_xlfn.XLOOKUP(Table2[[#This Row],[Site Num]],[1]!Table57[Branch ID],[1]!Table57[ServiceType],"N/A")</f>
        <v>Fiber</v>
      </c>
      <c r="AM36" s="27" t="str">
        <f>_xlfn.XLOOKUP(Table2[[#This Row],[Site Num]],[1]!Table57[Branch ID],[1]!Table57[Vendor],"N/A")</f>
        <v>CenturyLink</v>
      </c>
      <c r="AN36" s="40" t="str">
        <f t="shared" si="0"/>
        <v>10.185.0.132</v>
      </c>
      <c r="AO36" s="24">
        <v>132</v>
      </c>
      <c r="AP36" s="27" t="str">
        <f t="shared" si="1"/>
        <v>10.176.132.X</v>
      </c>
      <c r="AQ36" s="27" t="str">
        <f t="shared" si="2"/>
        <v>10.186.132.x</v>
      </c>
      <c r="AR36" s="27" t="str">
        <f t="shared" si="3"/>
        <v>10.184.132.1</v>
      </c>
      <c r="AS36" s="27" t="str">
        <f t="shared" si="4"/>
        <v>10.184.132.25</v>
      </c>
      <c r="AT36" s="27"/>
      <c r="AU36" s="27"/>
      <c r="AV36" s="27" t="str">
        <f t="shared" si="5"/>
        <v>10.185.x.132</v>
      </c>
      <c r="AW36" s="27" t="str">
        <f t="shared" si="7"/>
        <v>10.184.132.X</v>
      </c>
      <c r="AX36" s="21"/>
      <c r="AY36" s="21"/>
      <c r="AZ36" s="21"/>
      <c r="BA36" s="21"/>
      <c r="BB36" s="22" t="str">
        <f t="shared" si="6"/>
        <v>10.184.132.240</v>
      </c>
    </row>
    <row r="37" spans="1:54">
      <c r="A37" s="6" t="s">
        <v>472</v>
      </c>
      <c r="B37" s="1" t="s">
        <v>259</v>
      </c>
      <c r="C37" s="1" t="s">
        <v>255</v>
      </c>
      <c r="D37" s="6" t="s">
        <v>257</v>
      </c>
      <c r="E37" s="11">
        <f>_xlfn.XLOOKUP(Table1[[#This Row],[Serial Number]],Table13[Serial No.],Table13[End Date])</f>
        <v>45302</v>
      </c>
      <c r="F37" s="11">
        <f>_xlfn.XLOOKUP(Table1[[#This Row],[Serial Number]],Table13[Serial No.],Table13[End Date])</f>
        <v>45302</v>
      </c>
      <c r="G37" s="11">
        <f>_xlfn.XLOOKUP(Table1[[#This Row],[Serial Number]],Table13[Serial No.],Table13[Registration Date])</f>
        <v>44206</v>
      </c>
      <c r="H37" s="1"/>
      <c r="I37" s="1" t="s">
        <v>6</v>
      </c>
      <c r="J37" s="1" t="s">
        <v>301</v>
      </c>
      <c r="K37" s="1"/>
      <c r="L37" s="1"/>
      <c r="M37" s="45" t="s">
        <v>432</v>
      </c>
      <c r="N37" s="47" t="str">
        <f>RIGHT(Table1[[#This Row],[IP Address]],LEN(Table1[[#This Row],[IP Address]])-9)</f>
        <v>65</v>
      </c>
      <c r="O37" s="1"/>
      <c r="P37" s="1" t="s">
        <v>4</v>
      </c>
      <c r="Q37" s="49" t="s">
        <v>226</v>
      </c>
      <c r="R37" s="1"/>
      <c r="S37" s="1"/>
      <c r="T37" s="1" t="s">
        <v>5</v>
      </c>
      <c r="U37" t="s">
        <v>6</v>
      </c>
      <c r="V37" s="8">
        <v>44206</v>
      </c>
      <c r="W37" s="8">
        <v>44200</v>
      </c>
      <c r="X37" s="8">
        <v>44654</v>
      </c>
      <c r="Y37" s="8" t="s">
        <v>369</v>
      </c>
      <c r="Z37" s="8">
        <v>44208</v>
      </c>
      <c r="AA37" s="8">
        <v>45302</v>
      </c>
      <c r="AB37" s="8" t="s">
        <v>365</v>
      </c>
      <c r="AC37" s="8" t="s">
        <v>370</v>
      </c>
      <c r="AE37" s="18" t="str">
        <f>_xlfn.XLOOKUP(Table2[[#This Row],[Site Num]],[1]!Table57[Branch ID],[1]!Table57[DC Name],"UNKNOWN")</f>
        <v>Mobile</v>
      </c>
      <c r="AF37" s="18" t="str">
        <f>_xlfn.XLOOKUP(Table2[[#This Row],[Site Num]],[1]!Table57[Branch ID],[1]!Table57[External IP Address],"N/A")</f>
        <v>4.1.35.138</v>
      </c>
      <c r="AG37" s="18" t="str">
        <f>_xlfn.XLOOKUP(Table2[[#This Row],[Site Num]],[1]!Table57[Branch ID],[1]!Table57[Port Speed],"N/A")</f>
        <v>10x10</v>
      </c>
      <c r="AH37" s="38" t="str">
        <f>_xlfn.XLOOKUP(Table2[[#This Row],[Site Num]],[1]!Table57[Branch ID],[1]!Table57[City],"N/A")</f>
        <v>Bay Minette</v>
      </c>
      <c r="AI37" s="38" t="str">
        <f>_xlfn.XLOOKUP(Table2[[#This Row],[Site Num]],[1]!Table57[Branch ID],[1]!Table57[State],"N/A")</f>
        <v>AL</v>
      </c>
      <c r="AJ37" s="18">
        <f>_xlfn.XLOOKUP(Table2[[#This Row],[Site Num]],[1]!Table57[Branch ID],[1]!Table57[ZIP Code],"N/A")</f>
        <v>36507</v>
      </c>
      <c r="AK37" s="18">
        <f>_xlfn.XLOOKUP(Table2[[#This Row],[Site Num]],[1]!Table57[Branch ID],[1]!Table57[Circuit ID],"N/A")</f>
        <v>0</v>
      </c>
      <c r="AL37" s="18" t="str">
        <f>_xlfn.XLOOKUP(Table2[[#This Row],[Site Num]],[1]!Table57[Branch ID],[1]!Table57[ServiceType],"N/A")</f>
        <v>Fiber</v>
      </c>
      <c r="AM37" s="18" t="str">
        <f>_xlfn.XLOOKUP(Table2[[#This Row],[Site Num]],[1]!Table57[Branch ID],[1]!Table57[Vendor],"N/A")</f>
        <v>CenturyLink</v>
      </c>
      <c r="AN37" s="38" t="str">
        <f t="shared" si="0"/>
        <v>10.185.0.133</v>
      </c>
      <c r="AO37" s="23">
        <v>133</v>
      </c>
      <c r="AP37" s="20" t="str">
        <f t="shared" si="1"/>
        <v>10.176.133.X</v>
      </c>
      <c r="AQ37" s="20" t="str">
        <f t="shared" si="2"/>
        <v>10.186.133.x</v>
      </c>
      <c r="AR37" s="20" t="str">
        <f t="shared" si="3"/>
        <v>10.184.133.1</v>
      </c>
      <c r="AS37" s="20" t="str">
        <f t="shared" si="4"/>
        <v>10.184.133.25</v>
      </c>
      <c r="AT37" s="20"/>
      <c r="AU37" s="20"/>
      <c r="AV37" s="20" t="str">
        <f t="shared" si="5"/>
        <v>10.185.x.133</v>
      </c>
      <c r="AW37" s="20" t="str">
        <f t="shared" si="7"/>
        <v>10.184.133.X</v>
      </c>
      <c r="AX37" s="21"/>
      <c r="AY37" s="21"/>
      <c r="AZ37" s="21"/>
      <c r="BA37" s="21"/>
      <c r="BB37" s="22" t="str">
        <f t="shared" si="6"/>
        <v>10.184.133.240</v>
      </c>
    </row>
    <row r="38" spans="1:54">
      <c r="A38" s="6" t="s">
        <v>473</v>
      </c>
      <c r="B38" s="1" t="s">
        <v>259</v>
      </c>
      <c r="C38" s="1" t="s">
        <v>255</v>
      </c>
      <c r="D38" s="6" t="s">
        <v>257</v>
      </c>
      <c r="E38" s="11">
        <f>_xlfn.XLOOKUP(Table1[[#This Row],[Serial Number]],Table13[Serial No.],Table13[End Date])</f>
        <v>44191</v>
      </c>
      <c r="F38" s="11">
        <f>_xlfn.XLOOKUP(Table1[[#This Row],[Serial Number]],Table13[Serial No.],Table13[End Date])</f>
        <v>44191</v>
      </c>
      <c r="G38" s="11">
        <f>_xlfn.XLOOKUP(Table1[[#This Row],[Serial Number]],Table13[Serial No.],Table13[Registration Date])</f>
        <v>43433</v>
      </c>
      <c r="H38" s="1"/>
      <c r="I38" s="1" t="s">
        <v>34</v>
      </c>
      <c r="J38" s="1" t="s">
        <v>309</v>
      </c>
      <c r="K38" s="1"/>
      <c r="L38" s="1"/>
      <c r="M38" s="11" t="str">
        <f>_xlfn.XLOOKUP(Table1[[#This Row],[IP Address]],Table2[Firewall IP],Table2[City])</f>
        <v>Cleveland</v>
      </c>
      <c r="N38" s="47" t="str">
        <f>RIGHT(Table1[[#This Row],[IP Address]],LEN(Table1[[#This Row],[IP Address]])-9)</f>
        <v>71</v>
      </c>
      <c r="O38" s="1"/>
      <c r="P38" s="1" t="s">
        <v>4</v>
      </c>
      <c r="Q38" s="50" t="s">
        <v>171</v>
      </c>
      <c r="R38" s="1"/>
      <c r="S38" s="1"/>
      <c r="T38" s="1" t="s">
        <v>5</v>
      </c>
      <c r="U38" t="s">
        <v>127</v>
      </c>
      <c r="V38" s="8">
        <v>44224</v>
      </c>
      <c r="W38" s="8">
        <v>44210</v>
      </c>
      <c r="X38" s="8">
        <v>44664</v>
      </c>
      <c r="Y38" s="8" t="s">
        <v>372</v>
      </c>
      <c r="Z38" s="8">
        <v>44223</v>
      </c>
      <c r="AA38" s="8">
        <v>45317</v>
      </c>
      <c r="AB38" s="8" t="s">
        <v>365</v>
      </c>
      <c r="AC38" s="8" t="s">
        <v>370</v>
      </c>
      <c r="AE38" s="18" t="str">
        <f>_xlfn.XLOOKUP(Table2[[#This Row],[Site Num]],[1]!Table57[Branch ID],[1]!Table57[DC Name],"UNKNOWN")</f>
        <v>Beaver Dam</v>
      </c>
      <c r="AF38" s="18" t="str">
        <f>_xlfn.XLOOKUP(Table2[[#This Row],[Site Num]],[1]!Table57[Branch ID],[1]!Table57[External IP Address],"N/A")</f>
        <v>24.196.111.122</v>
      </c>
      <c r="AG38" s="18" t="str">
        <f>_xlfn.XLOOKUP(Table2[[#This Row],[Site Num]],[1]!Table57[Branch ID],[1]!Table57[Port Speed],"N/A")</f>
        <v>100 x 5</v>
      </c>
      <c r="AH38" s="38" t="str">
        <f>_xlfn.XLOOKUP(Table2[[#This Row],[Site Num]],[1]!Table57[Branch ID],[1]!Table57[City],"N/A")</f>
        <v>Beaver Dam</v>
      </c>
      <c r="AI38" s="38" t="str">
        <f>_xlfn.XLOOKUP(Table2[[#This Row],[Site Num]],[1]!Table57[Branch ID],[1]!Table57[State],"N/A")</f>
        <v>WI</v>
      </c>
      <c r="AJ38" s="18" t="str">
        <f>_xlfn.XLOOKUP(Table2[[#This Row],[Site Num]],[1]!Table57[Branch ID],[1]!Table57[ZIP Code],"N/A")</f>
        <v>53916</v>
      </c>
      <c r="AK38" s="18" t="str">
        <f>_xlfn.XLOOKUP(Table2[[#This Row],[Site Num]],[1]!Table57[Branch ID],[1]!Table57[Circuit ID],"N/A")</f>
        <v>Acct# 8245110950192646 / 8245 11 795 0038315 (billing)</v>
      </c>
      <c r="AL38" s="18" t="str">
        <f>_xlfn.XLOOKUP(Table2[[#This Row],[Site Num]],[1]!Table57[Branch ID],[1]!Table57[ServiceType],"N/A")</f>
        <v>Cable</v>
      </c>
      <c r="AM38" s="18" t="str">
        <f>_xlfn.XLOOKUP(Table2[[#This Row],[Site Num]],[1]!Table57[Branch ID],[1]!Table57[Vendor],"N/A")</f>
        <v>Charter</v>
      </c>
      <c r="AN38" s="38" t="str">
        <f t="shared" si="0"/>
        <v>10.185.0.135</v>
      </c>
      <c r="AO38" s="19">
        <v>135</v>
      </c>
      <c r="AP38" s="20" t="str">
        <f t="shared" si="1"/>
        <v>10.176.135.X</v>
      </c>
      <c r="AQ38" s="20" t="str">
        <f t="shared" si="2"/>
        <v>10.186.135.x</v>
      </c>
      <c r="AR38" s="20" t="str">
        <f t="shared" si="3"/>
        <v>10.184.135.1</v>
      </c>
      <c r="AS38" s="20" t="str">
        <f t="shared" si="4"/>
        <v>10.184.135.25</v>
      </c>
      <c r="AT38" s="20"/>
      <c r="AU38" s="20"/>
      <c r="AV38" s="20" t="str">
        <f t="shared" si="5"/>
        <v>10.185.x.135</v>
      </c>
      <c r="AW38" s="20" t="str">
        <f t="shared" si="7"/>
        <v>10.184.135.X</v>
      </c>
      <c r="AX38" s="21"/>
      <c r="AY38" s="21"/>
      <c r="AZ38" s="21"/>
      <c r="BA38" s="21"/>
      <c r="BB38" s="22" t="str">
        <f t="shared" si="6"/>
        <v>10.184.135.240</v>
      </c>
    </row>
    <row r="39" spans="1:54">
      <c r="A39" s="6" t="s">
        <v>474</v>
      </c>
      <c r="B39" s="1" t="s">
        <v>259</v>
      </c>
      <c r="C39" s="1" t="s">
        <v>255</v>
      </c>
      <c r="D39" s="6" t="s">
        <v>257</v>
      </c>
      <c r="E39" s="11">
        <f>_xlfn.XLOOKUP(Table1[[#This Row],[Serial Number]],Table13[Serial No.],Table13[End Date])</f>
        <v>44191</v>
      </c>
      <c r="F39" s="11">
        <f>_xlfn.XLOOKUP(Table1[[#This Row],[Serial Number]],Table13[Serial No.],Table13[End Date])</f>
        <v>44191</v>
      </c>
      <c r="G39" s="11">
        <f>_xlfn.XLOOKUP(Table1[[#This Row],[Serial Number]],Table13[Serial No.],Table13[Registration Date])</f>
        <v>43433</v>
      </c>
      <c r="H39" s="1"/>
      <c r="I39" s="1" t="s">
        <v>132</v>
      </c>
      <c r="J39" s="1" t="s">
        <v>308</v>
      </c>
      <c r="K39" s="1"/>
      <c r="L39" s="1"/>
      <c r="M39" s="11" t="str">
        <f>_xlfn.XLOOKUP(Table1[[#This Row],[IP Address]],Table2[Firewall IP],Table2[City])</f>
        <v>St Louis</v>
      </c>
      <c r="N39" s="47" t="str">
        <f>RIGHT(Table1[[#This Row],[IP Address]],LEN(Table1[[#This Row],[IP Address]])-9)</f>
        <v>72</v>
      </c>
      <c r="O39" s="1"/>
      <c r="P39" s="1" t="s">
        <v>4</v>
      </c>
      <c r="Q39" s="50" t="s">
        <v>227</v>
      </c>
      <c r="R39" s="1"/>
      <c r="S39" s="1"/>
      <c r="T39" s="1" t="s">
        <v>5</v>
      </c>
      <c r="U39" t="s">
        <v>30</v>
      </c>
      <c r="V39" s="8">
        <v>44224</v>
      </c>
      <c r="W39" s="8">
        <v>44210</v>
      </c>
      <c r="X39" s="8">
        <v>44664</v>
      </c>
      <c r="Y39" s="8" t="s">
        <v>372</v>
      </c>
      <c r="Z39" s="8">
        <v>44223</v>
      </c>
      <c r="AA39" s="8">
        <v>45317</v>
      </c>
      <c r="AB39" s="8" t="s">
        <v>365</v>
      </c>
      <c r="AC39" s="8" t="s">
        <v>370</v>
      </c>
      <c r="AE39" s="18" t="str">
        <f>_xlfn.XLOOKUP(Table2[[#This Row],[Site Num]],[1]!Table57[Branch ID],[1]!Table57[DC Name],"UNKNOWN")</f>
        <v>Oklahoma City</v>
      </c>
      <c r="AF39" s="18" t="str">
        <f>_xlfn.XLOOKUP(Table2[[#This Row],[Site Num]],[1]!Table57[Branch ID],[1]!Table57[External IP Address],"N/A")</f>
        <v>98.174.165.25</v>
      </c>
      <c r="AG39" s="18" t="str">
        <f>_xlfn.XLOOKUP(Table2[[#This Row],[Site Num]],[1]!Table57[Branch ID],[1]!Table57[Port Speed],"N/A")</f>
        <v>50 x 10</v>
      </c>
      <c r="AH39" s="38" t="str">
        <f>_xlfn.XLOOKUP(Table2[[#This Row],[Site Num]],[1]!Table57[Branch ID],[1]!Table57[City],"N/A")</f>
        <v>Oklahoma City</v>
      </c>
      <c r="AI39" s="38" t="str">
        <f>_xlfn.XLOOKUP(Table2[[#This Row],[Site Num]],[1]!Table57[Branch ID],[1]!Table57[State],"N/A")</f>
        <v>OK</v>
      </c>
      <c r="AJ39" s="18" t="str">
        <f>_xlfn.XLOOKUP(Table2[[#This Row],[Site Num]],[1]!Table57[Branch ID],[1]!Table57[ZIP Code],"N/A")</f>
        <v>73108</v>
      </c>
      <c r="AK39" s="18" t="str">
        <f>_xlfn.XLOOKUP(Table2[[#This Row],[Site Num]],[1]!Table57[Branch ID],[1]!Table57[Circuit ID],"N/A")</f>
        <v>Acct# 001 6110 073598301</v>
      </c>
      <c r="AL39" s="18" t="str">
        <f>_xlfn.XLOOKUP(Table2[[#This Row],[Site Num]],[1]!Table57[Branch ID],[1]!Table57[ServiceType],"N/A")</f>
        <v>Cable</v>
      </c>
      <c r="AM39" s="18" t="str">
        <f>_xlfn.XLOOKUP(Table2[[#This Row],[Site Num]],[1]!Table57[Branch ID],[1]!Table57[Vendor],"N/A")</f>
        <v>Cox Business</v>
      </c>
      <c r="AN39" s="38" t="str">
        <f t="shared" si="0"/>
        <v>10.185.0.144</v>
      </c>
      <c r="AO39" s="19">
        <v>144</v>
      </c>
      <c r="AP39" s="20" t="str">
        <f t="shared" si="1"/>
        <v>10.176.144.X</v>
      </c>
      <c r="AQ39" s="20" t="str">
        <f t="shared" si="2"/>
        <v>10.186.144.x</v>
      </c>
      <c r="AR39" s="20" t="str">
        <f t="shared" si="3"/>
        <v>10.184.144.1</v>
      </c>
      <c r="AS39" s="20" t="str">
        <f t="shared" si="4"/>
        <v>10.184.144.25</v>
      </c>
      <c r="AT39" s="20"/>
      <c r="AU39" s="20"/>
      <c r="AV39" s="20" t="str">
        <f t="shared" si="5"/>
        <v>10.185.x.144</v>
      </c>
      <c r="AW39" s="20" t="str">
        <f t="shared" si="7"/>
        <v>10.184.144.X</v>
      </c>
      <c r="AX39" s="21"/>
      <c r="AY39" s="21"/>
      <c r="AZ39" s="21"/>
      <c r="BA39" s="21"/>
      <c r="BB39" s="22" t="str">
        <f t="shared" si="6"/>
        <v>10.184.144.240</v>
      </c>
    </row>
    <row r="40" spans="1:54">
      <c r="A40" s="6" t="s">
        <v>475</v>
      </c>
      <c r="B40" s="1" t="s">
        <v>259</v>
      </c>
      <c r="C40" s="1" t="s">
        <v>255</v>
      </c>
      <c r="D40" s="6" t="s">
        <v>257</v>
      </c>
      <c r="E40" s="11">
        <f>_xlfn.XLOOKUP(Table1[[#This Row],[Serial Number]],Table13[Serial No.],Table13[End Date])</f>
        <v>44923</v>
      </c>
      <c r="F40" s="11">
        <f>_xlfn.XLOOKUP(Table1[[#This Row],[Serial Number]],Table13[Serial No.],Table13[End Date])</f>
        <v>44923</v>
      </c>
      <c r="G40" s="11">
        <f>_xlfn.XLOOKUP(Table1[[#This Row],[Serial Number]],Table13[Serial No.],Table13[Registration Date])</f>
        <v>43803</v>
      </c>
      <c r="H40" s="1"/>
      <c r="I40" s="1" t="s">
        <v>55</v>
      </c>
      <c r="J40" s="1" t="s">
        <v>314</v>
      </c>
      <c r="K40" s="1"/>
      <c r="L40" s="1"/>
      <c r="M40" s="11" t="str">
        <f>_xlfn.XLOOKUP(Table1[[#This Row],[IP Address]],Table2[Firewall IP],Table2[City])</f>
        <v>Rogers</v>
      </c>
      <c r="N40" s="47" t="str">
        <f>RIGHT(Table1[[#This Row],[IP Address]],LEN(Table1[[#This Row],[IP Address]])-9)</f>
        <v>91</v>
      </c>
      <c r="O40" s="1"/>
      <c r="P40" s="1" t="s">
        <v>4</v>
      </c>
      <c r="Q40" s="49" t="s">
        <v>218</v>
      </c>
      <c r="R40" s="1"/>
      <c r="S40" s="1"/>
      <c r="T40" s="1" t="s">
        <v>5</v>
      </c>
      <c r="U40" t="s">
        <v>30</v>
      </c>
      <c r="V40" s="8">
        <v>44224</v>
      </c>
      <c r="W40" s="8">
        <v>44210</v>
      </c>
      <c r="X40" s="8">
        <v>44664</v>
      </c>
      <c r="Y40" s="8" t="s">
        <v>373</v>
      </c>
      <c r="Z40" s="8">
        <v>44369</v>
      </c>
      <c r="AA40" s="8">
        <v>44763</v>
      </c>
      <c r="AB40" s="8" t="s">
        <v>365</v>
      </c>
      <c r="AC40" s="8" t="s">
        <v>374</v>
      </c>
      <c r="AE40" s="18" t="str">
        <f>_xlfn.XLOOKUP(Table2[[#This Row],[Site Num]],[1]!Table57[Branch ID],[1]!Table57[DC Name],"UNKNOWN")</f>
        <v>Baltimore</v>
      </c>
      <c r="AF40" s="18" t="str">
        <f>_xlfn.XLOOKUP(Table2[[#This Row],[Site Num]],[1]!Table57[Branch ID],[1]!Table57[External IP Address],"N/A")</f>
        <v>96.95.26.149</v>
      </c>
      <c r="AG40" s="18" t="str">
        <f>_xlfn.XLOOKUP(Table2[[#This Row],[Site Num]],[1]!Table57[Branch ID],[1]!Table57[Port Speed],"N/A")</f>
        <v>75x15</v>
      </c>
      <c r="AH40" s="38" t="str">
        <f>_xlfn.XLOOKUP(Table2[[#This Row],[Site Num]],[1]!Table57[Branch ID],[1]!Table57[City],"N/A")</f>
        <v>Belcamp</v>
      </c>
      <c r="AI40" s="38" t="str">
        <f>_xlfn.XLOOKUP(Table2[[#This Row],[Site Num]],[1]!Table57[Branch ID],[1]!Table57[State],"N/A")</f>
        <v>MD</v>
      </c>
      <c r="AJ40" s="18" t="str">
        <f>_xlfn.XLOOKUP(Table2[[#This Row],[Site Num]],[1]!Table57[Branch ID],[1]!Table57[ZIP Code],"N/A")</f>
        <v>21017</v>
      </c>
      <c r="AK40" s="18" t="str">
        <f>_xlfn.XLOOKUP(Table2[[#This Row],[Site Num]],[1]!Table57[Branch ID],[1]!Table57[Circuit ID],"N/A")</f>
        <v>Acct# 8299400291118078</v>
      </c>
      <c r="AL40" s="18" t="str">
        <f>_xlfn.XLOOKUP(Table2[[#This Row],[Site Num]],[1]!Table57[Branch ID],[1]!Table57[ServiceType],"N/A")</f>
        <v>Cable</v>
      </c>
      <c r="AM40" s="18" t="str">
        <f>_xlfn.XLOOKUP(Table2[[#This Row],[Site Num]],[1]!Table57[Branch ID],[1]!Table57[Vendor],"N/A")</f>
        <v>ComCast</v>
      </c>
      <c r="AN40" s="38" t="str">
        <f t="shared" si="0"/>
        <v>10.185.0.167</v>
      </c>
      <c r="AO40" s="28">
        <v>167</v>
      </c>
      <c r="AP40" s="20" t="str">
        <f t="shared" si="1"/>
        <v>10.176.167.X</v>
      </c>
      <c r="AQ40" s="20" t="str">
        <f t="shared" si="2"/>
        <v>10.186.167.x</v>
      </c>
      <c r="AR40" s="20" t="str">
        <f t="shared" si="3"/>
        <v>10.184.167.1</v>
      </c>
      <c r="AS40" s="20" t="str">
        <f t="shared" si="4"/>
        <v>10.184.167.25</v>
      </c>
      <c r="AT40" s="20"/>
      <c r="AU40" s="20"/>
      <c r="AV40" s="20" t="str">
        <f t="shared" si="5"/>
        <v>10.185.x.167</v>
      </c>
      <c r="AW40" s="20" t="str">
        <f t="shared" si="7"/>
        <v>10.184.167.X</v>
      </c>
      <c r="AX40" s="21"/>
      <c r="AY40" s="21"/>
      <c r="AZ40" s="21"/>
      <c r="BA40" s="21"/>
      <c r="BB40" s="22" t="str">
        <f t="shared" si="6"/>
        <v>10.184.167.240</v>
      </c>
    </row>
    <row r="41" spans="1:54">
      <c r="A41" s="6" t="s">
        <v>476</v>
      </c>
      <c r="B41" s="1" t="s">
        <v>259</v>
      </c>
      <c r="C41" s="1" t="s">
        <v>255</v>
      </c>
      <c r="D41" s="6" t="s">
        <v>257</v>
      </c>
      <c r="E41" s="11">
        <f>_xlfn.XLOOKUP(Table1[[#This Row],[Serial Number]],Table13[Serial No.],Table13[End Date])</f>
        <v>45331</v>
      </c>
      <c r="F41" s="11">
        <f>_xlfn.XLOOKUP(Table1[[#This Row],[Serial Number]],Table13[Serial No.],Table13[End Date])</f>
        <v>45331</v>
      </c>
      <c r="G41" s="11">
        <f>_xlfn.XLOOKUP(Table1[[#This Row],[Serial Number]],Table13[Serial No.],Table13[Registration Date])</f>
        <v>44349</v>
      </c>
      <c r="H41" s="1"/>
      <c r="I41" s="1" t="s">
        <v>41</v>
      </c>
      <c r="J41" s="1" t="s">
        <v>305</v>
      </c>
      <c r="K41" s="1"/>
      <c r="L41" s="1"/>
      <c r="M41" s="11" t="str">
        <f>_xlfn.XLOOKUP(Table1[[#This Row],[IP Address]],Table2[Firewall IP],Table2[City])</f>
        <v>Fargo</v>
      </c>
      <c r="N41" s="47" t="str">
        <f>RIGHT(Table1[[#This Row],[IP Address]],LEN(Table1[[#This Row],[IP Address]])-9)</f>
        <v>92</v>
      </c>
      <c r="O41" s="1"/>
      <c r="P41" s="1" t="s">
        <v>4</v>
      </c>
      <c r="Q41" s="50" t="s">
        <v>181</v>
      </c>
      <c r="R41" s="1"/>
      <c r="S41" s="1"/>
      <c r="T41" s="1" t="s">
        <v>241</v>
      </c>
      <c r="U41" t="s">
        <v>138</v>
      </c>
      <c r="V41" s="8">
        <v>44224</v>
      </c>
      <c r="W41" s="8">
        <v>44210</v>
      </c>
      <c r="X41" s="8">
        <v>44664</v>
      </c>
      <c r="Y41" s="8" t="s">
        <v>372</v>
      </c>
      <c r="Z41" s="8">
        <v>44223</v>
      </c>
      <c r="AA41" s="8">
        <v>45317</v>
      </c>
      <c r="AB41" s="8" t="s">
        <v>365</v>
      </c>
      <c r="AC41" s="8" t="s">
        <v>370</v>
      </c>
      <c r="AE41" s="18" t="str">
        <f>_xlfn.XLOOKUP(Table2[[#This Row],[Site Num]],[1]!Table57[Branch ID],[1]!Table57[DC Name],"UNKNOWN")</f>
        <v>Harrisburg</v>
      </c>
      <c r="AF41" s="18" t="str">
        <f>_xlfn.XLOOKUP(Table2[[#This Row],[Site Num]],[1]!Table57[Branch ID],[1]!Table57[External IP Address],"N/A")</f>
        <v>50.77.107.113</v>
      </c>
      <c r="AG41" s="18" t="str">
        <f>_xlfn.XLOOKUP(Table2[[#This Row],[Site Num]],[1]!Table57[Branch ID],[1]!Table57[Port Speed],"N/A")</f>
        <v>75x15</v>
      </c>
      <c r="AH41" s="38" t="str">
        <f>_xlfn.XLOOKUP(Table2[[#This Row],[Site Num]],[1]!Table57[Branch ID],[1]!Table57[City],"N/A")</f>
        <v>Lebanon</v>
      </c>
      <c r="AI41" s="38" t="str">
        <f>_xlfn.XLOOKUP(Table2[[#This Row],[Site Num]],[1]!Table57[Branch ID],[1]!Table57[State],"N/A")</f>
        <v>PA</v>
      </c>
      <c r="AJ41" s="18" t="str">
        <f>_xlfn.XLOOKUP(Table2[[#This Row],[Site Num]],[1]!Table57[Branch ID],[1]!Table57[ZIP Code],"N/A")</f>
        <v>17046</v>
      </c>
      <c r="AK41" s="18" t="str">
        <f>_xlfn.XLOOKUP(Table2[[#This Row],[Site Num]],[1]!Table57[Branch ID],[1]!Table57[Circuit ID],"N/A")</f>
        <v>Acct# 8993112420547445</v>
      </c>
      <c r="AL41" s="18" t="str">
        <f>_xlfn.XLOOKUP(Table2[[#This Row],[Site Num]],[1]!Table57[Branch ID],[1]!Table57[ServiceType],"N/A")</f>
        <v>Cable</v>
      </c>
      <c r="AM41" s="18" t="str">
        <f>_xlfn.XLOOKUP(Table2[[#This Row],[Site Num]],[1]!Table57[Branch ID],[1]!Table57[Vendor],"N/A")</f>
        <v>Comcast</v>
      </c>
      <c r="AN41" s="38" t="str">
        <f t="shared" si="0"/>
        <v>10.185.0.168</v>
      </c>
      <c r="AO41" s="23">
        <v>168</v>
      </c>
      <c r="AP41" s="20" t="str">
        <f t="shared" si="1"/>
        <v>10.176.168.X</v>
      </c>
      <c r="AQ41" s="20" t="str">
        <f t="shared" si="2"/>
        <v>10.186.168.x</v>
      </c>
      <c r="AR41" s="20" t="str">
        <f t="shared" si="3"/>
        <v>10.184.168.1</v>
      </c>
      <c r="AS41" s="20" t="str">
        <f t="shared" si="4"/>
        <v>10.184.168.25</v>
      </c>
      <c r="AT41" s="20"/>
      <c r="AU41" s="20"/>
      <c r="AV41" s="20" t="str">
        <f t="shared" si="5"/>
        <v>10.185.x.168</v>
      </c>
      <c r="AW41" s="20" t="str">
        <f t="shared" si="7"/>
        <v>10.184.168.X</v>
      </c>
      <c r="AX41" s="21"/>
      <c r="AY41" s="21"/>
      <c r="AZ41" s="21"/>
      <c r="BA41" s="21"/>
      <c r="BB41" s="22" t="str">
        <f t="shared" si="6"/>
        <v>10.184.168.240</v>
      </c>
    </row>
    <row r="42" spans="1:54">
      <c r="A42" s="6" t="s">
        <v>477</v>
      </c>
      <c r="B42" s="1" t="s">
        <v>259</v>
      </c>
      <c r="C42" s="1" t="s">
        <v>255</v>
      </c>
      <c r="D42" s="6" t="s">
        <v>257</v>
      </c>
      <c r="E42" s="11">
        <f>_xlfn.XLOOKUP(Table1[[#This Row],[Serial Number]],Table13[Serial No.],Table13[End Date])</f>
        <v>45331</v>
      </c>
      <c r="F42" s="11">
        <f>_xlfn.XLOOKUP(Table1[[#This Row],[Serial Number]],Table13[Serial No.],Table13[End Date])</f>
        <v>45331</v>
      </c>
      <c r="G42" s="11">
        <f>_xlfn.XLOOKUP(Table1[[#This Row],[Serial Number]],Table13[Serial No.],Table13[Registration Date])</f>
        <v>44206</v>
      </c>
      <c r="H42" s="1"/>
      <c r="I42" s="1" t="s">
        <v>45</v>
      </c>
      <c r="J42" s="1" t="s">
        <v>290</v>
      </c>
      <c r="K42" s="1"/>
      <c r="L42" s="1"/>
      <c r="M42" s="11" t="str">
        <f>_xlfn.XLOOKUP(Table1[[#This Row],[IP Address]],Table2[Firewall IP],Table2[City])</f>
        <v>Lacrosse</v>
      </c>
      <c r="N42" s="47" t="str">
        <f>RIGHT(Table1[[#This Row],[IP Address]],LEN(Table1[[#This Row],[IP Address]])-9)</f>
        <v>93</v>
      </c>
      <c r="O42" s="1"/>
      <c r="P42" s="1" t="s">
        <v>4</v>
      </c>
      <c r="Q42" s="50" t="s">
        <v>193</v>
      </c>
      <c r="R42" s="1"/>
      <c r="S42" s="1"/>
      <c r="T42" s="1" t="s">
        <v>5</v>
      </c>
      <c r="U42" t="s">
        <v>41</v>
      </c>
      <c r="V42" s="8">
        <v>44349</v>
      </c>
      <c r="W42" s="8">
        <v>44313</v>
      </c>
      <c r="X42" s="8">
        <v>44767</v>
      </c>
      <c r="Y42" s="8" t="s">
        <v>364</v>
      </c>
      <c r="Z42" s="8">
        <v>44207</v>
      </c>
      <c r="AA42" s="8">
        <v>45331</v>
      </c>
      <c r="AB42" s="8" t="s">
        <v>365</v>
      </c>
      <c r="AC42" s="8" t="s">
        <v>366</v>
      </c>
      <c r="AE42" s="21" t="str">
        <f>_xlfn.XLOOKUP(Table2[[#This Row],[Site Num]],[1]!Table57[Branch ID],[1]!Table57[DC Name],"UNKNOWN")</f>
        <v>UNKNOWN</v>
      </c>
      <c r="AF42" s="21" t="str">
        <f>_xlfn.XLOOKUP(Table2[[#This Row],[Site Num]],[1]!Table57[Branch ID],[1]!Table57[External IP Address],"N/A")</f>
        <v>N/A</v>
      </c>
      <c r="AG42" s="18" t="str">
        <f>_xlfn.XLOOKUP(Table2[[#This Row],[Site Num]],[1]!Table57[Branch ID],[1]!Table57[Port Speed],"N/A")</f>
        <v>N/A</v>
      </c>
      <c r="AH42" s="39" t="str">
        <f>_xlfn.XLOOKUP(Table2[[#This Row],[Site Num]],[1]!Table57[Branch ID],[1]!Table57[City],"N/A")</f>
        <v>N/A</v>
      </c>
      <c r="AI42" s="39" t="str">
        <f>_xlfn.XLOOKUP(Table2[[#This Row],[Site Num]],[1]!Table57[Branch ID],[1]!Table57[State],"N/A")</f>
        <v>N/A</v>
      </c>
      <c r="AJ42" s="21" t="str">
        <f>_xlfn.XLOOKUP(Table2[[#This Row],[Site Num]],[1]!Table57[Branch ID],[1]!Table57[ZIP Code],"N/A")</f>
        <v>N/A</v>
      </c>
      <c r="AK42" s="21" t="str">
        <f>_xlfn.XLOOKUP(Table2[[#This Row],[Site Num]],[1]!Table57[Branch ID],[1]!Table57[Circuit ID],"N/A")</f>
        <v>N/A</v>
      </c>
      <c r="AL42" s="21" t="str">
        <f>_xlfn.XLOOKUP(Table2[[#This Row],[Site Num]],[1]!Table57[Branch ID],[1]!Table57[ServiceType],"N/A")</f>
        <v>N/A</v>
      </c>
      <c r="AM42" s="21" t="str">
        <f>_xlfn.XLOOKUP(Table2[[#This Row],[Site Num]],[1]!Table57[Branch ID],[1]!Table57[Vendor],"N/A")</f>
        <v>N/A</v>
      </c>
      <c r="AN42" s="39" t="str">
        <f t="shared" si="0"/>
        <v>10.185.0.180</v>
      </c>
      <c r="AO42" s="25">
        <v>180</v>
      </c>
      <c r="AP42" s="21" t="str">
        <f t="shared" si="1"/>
        <v>10.176.180.X</v>
      </c>
      <c r="AQ42" s="21" t="str">
        <f t="shared" si="2"/>
        <v>10.186.180.x</v>
      </c>
      <c r="AR42" s="21" t="str">
        <f t="shared" si="3"/>
        <v>10.184.180.1</v>
      </c>
      <c r="AS42" s="21" t="str">
        <f t="shared" si="4"/>
        <v>10.184.180.25</v>
      </c>
      <c r="AT42" s="21"/>
      <c r="AU42" s="21"/>
      <c r="AV42" s="21" t="str">
        <f t="shared" si="5"/>
        <v>10.185.x.180</v>
      </c>
      <c r="AW42" s="21" t="str">
        <f t="shared" si="7"/>
        <v>10.184.180.X</v>
      </c>
      <c r="AX42" s="21"/>
      <c r="AY42" s="21"/>
      <c r="AZ42" s="21"/>
      <c r="BA42" s="21"/>
      <c r="BB42" s="26" t="str">
        <f t="shared" si="6"/>
        <v>10.184.180.240</v>
      </c>
    </row>
    <row r="43" spans="1:54">
      <c r="A43" s="6" t="s">
        <v>478</v>
      </c>
      <c r="B43" s="1" t="s">
        <v>259</v>
      </c>
      <c r="C43" s="1" t="s">
        <v>255</v>
      </c>
      <c r="D43" s="6" t="s">
        <v>257</v>
      </c>
      <c r="E43" s="11">
        <f>_xlfn.XLOOKUP(Table1[[#This Row],[Serial Number]],Table13[Serial No.],Table13[End Date])</f>
        <v>45302</v>
      </c>
      <c r="F43" s="11">
        <f>_xlfn.XLOOKUP(Table1[[#This Row],[Serial Number]],Table13[Serial No.],Table13[End Date])</f>
        <v>45302</v>
      </c>
      <c r="G43" s="11">
        <f>_xlfn.XLOOKUP(Table1[[#This Row],[Serial Number]],Table13[Serial No.],Table13[Registration Date])</f>
        <v>44206</v>
      </c>
      <c r="H43" s="1"/>
      <c r="I43" s="1" t="s">
        <v>88</v>
      </c>
      <c r="J43" s="1" t="s">
        <v>282</v>
      </c>
      <c r="K43" s="1"/>
      <c r="L43" s="1"/>
      <c r="M43" s="11" t="str">
        <f>_xlfn.XLOOKUP(Table1[[#This Row],[IP Address]],Table2[Firewall IP],Table2[City])</f>
        <v>Billings</v>
      </c>
      <c r="N43" s="47" t="str">
        <f>RIGHT(Table1[[#This Row],[IP Address]],LEN(Table1[[#This Row],[IP Address]])-9)</f>
        <v>94</v>
      </c>
      <c r="O43" s="1"/>
      <c r="P43" s="1" t="s">
        <v>4</v>
      </c>
      <c r="Q43" s="49" t="s">
        <v>162</v>
      </c>
      <c r="R43" s="1"/>
      <c r="S43" s="1"/>
      <c r="T43" s="1" t="s">
        <v>5</v>
      </c>
      <c r="U43" t="s">
        <v>41</v>
      </c>
      <c r="V43" s="8">
        <v>44349</v>
      </c>
      <c r="W43" s="8">
        <v>44313</v>
      </c>
      <c r="X43" s="8">
        <v>44767</v>
      </c>
      <c r="Y43" s="8" t="s">
        <v>375</v>
      </c>
      <c r="Z43" s="8">
        <v>44364</v>
      </c>
      <c r="AA43" s="8">
        <v>44728</v>
      </c>
      <c r="AB43" s="8" t="s">
        <v>365</v>
      </c>
      <c r="AC43" s="8" t="s">
        <v>368</v>
      </c>
      <c r="AE43" s="21" t="str">
        <f>_xlfn.XLOOKUP(Table2[[#This Row],[Site Num]],[1]!Table57[Branch ID],[1]!Table57[DC Name],"UNKNOWN")</f>
        <v>UNKNOWN</v>
      </c>
      <c r="AF43" s="21" t="str">
        <f>_xlfn.XLOOKUP(Table2[[#This Row],[Site Num]],[1]!Table57[Branch ID],[1]!Table57[External IP Address],"N/A")</f>
        <v>N/A</v>
      </c>
      <c r="AG43" s="18" t="str">
        <f>_xlfn.XLOOKUP(Table2[[#This Row],[Site Num]],[1]!Table57[Branch ID],[1]!Table57[Port Speed],"N/A")</f>
        <v>N/A</v>
      </c>
      <c r="AH43" s="39" t="str">
        <f>_xlfn.XLOOKUP(Table2[[#This Row],[Site Num]],[1]!Table57[Branch ID],[1]!Table57[City],"N/A")</f>
        <v>N/A</v>
      </c>
      <c r="AI43" s="39" t="str">
        <f>_xlfn.XLOOKUP(Table2[[#This Row],[Site Num]],[1]!Table57[Branch ID],[1]!Table57[State],"N/A")</f>
        <v>N/A</v>
      </c>
      <c r="AJ43" s="21" t="str">
        <f>_xlfn.XLOOKUP(Table2[[#This Row],[Site Num]],[1]!Table57[Branch ID],[1]!Table57[ZIP Code],"N/A")</f>
        <v>N/A</v>
      </c>
      <c r="AK43" s="21" t="str">
        <f>_xlfn.XLOOKUP(Table2[[#This Row],[Site Num]],[1]!Table57[Branch ID],[1]!Table57[Circuit ID],"N/A")</f>
        <v>N/A</v>
      </c>
      <c r="AL43" s="21" t="str">
        <f>_xlfn.XLOOKUP(Table2[[#This Row],[Site Num]],[1]!Table57[Branch ID],[1]!Table57[ServiceType],"N/A")</f>
        <v>N/A</v>
      </c>
      <c r="AM43" s="21" t="str">
        <f>_xlfn.XLOOKUP(Table2[[#This Row],[Site Num]],[1]!Table57[Branch ID],[1]!Table57[Vendor],"N/A")</f>
        <v>N/A</v>
      </c>
      <c r="AN43" s="39" t="str">
        <f t="shared" si="0"/>
        <v>10.185.0.181</v>
      </c>
      <c r="AO43" s="25">
        <v>181</v>
      </c>
      <c r="AP43" s="21" t="str">
        <f t="shared" si="1"/>
        <v>10.176.181.X</v>
      </c>
      <c r="AQ43" s="21" t="str">
        <f t="shared" si="2"/>
        <v>10.186.181.x</v>
      </c>
      <c r="AR43" s="21" t="str">
        <f t="shared" si="3"/>
        <v>10.184.181.1</v>
      </c>
      <c r="AS43" s="21" t="str">
        <f t="shared" si="4"/>
        <v>10.184.181.25</v>
      </c>
      <c r="AT43" s="21"/>
      <c r="AU43" s="21"/>
      <c r="AV43" s="21" t="str">
        <f t="shared" si="5"/>
        <v>10.185.x.181</v>
      </c>
      <c r="AW43" s="21" t="str">
        <f t="shared" si="7"/>
        <v>10.184.181.X</v>
      </c>
      <c r="AX43" s="21"/>
      <c r="AY43" s="21"/>
      <c r="AZ43" s="21"/>
      <c r="BA43" s="21"/>
      <c r="BB43" s="26" t="str">
        <f t="shared" si="6"/>
        <v>10.184.181.240</v>
      </c>
    </row>
    <row r="44" spans="1:54">
      <c r="A44" s="6" t="s">
        <v>479</v>
      </c>
      <c r="B44" s="1" t="s">
        <v>259</v>
      </c>
      <c r="C44" s="1" t="s">
        <v>255</v>
      </c>
      <c r="D44" s="6" t="s">
        <v>257</v>
      </c>
      <c r="E44" s="11">
        <f>_xlfn.XLOOKUP(Table1[[#This Row],[Serial Number]],Table13[Serial No.],Table13[End Date])</f>
        <v>45331</v>
      </c>
      <c r="F44" s="11">
        <f>_xlfn.XLOOKUP(Table1[[#This Row],[Serial Number]],Table13[Serial No.],Table13[End Date])</f>
        <v>45331</v>
      </c>
      <c r="G44" s="11">
        <f>_xlfn.XLOOKUP(Table1[[#This Row],[Serial Number]],Table13[Serial No.],Table13[Registration Date])</f>
        <v>43712</v>
      </c>
      <c r="H44" s="1"/>
      <c r="I44" s="1" t="s">
        <v>35</v>
      </c>
      <c r="J44" s="1" t="s">
        <v>281</v>
      </c>
      <c r="K44" s="1"/>
      <c r="L44" s="1"/>
      <c r="M44" s="11" t="str">
        <f>_xlfn.XLOOKUP(Table1[[#This Row],[IP Address]],Table2[Firewall IP],Table2[City])</f>
        <v>Sioux City</v>
      </c>
      <c r="N44" s="47" t="str">
        <f>RIGHT(Table1[[#This Row],[IP Address]],LEN(Table1[[#This Row],[IP Address]])-9)</f>
        <v>95</v>
      </c>
      <c r="O44" s="1"/>
      <c r="P44" s="1" t="s">
        <v>4</v>
      </c>
      <c r="Q44" s="49" t="s">
        <v>222</v>
      </c>
      <c r="R44" s="1"/>
      <c r="S44" s="1"/>
      <c r="T44" s="1" t="s">
        <v>5</v>
      </c>
      <c r="U44" t="s">
        <v>53</v>
      </c>
      <c r="V44" s="8">
        <v>43433</v>
      </c>
      <c r="W44" s="8">
        <v>43423</v>
      </c>
      <c r="X44" s="8">
        <v>43877</v>
      </c>
      <c r="Y44" s="8" t="s">
        <v>364</v>
      </c>
      <c r="Z44" s="8">
        <v>44207</v>
      </c>
      <c r="AA44" s="8">
        <v>45331</v>
      </c>
      <c r="AB44" s="8" t="s">
        <v>365</v>
      </c>
      <c r="AC44" s="8" t="s">
        <v>366</v>
      </c>
      <c r="AE44" s="18" t="str">
        <f>_xlfn.XLOOKUP(Table2[[#This Row],[Site Num]],[1]!Table57[Branch ID],[1]!Table57[DC Name],"UNKNOWN")</f>
        <v>Joplin</v>
      </c>
      <c r="AF44" s="18" t="str">
        <f>_xlfn.XLOOKUP(Table2[[#This Row],[Site Num]],[1]!Table57[Branch ID],[1]!Table57[External IP Address],"N/A")</f>
        <v>24.119.145.150</v>
      </c>
      <c r="AG44" s="18" t="str">
        <f>_xlfn.XLOOKUP(Table2[[#This Row],[Site Num]],[1]!Table57[Branch ID],[1]!Table57[Port Speed],"N/A")</f>
        <v>50 x 5</v>
      </c>
      <c r="AH44" s="38" t="str">
        <f>_xlfn.XLOOKUP(Table2[[#This Row],[Site Num]],[1]!Table57[Branch ID],[1]!Table57[City],"N/A")</f>
        <v>Joplin</v>
      </c>
      <c r="AI44" s="38" t="str">
        <f>_xlfn.XLOOKUP(Table2[[#This Row],[Site Num]],[1]!Table57[Branch ID],[1]!Table57[State],"N/A")</f>
        <v>MO</v>
      </c>
      <c r="AJ44" s="18" t="str">
        <f>_xlfn.XLOOKUP(Table2[[#This Row],[Site Num]],[1]!Table57[Branch ID],[1]!Table57[ZIP Code],"N/A")</f>
        <v>64804</v>
      </c>
      <c r="AK44" s="18" t="str">
        <f>_xlfn.XLOOKUP(Table2[[#This Row],[Site Num]],[1]!Table57[Branch ID],[1]!Table57[Circuit ID],"N/A")</f>
        <v>Acct# 119642056</v>
      </c>
      <c r="AL44" s="18" t="str">
        <f>_xlfn.XLOOKUP(Table2[[#This Row],[Site Num]],[1]!Table57[Branch ID],[1]!Table57[ServiceType],"N/A")</f>
        <v>Cable</v>
      </c>
      <c r="AM44" s="18" t="str">
        <f>_xlfn.XLOOKUP(Table2[[#This Row],[Site Num]],[1]!Table57[Branch ID],[1]!Table57[Vendor],"N/A")</f>
        <v>CableOne/Sparklight</v>
      </c>
      <c r="AN44" s="38" t="str">
        <f t="shared" si="0"/>
        <v>10.185.0.183</v>
      </c>
      <c r="AO44" s="19">
        <v>183</v>
      </c>
      <c r="AP44" s="20" t="str">
        <f t="shared" si="1"/>
        <v>10.176.183.X</v>
      </c>
      <c r="AQ44" s="20" t="str">
        <f t="shared" si="2"/>
        <v>10.186.183.x</v>
      </c>
      <c r="AR44" s="20" t="str">
        <f t="shared" si="3"/>
        <v>10.184.183.1</v>
      </c>
      <c r="AS44" s="20" t="str">
        <f t="shared" si="4"/>
        <v>10.184.183.25</v>
      </c>
      <c r="AT44" s="20"/>
      <c r="AU44" s="20"/>
      <c r="AV44" s="20" t="str">
        <f t="shared" si="5"/>
        <v>10.185.x.183</v>
      </c>
      <c r="AW44" s="20" t="str">
        <f t="shared" si="7"/>
        <v>10.184.183.X</v>
      </c>
      <c r="AX44" s="21"/>
      <c r="AY44" s="21"/>
      <c r="AZ44" s="21"/>
      <c r="BA44" s="21"/>
      <c r="BB44" s="22" t="str">
        <f t="shared" si="6"/>
        <v>10.184.183.240</v>
      </c>
    </row>
    <row r="45" spans="1:54">
      <c r="A45" s="6" t="s">
        <v>482</v>
      </c>
      <c r="B45" s="1" t="s">
        <v>259</v>
      </c>
      <c r="C45" s="1" t="s">
        <v>255</v>
      </c>
      <c r="D45" s="6" t="s">
        <v>257</v>
      </c>
      <c r="E45" s="11">
        <f>_xlfn.XLOOKUP(Table1[[#This Row],[Serial Number]],Table13[Serial No.],Table13[End Date])</f>
        <v>45331</v>
      </c>
      <c r="F45" s="11">
        <f>_xlfn.XLOOKUP(Table1[[#This Row],[Serial Number]],Table13[Serial No.],Table13[End Date])</f>
        <v>45331</v>
      </c>
      <c r="G45" s="11">
        <f>_xlfn.XLOOKUP(Table1[[#This Row],[Serial Number]],Table13[Serial No.],Table13[Registration Date])</f>
        <v>44206</v>
      </c>
      <c r="H45" s="1"/>
      <c r="I45" s="1" t="s">
        <v>94</v>
      </c>
      <c r="J45" s="1" t="s">
        <v>292</v>
      </c>
      <c r="K45" s="1"/>
      <c r="L45" s="1"/>
      <c r="M45" s="11" t="str">
        <f>_xlfn.XLOOKUP(Table1[[#This Row],[IP Address]],Table2[Firewall IP],Table2[City])</f>
        <v>Marion</v>
      </c>
      <c r="N45" s="47" t="str">
        <f>RIGHT(Table1[[#This Row],[IP Address]],LEN(Table1[[#This Row],[IP Address]])-9)</f>
        <v>96</v>
      </c>
      <c r="O45" s="1"/>
      <c r="P45" s="1" t="s">
        <v>4</v>
      </c>
      <c r="Q45" s="49" t="s">
        <v>168</v>
      </c>
      <c r="R45" s="1"/>
      <c r="S45" s="1"/>
      <c r="T45" s="1" t="s">
        <v>5</v>
      </c>
      <c r="U45" t="s">
        <v>73</v>
      </c>
      <c r="V45" s="8">
        <v>43433</v>
      </c>
      <c r="W45" s="8">
        <v>43423</v>
      </c>
      <c r="X45" s="8">
        <v>43877</v>
      </c>
      <c r="Y45" s="8" t="s">
        <v>364</v>
      </c>
      <c r="Z45" s="8">
        <v>44207</v>
      </c>
      <c r="AA45" s="8">
        <v>45331</v>
      </c>
      <c r="AB45" s="8" t="s">
        <v>365</v>
      </c>
      <c r="AC45" s="8" t="s">
        <v>366</v>
      </c>
      <c r="AE45" s="18"/>
      <c r="AF45" s="18"/>
      <c r="AG45" s="18" t="str">
        <f>_xlfn.XLOOKUP(Table2[[#This Row],[Site Num]],[1]!Table57[Branch ID],[1]!Table57[Port Speed],"N/A")</f>
        <v>N/A</v>
      </c>
      <c r="AH45" s="38" t="str">
        <f>_xlfn.XLOOKUP(Table2[[#This Row],[Site Num]],[1]!Table57[Branch ID],[1]!Table57[City],"N/A")</f>
        <v>N/A</v>
      </c>
      <c r="AI45" s="38" t="str">
        <f>_xlfn.XLOOKUP(Table2[[#This Row],[Site Num]],[1]!Table57[Branch ID],[1]!Table57[State],"N/A")</f>
        <v>N/A</v>
      </c>
      <c r="AJ45" s="18" t="str">
        <f>_xlfn.XLOOKUP(Table2[[#This Row],[Site Num]],[1]!Table57[Branch ID],[1]!Table57[ZIP Code],"N/A")</f>
        <v>N/A</v>
      </c>
      <c r="AK45" s="18" t="str">
        <f>_xlfn.XLOOKUP(Table2[[#This Row],[Site Num]],[1]!Table57[Branch ID],[1]!Table57[Circuit ID],"N/A")</f>
        <v>N/A</v>
      </c>
      <c r="AL45" s="18" t="str">
        <f>_xlfn.XLOOKUP(Table2[[#This Row],[Site Num]],[1]!Table57[Branch ID],[1]!Table57[ServiceType],"N/A")</f>
        <v>N/A</v>
      </c>
      <c r="AM45" s="18" t="str">
        <f>_xlfn.XLOOKUP(Table2[[#This Row],[Site Num]],[1]!Table57[Branch ID],[1]!Table57[Vendor],"N/A")</f>
        <v>N/A</v>
      </c>
      <c r="AN45" s="38" t="str">
        <f t="shared" si="0"/>
        <v>10.185.0.190</v>
      </c>
      <c r="AO45" s="23">
        <v>190</v>
      </c>
      <c r="AP45" s="20" t="str">
        <f t="shared" si="1"/>
        <v>10.176.190.X</v>
      </c>
      <c r="AQ45" s="20" t="str">
        <f t="shared" si="2"/>
        <v>10.186.190.x</v>
      </c>
      <c r="AR45" s="20" t="str">
        <f t="shared" si="3"/>
        <v>10.184.190.1</v>
      </c>
      <c r="AS45" s="20" t="str">
        <f t="shared" si="4"/>
        <v>10.184.190.25</v>
      </c>
      <c r="AT45" s="20"/>
      <c r="AU45" s="20"/>
      <c r="AV45" s="20" t="str">
        <f t="shared" si="5"/>
        <v>10.185.x.190</v>
      </c>
      <c r="AW45" s="20" t="str">
        <f t="shared" si="7"/>
        <v>10.184.190.X</v>
      </c>
      <c r="AX45" s="21"/>
      <c r="AY45" s="21"/>
      <c r="AZ45" s="21"/>
      <c r="BA45" s="21"/>
      <c r="BB45" s="22" t="str">
        <f t="shared" si="6"/>
        <v>10.184.190.240</v>
      </c>
    </row>
    <row r="46" spans="1:54">
      <c r="A46" s="6" t="s">
        <v>481</v>
      </c>
      <c r="B46" s="1" t="s">
        <v>259</v>
      </c>
      <c r="C46" s="1" t="s">
        <v>255</v>
      </c>
      <c r="D46" s="6" t="s">
        <v>257</v>
      </c>
      <c r="E46" s="11">
        <f>_xlfn.XLOOKUP(Table1[[#This Row],[Serial Number]],Table13[Serial No.],Table13[End Date])</f>
        <v>44191</v>
      </c>
      <c r="F46" s="11">
        <f>_xlfn.XLOOKUP(Table1[[#This Row],[Serial Number]],Table13[Serial No.],Table13[End Date])</f>
        <v>44191</v>
      </c>
      <c r="G46" s="11">
        <f>_xlfn.XLOOKUP(Table1[[#This Row],[Serial Number]],Table13[Serial No.],Table13[Registration Date])</f>
        <v>43563</v>
      </c>
      <c r="H46" s="1"/>
      <c r="I46" s="1" t="s">
        <v>106</v>
      </c>
      <c r="J46" s="1" t="s">
        <v>275</v>
      </c>
      <c r="K46" s="1"/>
      <c r="L46" s="1"/>
      <c r="M46" s="11" t="str">
        <f>_xlfn.XLOOKUP(Table1[[#This Row],[IP Address]],Table2[Firewall IP],Table2[City])</f>
        <v>Black Hawk</v>
      </c>
      <c r="N46" s="47" t="str">
        <f>RIGHT(Table1[[#This Row],[IP Address]],LEN(Table1[[#This Row],[IP Address]])-9)</f>
        <v>97</v>
      </c>
      <c r="O46" s="1"/>
      <c r="P46" s="1" t="s">
        <v>4</v>
      </c>
      <c r="Q46" s="50" t="s">
        <v>213</v>
      </c>
      <c r="R46" s="1"/>
      <c r="S46" s="1"/>
      <c r="T46" s="1" t="s">
        <v>5</v>
      </c>
      <c r="U46" t="s">
        <v>65</v>
      </c>
      <c r="V46" s="8">
        <v>44349</v>
      </c>
      <c r="W46" s="8">
        <v>44313</v>
      </c>
      <c r="X46" s="8">
        <v>44767</v>
      </c>
      <c r="Y46" s="8" t="s">
        <v>364</v>
      </c>
      <c r="Z46" s="8">
        <v>44207</v>
      </c>
      <c r="AA46" s="8">
        <v>45331</v>
      </c>
      <c r="AB46" s="8" t="s">
        <v>365</v>
      </c>
      <c r="AC46" s="8" t="s">
        <v>366</v>
      </c>
      <c r="AE46" s="29"/>
      <c r="AF46" s="29"/>
      <c r="AG46" s="18" t="str">
        <f>_xlfn.XLOOKUP(Table2[[#This Row],[Site Num]],[1]!Table57[Branch ID],[1]!Table57[Port Speed],"N/A")</f>
        <v>N/A</v>
      </c>
      <c r="AH46" s="41" t="str">
        <f>_xlfn.XLOOKUP(Table2[[#This Row],[Site Num]],[1]!Table57[Branch ID],[1]!Table57[City],"N/A")</f>
        <v>N/A</v>
      </c>
      <c r="AI46" s="41" t="str">
        <f>_xlfn.XLOOKUP(Table2[[#This Row],[Site Num]],[1]!Table57[Branch ID],[1]!Table57[State],"N/A")</f>
        <v>N/A</v>
      </c>
      <c r="AJ46" s="29" t="str">
        <f>_xlfn.XLOOKUP(Table2[[#This Row],[Site Num]],[1]!Table57[Branch ID],[1]!Table57[ZIP Code],"N/A")</f>
        <v>N/A</v>
      </c>
      <c r="AK46" s="29" t="str">
        <f>_xlfn.XLOOKUP(Table2[[#This Row],[Site Num]],[1]!Table57[Branch ID],[1]!Table57[Circuit ID],"N/A")</f>
        <v>N/A</v>
      </c>
      <c r="AL46" s="29" t="str">
        <f>_xlfn.XLOOKUP(Table2[[#This Row],[Site Num]],[1]!Table57[Branch ID],[1]!Table57[ServiceType],"N/A")</f>
        <v>N/A</v>
      </c>
      <c r="AM46" s="29" t="str">
        <f>_xlfn.XLOOKUP(Table2[[#This Row],[Site Num]],[1]!Table57[Branch ID],[1]!Table57[Vendor],"N/A")</f>
        <v>N/A</v>
      </c>
      <c r="AN46" s="41"/>
      <c r="AO46" s="30">
        <v>231</v>
      </c>
      <c r="AP46" s="29"/>
      <c r="AQ46" s="29" t="s">
        <v>422</v>
      </c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31"/>
    </row>
    <row r="47" spans="1:54">
      <c r="A47" s="6" t="s">
        <v>480</v>
      </c>
      <c r="B47" s="1" t="s">
        <v>259</v>
      </c>
      <c r="C47" s="1" t="s">
        <v>255</v>
      </c>
      <c r="D47" s="6" t="s">
        <v>257</v>
      </c>
      <c r="E47" s="11">
        <f>_xlfn.XLOOKUP(Table1[[#This Row],[Serial Number]],Table13[Serial No.],Table13[End Date])</f>
        <v>45331</v>
      </c>
      <c r="F47" s="11">
        <f>_xlfn.XLOOKUP(Table1[[#This Row],[Serial Number]],Table13[Serial No.],Table13[End Date])</f>
        <v>45331</v>
      </c>
      <c r="G47" s="11">
        <f>_xlfn.XLOOKUP(Table1[[#This Row],[Serial Number]],Table13[Serial No.],Table13[Registration Date])</f>
        <v>44224</v>
      </c>
      <c r="H47" s="1"/>
      <c r="I47" s="1" t="s">
        <v>13</v>
      </c>
      <c r="J47" s="1" t="s">
        <v>298</v>
      </c>
      <c r="K47" s="1"/>
      <c r="L47" s="1"/>
      <c r="M47" s="11" t="str">
        <f>_xlfn.XLOOKUP(Table1[[#This Row],[IP Address]],Table2[Firewall IP],Table2[City])</f>
        <v>Sioux Falls</v>
      </c>
      <c r="N47" s="47" t="str">
        <f>RIGHT(Table1[[#This Row],[IP Address]],LEN(Table1[[#This Row],[IP Address]])-9)</f>
        <v>98</v>
      </c>
      <c r="O47" s="1"/>
      <c r="P47" s="1" t="s">
        <v>4</v>
      </c>
      <c r="Q47" s="50" t="s">
        <v>223</v>
      </c>
      <c r="R47" s="1"/>
      <c r="S47" s="1"/>
      <c r="T47" s="1" t="s">
        <v>5</v>
      </c>
      <c r="U47" t="s">
        <v>65</v>
      </c>
      <c r="V47" s="8">
        <v>44349</v>
      </c>
      <c r="W47" s="8">
        <v>44313</v>
      </c>
      <c r="X47" s="8">
        <v>44767</v>
      </c>
      <c r="Y47" s="8" t="s">
        <v>375</v>
      </c>
      <c r="Z47" s="8">
        <v>44364</v>
      </c>
      <c r="AA47" s="8">
        <v>44728</v>
      </c>
      <c r="AB47" s="8" t="s">
        <v>365</v>
      </c>
      <c r="AC47" s="8" t="s">
        <v>368</v>
      </c>
      <c r="AE47" s="29"/>
      <c r="AF47" s="29"/>
      <c r="AG47" s="18" t="str">
        <f>_xlfn.XLOOKUP(Table2[[#This Row],[Site Num]],[1]!Table57[Branch ID],[1]!Table57[Port Speed],"N/A")</f>
        <v>N/A</v>
      </c>
      <c r="AH47" s="41" t="str">
        <f>_xlfn.XLOOKUP(Table2[[#This Row],[Site Num]],[1]!Table57[Branch ID],[1]!Table57[City],"N/A")</f>
        <v>N/A</v>
      </c>
      <c r="AI47" s="41" t="str">
        <f>_xlfn.XLOOKUP(Table2[[#This Row],[Site Num]],[1]!Table57[Branch ID],[1]!Table57[State],"N/A")</f>
        <v>N/A</v>
      </c>
      <c r="AJ47" s="29" t="str">
        <f>_xlfn.XLOOKUP(Table2[[#This Row],[Site Num]],[1]!Table57[Branch ID],[1]!Table57[ZIP Code],"N/A")</f>
        <v>N/A</v>
      </c>
      <c r="AK47" s="29" t="str">
        <f>_xlfn.XLOOKUP(Table2[[#This Row],[Site Num]],[1]!Table57[Branch ID],[1]!Table57[Circuit ID],"N/A")</f>
        <v>N/A</v>
      </c>
      <c r="AL47" s="29" t="str">
        <f>_xlfn.XLOOKUP(Table2[[#This Row],[Site Num]],[1]!Table57[Branch ID],[1]!Table57[ServiceType],"N/A")</f>
        <v>N/A</v>
      </c>
      <c r="AM47" s="29" t="str">
        <f>_xlfn.XLOOKUP(Table2[[#This Row],[Site Num]],[1]!Table57[Branch ID],[1]!Table57[Vendor],"N/A")</f>
        <v>N/A</v>
      </c>
      <c r="AN47" s="41"/>
      <c r="AO47" s="30">
        <v>232</v>
      </c>
      <c r="AP47" s="29"/>
      <c r="AQ47" s="29" t="s">
        <v>423</v>
      </c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31"/>
    </row>
    <row r="48" spans="1:54">
      <c r="A48" s="6" t="s">
        <v>441</v>
      </c>
      <c r="B48" s="1" t="s">
        <v>258</v>
      </c>
      <c r="C48" s="1" t="s">
        <v>256</v>
      </c>
      <c r="D48" s="6" t="s">
        <v>257</v>
      </c>
      <c r="E48" s="11">
        <f>_xlfn.XLOOKUP(Table1[[#This Row],[Serial Number]],Table13[Serial No.],Table13[End Date])</f>
        <v>44191</v>
      </c>
      <c r="F48" s="11">
        <f>_xlfn.XLOOKUP(Table1[[#This Row],[Serial Number]],Table13[Serial No.],Table13[End Date])</f>
        <v>44191</v>
      </c>
      <c r="G48" s="11">
        <f>_xlfn.XLOOKUP(Table1[[#This Row],[Serial Number]],Table13[Serial No.],Table13[Registration Date])</f>
        <v>42208</v>
      </c>
      <c r="H48" s="1"/>
      <c r="I48" s="1" t="s">
        <v>135</v>
      </c>
      <c r="J48" s="1" t="s">
        <v>269</v>
      </c>
      <c r="K48" s="1"/>
      <c r="L48" s="1"/>
      <c r="M48" s="45" t="s">
        <v>89</v>
      </c>
      <c r="N48" s="47" t="str">
        <f>RIGHT(Table1[[#This Row],[IP Address]],LEN(Table1[[#This Row],[IP Address]])-9)</f>
        <v>130</v>
      </c>
      <c r="O48" s="1"/>
      <c r="P48" s="1" t="s">
        <v>4</v>
      </c>
      <c r="Q48" s="49" t="s">
        <v>206</v>
      </c>
      <c r="R48" s="1"/>
      <c r="S48" s="1"/>
      <c r="T48" s="1" t="s">
        <v>5</v>
      </c>
      <c r="U48" t="s">
        <v>44</v>
      </c>
      <c r="V48" s="8">
        <v>43859</v>
      </c>
      <c r="W48" s="8">
        <v>43816</v>
      </c>
      <c r="X48" s="8">
        <v>44270</v>
      </c>
      <c r="Y48" s="8" t="s">
        <v>376</v>
      </c>
      <c r="Z48" s="8">
        <v>44559</v>
      </c>
      <c r="AA48" s="8">
        <v>44923</v>
      </c>
      <c r="AB48" s="8" t="s">
        <v>365</v>
      </c>
      <c r="AC48" s="8" t="s">
        <v>377</v>
      </c>
      <c r="AE48" s="29"/>
      <c r="AF48" s="29"/>
      <c r="AG48" s="18" t="str">
        <f>_xlfn.XLOOKUP(Table2[[#This Row],[Site Num]],[1]!Table57[Branch ID],[1]!Table57[Port Speed],"N/A")</f>
        <v>N/A</v>
      </c>
      <c r="AH48" s="41" t="str">
        <f>_xlfn.XLOOKUP(Table2[[#This Row],[Site Num]],[1]!Table57[Branch ID],[1]!Table57[City],"N/A")</f>
        <v>N/A</v>
      </c>
      <c r="AI48" s="41" t="str">
        <f>_xlfn.XLOOKUP(Table2[[#This Row],[Site Num]],[1]!Table57[Branch ID],[1]!Table57[State],"N/A")</f>
        <v>N/A</v>
      </c>
      <c r="AJ48" s="29" t="str">
        <f>_xlfn.XLOOKUP(Table2[[#This Row],[Site Num]],[1]!Table57[Branch ID],[1]!Table57[ZIP Code],"N/A")</f>
        <v>N/A</v>
      </c>
      <c r="AK48" s="29" t="str">
        <f>_xlfn.XLOOKUP(Table2[[#This Row],[Site Num]],[1]!Table57[Branch ID],[1]!Table57[Circuit ID],"N/A")</f>
        <v>N/A</v>
      </c>
      <c r="AL48" s="29" t="str">
        <f>_xlfn.XLOOKUP(Table2[[#This Row],[Site Num]],[1]!Table57[Branch ID],[1]!Table57[ServiceType],"N/A")</f>
        <v>N/A</v>
      </c>
      <c r="AM48" s="29" t="str">
        <f>_xlfn.XLOOKUP(Table2[[#This Row],[Site Num]],[1]!Table57[Branch ID],[1]!Table57[Vendor],"N/A")</f>
        <v>N/A</v>
      </c>
      <c r="AN48" s="41"/>
      <c r="AO48" s="30">
        <v>235</v>
      </c>
      <c r="AP48" s="29"/>
      <c r="AQ48" s="29" t="s">
        <v>424</v>
      </c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31"/>
    </row>
    <row r="49" spans="1:54">
      <c r="A49" s="1" t="s">
        <v>111</v>
      </c>
      <c r="B49" s="1" t="s">
        <v>258</v>
      </c>
      <c r="C49" s="1" t="s">
        <v>256</v>
      </c>
      <c r="D49" s="6" t="s">
        <v>257</v>
      </c>
      <c r="E49" s="11">
        <f>_xlfn.XLOOKUP(Table1[[#This Row],[Serial Number]],Table13[Serial No.],Table13[End Date])</f>
        <v>44923</v>
      </c>
      <c r="F49" s="11">
        <f>_xlfn.XLOOKUP(Table1[[#This Row],[Serial Number]],Table13[Serial No.],Table13[End Date])</f>
        <v>44923</v>
      </c>
      <c r="G49" s="11">
        <f>_xlfn.XLOOKUP(Table1[[#This Row],[Serial Number]],Table13[Serial No.],Table13[Registration Date])</f>
        <v>43433</v>
      </c>
      <c r="H49" s="1"/>
      <c r="I49" s="1" t="s">
        <v>112</v>
      </c>
      <c r="J49" s="1" t="s">
        <v>326</v>
      </c>
      <c r="K49" s="1"/>
      <c r="L49" s="1"/>
      <c r="M49" s="45" t="s">
        <v>136</v>
      </c>
      <c r="N49" s="47" t="str">
        <f>RIGHT(Table1[[#This Row],[IP Address]],LEN(Table1[[#This Row],[IP Address]])-9)</f>
        <v>131</v>
      </c>
      <c r="O49" s="1"/>
      <c r="P49" s="1" t="s">
        <v>4</v>
      </c>
      <c r="Q49" s="49" t="s">
        <v>172</v>
      </c>
      <c r="R49" s="1"/>
      <c r="S49" s="1"/>
      <c r="T49" s="1" t="s">
        <v>5</v>
      </c>
      <c r="U49" t="s">
        <v>44</v>
      </c>
      <c r="V49" s="8">
        <v>43859</v>
      </c>
      <c r="W49" s="8">
        <v>43816</v>
      </c>
      <c r="X49" s="8">
        <v>44270</v>
      </c>
      <c r="Y49" s="8" t="s">
        <v>371</v>
      </c>
      <c r="Z49" s="8">
        <v>44559</v>
      </c>
      <c r="AA49" s="8">
        <v>44923</v>
      </c>
      <c r="AB49" s="8" t="s">
        <v>365</v>
      </c>
      <c r="AC49" s="8" t="s">
        <v>378</v>
      </c>
      <c r="AE49" s="32"/>
      <c r="AF49" s="33"/>
      <c r="AG49" s="18" t="str">
        <f>_xlfn.XLOOKUP(Table2[[#This Row],[Site Num]],[1]!Table57[Branch ID],[1]!Table57[Port Speed],"N/A")</f>
        <v>N/A</v>
      </c>
      <c r="AH49" s="42" t="str">
        <f>_xlfn.XLOOKUP(Table2[[#This Row],[Site Num]],[1]!Table57[Branch ID],[1]!Table57[City],"N/A")</f>
        <v>N/A</v>
      </c>
      <c r="AI49" s="42" t="str">
        <f>_xlfn.XLOOKUP(Table2[[#This Row],[Site Num]],[1]!Table57[Branch ID],[1]!Table57[State],"N/A")</f>
        <v>N/A</v>
      </c>
      <c r="AJ49" s="32" t="str">
        <f>_xlfn.XLOOKUP(Table2[[#This Row],[Site Num]],[1]!Table57[Branch ID],[1]!Table57[ZIP Code],"N/A")</f>
        <v>N/A</v>
      </c>
      <c r="AK49" s="32" t="str">
        <f>_xlfn.XLOOKUP(Table2[[#This Row],[Site Num]],[1]!Table57[Branch ID],[1]!Table57[Circuit ID],"N/A")</f>
        <v>N/A</v>
      </c>
      <c r="AL49" s="32" t="str">
        <f>_xlfn.XLOOKUP(Table2[[#This Row],[Site Num]],[1]!Table57[Branch ID],[1]!Table57[ServiceType],"N/A")</f>
        <v>N/A</v>
      </c>
      <c r="AM49" s="32" t="str">
        <f>_xlfn.XLOOKUP(Table2[[#This Row],[Site Num]],[1]!Table57[Branch ID],[1]!Table57[Vendor],"N/A")</f>
        <v>N/A</v>
      </c>
      <c r="AN49" s="42"/>
      <c r="AO49" s="34" t="s">
        <v>425</v>
      </c>
      <c r="AP49" s="32"/>
      <c r="AQ49" s="35" t="s">
        <v>426</v>
      </c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7"/>
    </row>
    <row r="50" spans="1:54">
      <c r="A50" s="1" t="s">
        <v>119</v>
      </c>
      <c r="B50" s="1" t="s">
        <v>258</v>
      </c>
      <c r="C50" s="1" t="s">
        <v>256</v>
      </c>
      <c r="D50" s="6" t="s">
        <v>257</v>
      </c>
      <c r="E50" s="11">
        <f>_xlfn.XLOOKUP(Table1[[#This Row],[Serial Number]],Table13[Serial No.],Table13[End Date])</f>
        <v>44923</v>
      </c>
      <c r="F50" s="11">
        <f>_xlfn.XLOOKUP(Table1[[#This Row],[Serial Number]],Table13[Serial No.],Table13[End Date])</f>
        <v>44923</v>
      </c>
      <c r="G50" s="11">
        <f>_xlfn.XLOOKUP(Table1[[#This Row],[Serial Number]],Table13[Serial No.],Table13[Registration Date])</f>
        <v>43433</v>
      </c>
      <c r="H50" s="1"/>
      <c r="I50" s="1" t="s">
        <v>120</v>
      </c>
      <c r="J50" s="1" t="s">
        <v>327</v>
      </c>
      <c r="K50" s="1"/>
      <c r="L50" s="1"/>
      <c r="M50" s="45" t="s">
        <v>52</v>
      </c>
      <c r="N50" s="47" t="str">
        <f>RIGHT(Table1[[#This Row],[IP Address]],LEN(Table1[[#This Row],[IP Address]])-9)</f>
        <v>132</v>
      </c>
      <c r="O50" s="1"/>
      <c r="P50" s="1" t="s">
        <v>4</v>
      </c>
      <c r="Q50" s="50" t="s">
        <v>217</v>
      </c>
      <c r="R50" s="1"/>
      <c r="S50" s="1"/>
      <c r="T50" s="1" t="s">
        <v>5</v>
      </c>
      <c r="U50" t="s">
        <v>134</v>
      </c>
      <c r="V50" s="8">
        <v>43859</v>
      </c>
      <c r="W50" s="8">
        <v>43826</v>
      </c>
      <c r="X50" s="8">
        <v>44280</v>
      </c>
      <c r="Y50" s="8" t="s">
        <v>371</v>
      </c>
      <c r="Z50" s="8">
        <v>44559</v>
      </c>
      <c r="AA50" s="8">
        <v>44923</v>
      </c>
      <c r="AB50" s="8" t="s">
        <v>365</v>
      </c>
      <c r="AC50" s="8" t="s">
        <v>378</v>
      </c>
    </row>
    <row r="51" spans="1:54">
      <c r="A51" s="1" t="s">
        <v>104</v>
      </c>
      <c r="B51" s="1" t="s">
        <v>258</v>
      </c>
      <c r="C51" s="1" t="s">
        <v>256</v>
      </c>
      <c r="D51" s="6" t="s">
        <v>257</v>
      </c>
      <c r="E51" s="11">
        <f>_xlfn.XLOOKUP(Table1[[#This Row],[Serial Number]],Table13[Serial No.],Table13[End Date])</f>
        <v>45302</v>
      </c>
      <c r="F51" s="11">
        <f>_xlfn.XLOOKUP(Table1[[#This Row],[Serial Number]],Table13[Serial No.],Table13[End Date])</f>
        <v>45302</v>
      </c>
      <c r="G51" s="11">
        <f>_xlfn.XLOOKUP(Table1[[#This Row],[Serial Number]],Table13[Serial No.],Table13[Registration Date])</f>
        <v>44209</v>
      </c>
      <c r="H51" s="1"/>
      <c r="I51" s="1" t="s">
        <v>105</v>
      </c>
      <c r="J51" s="1" t="s">
        <v>346</v>
      </c>
      <c r="K51" s="1"/>
      <c r="L51" s="1"/>
      <c r="M51" s="45" t="s">
        <v>428</v>
      </c>
      <c r="N51" s="47" t="str">
        <f>RIGHT(Table1[[#This Row],[IP Address]],LEN(Table1[[#This Row],[IP Address]])-9)</f>
        <v>144</v>
      </c>
      <c r="O51" s="1"/>
      <c r="P51" s="1" t="s">
        <v>4</v>
      </c>
      <c r="Q51" s="49" t="s">
        <v>208</v>
      </c>
      <c r="R51" s="1"/>
      <c r="S51" s="1"/>
      <c r="T51" s="1" t="s">
        <v>5</v>
      </c>
      <c r="U51" t="s">
        <v>134</v>
      </c>
      <c r="V51" s="8">
        <v>43859</v>
      </c>
      <c r="W51" s="8">
        <v>43826</v>
      </c>
      <c r="X51" s="8">
        <v>44280</v>
      </c>
      <c r="Y51" s="8" t="s">
        <v>376</v>
      </c>
      <c r="Z51" s="8">
        <v>44559</v>
      </c>
      <c r="AA51" s="8">
        <v>44923</v>
      </c>
      <c r="AB51" s="8" t="s">
        <v>365</v>
      </c>
      <c r="AC51" s="8" t="s">
        <v>377</v>
      </c>
    </row>
    <row r="52" spans="1:54">
      <c r="A52" s="1" t="s">
        <v>50</v>
      </c>
      <c r="B52" s="1" t="s">
        <v>258</v>
      </c>
      <c r="C52" s="1" t="s">
        <v>256</v>
      </c>
      <c r="D52" s="6" t="s">
        <v>257</v>
      </c>
      <c r="E52" s="11">
        <f>_xlfn.XLOOKUP(Table1[[#This Row],[Serial Number]],Table13[Serial No.],Table13[End Date])</f>
        <v>45302</v>
      </c>
      <c r="F52" s="11">
        <f>_xlfn.XLOOKUP(Table1[[#This Row],[Serial Number]],Table13[Serial No.],Table13[End Date])</f>
        <v>45302</v>
      </c>
      <c r="G52" s="11">
        <f>_xlfn.XLOOKUP(Table1[[#This Row],[Serial Number]],Table13[Serial No.],Table13[Registration Date])</f>
        <v>44206</v>
      </c>
      <c r="H52" s="1"/>
      <c r="I52" s="1" t="s">
        <v>51</v>
      </c>
      <c r="J52" s="1" t="s">
        <v>325</v>
      </c>
      <c r="K52" s="1"/>
      <c r="L52" s="1"/>
      <c r="M52" s="45" t="s">
        <v>46</v>
      </c>
      <c r="N52" s="47" t="str">
        <f>RIGHT(Table1[[#This Row],[IP Address]],LEN(Table1[[#This Row],[IP Address]])-9)</f>
        <v>167</v>
      </c>
      <c r="O52" s="1"/>
      <c r="P52" s="1" t="s">
        <v>4</v>
      </c>
      <c r="Q52" s="49" t="s">
        <v>158</v>
      </c>
      <c r="R52" s="1"/>
      <c r="S52" s="1"/>
      <c r="T52" s="1" t="s">
        <v>5</v>
      </c>
      <c r="U52" t="s">
        <v>55</v>
      </c>
      <c r="V52" s="8">
        <v>43803</v>
      </c>
      <c r="W52" s="8">
        <v>43753</v>
      </c>
      <c r="X52" s="8">
        <v>44208</v>
      </c>
      <c r="Y52" s="8" t="s">
        <v>371</v>
      </c>
      <c r="Z52" s="8">
        <v>44559</v>
      </c>
      <c r="AA52" s="8">
        <v>44923</v>
      </c>
      <c r="AB52" s="8" t="s">
        <v>365</v>
      </c>
      <c r="AC52" s="8" t="s">
        <v>379</v>
      </c>
    </row>
    <row r="53" spans="1:54">
      <c r="A53" s="1" t="s">
        <v>23</v>
      </c>
      <c r="B53" s="1" t="s">
        <v>258</v>
      </c>
      <c r="C53" s="1" t="s">
        <v>256</v>
      </c>
      <c r="D53" s="6" t="s">
        <v>257</v>
      </c>
      <c r="E53" s="11">
        <f>_xlfn.XLOOKUP(Table1[[#This Row],[Serial Number]],Table13[Serial No.],Table13[End Date])</f>
        <v>44923</v>
      </c>
      <c r="F53" s="11">
        <f>_xlfn.XLOOKUP(Table1[[#This Row],[Serial Number]],Table13[Serial No.],Table13[End Date])</f>
        <v>44923</v>
      </c>
      <c r="G53" s="11">
        <f>_xlfn.XLOOKUP(Table1[[#This Row],[Serial Number]],Table13[Serial No.],Table13[Registration Date])</f>
        <v>43584</v>
      </c>
      <c r="H53" s="1"/>
      <c r="I53" s="1" t="s">
        <v>24</v>
      </c>
      <c r="J53" s="1" t="s">
        <v>334</v>
      </c>
      <c r="K53" s="1"/>
      <c r="L53" s="1"/>
      <c r="M53" s="45" t="s">
        <v>42</v>
      </c>
      <c r="N53" s="47" t="str">
        <f>RIGHT(Table1[[#This Row],[IP Address]],LEN(Table1[[#This Row],[IP Address]])-9)</f>
        <v>168</v>
      </c>
      <c r="O53" s="1"/>
      <c r="P53" s="1" t="s">
        <v>4</v>
      </c>
      <c r="Q53" s="50" t="s">
        <v>189</v>
      </c>
      <c r="R53" s="1"/>
      <c r="S53" s="1"/>
      <c r="T53" s="1" t="s">
        <v>5</v>
      </c>
      <c r="U53" t="s">
        <v>49</v>
      </c>
      <c r="V53" s="8">
        <v>43803</v>
      </c>
      <c r="W53" s="8">
        <v>43753</v>
      </c>
      <c r="X53" s="8">
        <v>44208</v>
      </c>
      <c r="Y53" s="8" t="s">
        <v>364</v>
      </c>
      <c r="Z53" s="8">
        <v>44207</v>
      </c>
      <c r="AA53" s="8">
        <v>45331</v>
      </c>
      <c r="AB53" s="8" t="s">
        <v>365</v>
      </c>
      <c r="AC53" s="8" t="s">
        <v>366</v>
      </c>
    </row>
    <row r="54" spans="1:54">
      <c r="A54" s="1" t="s">
        <v>130</v>
      </c>
      <c r="B54" s="1" t="s">
        <v>258</v>
      </c>
      <c r="C54" s="1" t="s">
        <v>256</v>
      </c>
      <c r="D54" s="6" t="s">
        <v>257</v>
      </c>
      <c r="E54" s="11">
        <f>_xlfn.XLOOKUP(Table1[[#This Row],[Serial Number]],Table13[Serial No.],Table13[End Date])</f>
        <v>45302</v>
      </c>
      <c r="F54" s="11">
        <f>_xlfn.XLOOKUP(Table1[[#This Row],[Serial Number]],Table13[Serial No.],Table13[End Date])</f>
        <v>45302</v>
      </c>
      <c r="G54" s="11">
        <f>_xlfn.XLOOKUP(Table1[[#This Row],[Serial Number]],Table13[Serial No.],Table13[Registration Date])</f>
        <v>44206</v>
      </c>
      <c r="H54" s="1"/>
      <c r="I54" s="1" t="s">
        <v>131</v>
      </c>
      <c r="J54" s="1" t="s">
        <v>339</v>
      </c>
      <c r="K54" s="1"/>
      <c r="L54" s="1"/>
      <c r="M54" s="45" t="s">
        <v>29</v>
      </c>
      <c r="N54" s="47" t="str">
        <f>RIGHT(Table1[[#This Row],[IP Address]],LEN(Table1[[#This Row],[IP Address]])-9)</f>
        <v>17</v>
      </c>
      <c r="O54" s="1"/>
      <c r="P54" s="1" t="s">
        <v>4</v>
      </c>
      <c r="Q54" s="49" t="s">
        <v>204</v>
      </c>
      <c r="R54" s="1"/>
      <c r="S54" s="1"/>
      <c r="T54" s="1" t="s">
        <v>5</v>
      </c>
      <c r="U54" t="s">
        <v>49</v>
      </c>
      <c r="V54" s="8">
        <v>43803</v>
      </c>
      <c r="W54" s="8">
        <v>43753</v>
      </c>
      <c r="X54" s="8">
        <v>44208</v>
      </c>
      <c r="Y54" s="8" t="s">
        <v>371</v>
      </c>
      <c r="Z54" s="8">
        <v>44559</v>
      </c>
      <c r="AA54" s="8">
        <v>44923</v>
      </c>
      <c r="AB54" s="8" t="s">
        <v>365</v>
      </c>
      <c r="AC54" s="8" t="s">
        <v>379</v>
      </c>
    </row>
    <row r="55" spans="1:54">
      <c r="A55" s="1" t="s">
        <v>67</v>
      </c>
      <c r="B55" s="1" t="s">
        <v>258</v>
      </c>
      <c r="C55" s="1" t="s">
        <v>256</v>
      </c>
      <c r="D55" s="6" t="s">
        <v>257</v>
      </c>
      <c r="E55" s="11">
        <f>_xlfn.XLOOKUP(Table1[[#This Row],[Serial Number]],Table13[Serial No.],Table13[End Date])</f>
        <v>45302</v>
      </c>
      <c r="F55" s="11">
        <f>_xlfn.XLOOKUP(Table1[[#This Row],[Serial Number]],Table13[Serial No.],Table13[End Date])</f>
        <v>45302</v>
      </c>
      <c r="G55" s="11">
        <f>_xlfn.XLOOKUP(Table1[[#This Row],[Serial Number]],Table13[Serial No.],Table13[Registration Date])</f>
        <v>44209</v>
      </c>
      <c r="H55" s="1"/>
      <c r="I55" s="1" t="s">
        <v>68</v>
      </c>
      <c r="J55" s="1" t="s">
        <v>347</v>
      </c>
      <c r="K55" s="1"/>
      <c r="L55" s="1"/>
      <c r="M55" s="45" t="s">
        <v>59</v>
      </c>
      <c r="N55" s="47" t="str">
        <f>RIGHT(Table1[[#This Row],[IP Address]],LEN(Table1[[#This Row],[IP Address]])-9)</f>
        <v>20</v>
      </c>
      <c r="O55" s="1"/>
      <c r="P55" s="1" t="s">
        <v>4</v>
      </c>
      <c r="Q55" s="50" t="s">
        <v>153</v>
      </c>
      <c r="R55" s="1"/>
      <c r="S55" s="1"/>
      <c r="T55" s="1" t="s">
        <v>5</v>
      </c>
      <c r="U55" t="s">
        <v>91</v>
      </c>
      <c r="V55" s="8">
        <v>43803</v>
      </c>
      <c r="W55" s="8">
        <v>43753</v>
      </c>
      <c r="X55" s="8">
        <v>44208</v>
      </c>
      <c r="Y55" s="8" t="s">
        <v>364</v>
      </c>
      <c r="Z55" s="8">
        <v>44207</v>
      </c>
      <c r="AA55" s="8">
        <v>45331</v>
      </c>
      <c r="AB55" s="8" t="s">
        <v>365</v>
      </c>
      <c r="AC55" s="8" t="s">
        <v>366</v>
      </c>
    </row>
    <row r="56" spans="1:54">
      <c r="A56" s="1" t="s">
        <v>143</v>
      </c>
      <c r="B56" s="1" t="s">
        <v>258</v>
      </c>
      <c r="C56" s="1" t="s">
        <v>256</v>
      </c>
      <c r="D56" s="6" t="s">
        <v>257</v>
      </c>
      <c r="E56" s="11">
        <f>_xlfn.XLOOKUP(Table1[[#This Row],[Serial Number]],Table13[Serial No.],Table13[End Date])</f>
        <v>44191</v>
      </c>
      <c r="F56" s="11">
        <f>_xlfn.XLOOKUP(Table1[[#This Row],[Serial Number]],Table13[Serial No.],Table13[End Date])</f>
        <v>44191</v>
      </c>
      <c r="G56" s="11">
        <f>_xlfn.XLOOKUP(Table1[[#This Row],[Serial Number]],Table13[Serial No.],Table13[Registration Date])</f>
        <v>42509</v>
      </c>
      <c r="H56" s="1"/>
      <c r="I56" s="1" t="s">
        <v>144</v>
      </c>
      <c r="J56" s="1" t="s">
        <v>270</v>
      </c>
      <c r="K56" s="1"/>
      <c r="L56" s="1"/>
      <c r="M56" s="45" t="s">
        <v>141</v>
      </c>
      <c r="N56" s="47" t="str">
        <f>RIGHT(Table1[[#This Row],[IP Address]],LEN(Table1[[#This Row],[IP Address]])-9)</f>
        <v>24</v>
      </c>
      <c r="O56" s="1"/>
      <c r="P56" s="1" t="s">
        <v>4</v>
      </c>
      <c r="Q56" s="50" t="s">
        <v>209</v>
      </c>
      <c r="R56" s="1"/>
      <c r="S56" s="1"/>
      <c r="T56" s="1" t="s">
        <v>5</v>
      </c>
      <c r="U56" t="s">
        <v>91</v>
      </c>
      <c r="V56" s="8">
        <v>43803</v>
      </c>
      <c r="W56" s="8">
        <v>43753</v>
      </c>
      <c r="X56" s="8">
        <v>44208</v>
      </c>
      <c r="Y56" s="8" t="s">
        <v>371</v>
      </c>
      <c r="Z56" s="8">
        <v>44559</v>
      </c>
      <c r="AA56" s="8">
        <v>44923</v>
      </c>
      <c r="AB56" s="8" t="s">
        <v>365</v>
      </c>
      <c r="AC56" s="8" t="s">
        <v>379</v>
      </c>
    </row>
    <row r="57" spans="1:54">
      <c r="A57" s="1" t="s">
        <v>84</v>
      </c>
      <c r="B57" s="1" t="s">
        <v>258</v>
      </c>
      <c r="C57" s="1" t="s">
        <v>256</v>
      </c>
      <c r="D57" s="6" t="s">
        <v>257</v>
      </c>
      <c r="E57" s="11">
        <f>_xlfn.XLOOKUP(Table1[[#This Row],[Serial Number]],Table13[Serial No.],Table13[End Date])</f>
        <v>45302</v>
      </c>
      <c r="F57" s="11">
        <f>_xlfn.XLOOKUP(Table1[[#This Row],[Serial Number]],Table13[Serial No.],Table13[End Date])</f>
        <v>45302</v>
      </c>
      <c r="G57" s="11">
        <f>_xlfn.XLOOKUP(Table1[[#This Row],[Serial Number]],Table13[Serial No.],Table13[Registration Date])</f>
        <v>44209</v>
      </c>
      <c r="H57" s="1"/>
      <c r="I57" s="1" t="s">
        <v>85</v>
      </c>
      <c r="J57" s="1" t="s">
        <v>332</v>
      </c>
      <c r="K57" s="1"/>
      <c r="L57" s="1"/>
      <c r="M57" s="45" t="s">
        <v>7</v>
      </c>
      <c r="N57" s="47" t="str">
        <f>RIGHT(Table1[[#This Row],[IP Address]],LEN(Table1[[#This Row],[IP Address]])-9)</f>
        <v>26</v>
      </c>
      <c r="O57" s="1"/>
      <c r="P57" s="1" t="s">
        <v>4</v>
      </c>
      <c r="Q57" s="50" t="s">
        <v>235</v>
      </c>
      <c r="R57" s="1"/>
      <c r="S57" s="1"/>
      <c r="T57" s="1" t="s">
        <v>5</v>
      </c>
      <c r="U57" t="s">
        <v>103</v>
      </c>
      <c r="V57" s="8">
        <v>41801</v>
      </c>
      <c r="W57" s="8">
        <v>41768</v>
      </c>
      <c r="X57" s="8">
        <v>45420</v>
      </c>
      <c r="Y57" s="8" t="s">
        <v>371</v>
      </c>
      <c r="Z57" s="8">
        <v>44559</v>
      </c>
      <c r="AA57" s="8">
        <v>44923</v>
      </c>
      <c r="AB57" s="8" t="s">
        <v>365</v>
      </c>
      <c r="AC57" s="8" t="s">
        <v>380</v>
      </c>
    </row>
    <row r="58" spans="1:54">
      <c r="A58" s="1" t="s">
        <v>145</v>
      </c>
      <c r="B58" s="1" t="s">
        <v>258</v>
      </c>
      <c r="C58" s="1" t="s">
        <v>256</v>
      </c>
      <c r="D58" s="6" t="s">
        <v>257</v>
      </c>
      <c r="E58" s="11">
        <f>_xlfn.XLOOKUP(Table1[[#This Row],[Serial Number]],Table13[Serial No.],Table13[End Date])</f>
        <v>44923</v>
      </c>
      <c r="F58" s="11">
        <f>_xlfn.XLOOKUP(Table1[[#This Row],[Serial Number]],Table13[Serial No.],Table13[End Date])</f>
        <v>44923</v>
      </c>
      <c r="G58" s="11">
        <f>_xlfn.XLOOKUP(Table1[[#This Row],[Serial Number]],Table13[Serial No.],Table13[Registration Date])</f>
        <v>43546</v>
      </c>
      <c r="H58" s="1"/>
      <c r="I58" s="1" t="s">
        <v>146</v>
      </c>
      <c r="J58" s="1" t="s">
        <v>330</v>
      </c>
      <c r="K58" s="1"/>
      <c r="L58" s="1"/>
      <c r="M58" s="45" t="s">
        <v>483</v>
      </c>
      <c r="N58" s="47" t="str">
        <f>RIGHT(Table1[[#This Row],[IP Address]],LEN(Table1[[#This Row],[IP Address]])-9)</f>
        <v>28</v>
      </c>
      <c r="O58" s="1"/>
      <c r="P58" s="1" t="s">
        <v>4</v>
      </c>
      <c r="Q58" s="49" t="s">
        <v>200</v>
      </c>
      <c r="R58" s="1"/>
      <c r="S58" s="1"/>
      <c r="T58" s="1" t="s">
        <v>5</v>
      </c>
      <c r="U58" t="s">
        <v>75</v>
      </c>
      <c r="V58" s="8">
        <v>41913</v>
      </c>
      <c r="W58" s="8">
        <v>41842</v>
      </c>
      <c r="X58" s="8">
        <v>45473</v>
      </c>
      <c r="Y58" s="8" t="s">
        <v>371</v>
      </c>
      <c r="Z58" s="8">
        <v>44559</v>
      </c>
      <c r="AA58" s="8">
        <v>44923</v>
      </c>
      <c r="AB58" s="8" t="s">
        <v>365</v>
      </c>
      <c r="AC58" s="8" t="s">
        <v>380</v>
      </c>
    </row>
    <row r="59" spans="1:54">
      <c r="A59" s="1" t="s">
        <v>9</v>
      </c>
      <c r="B59" s="1" t="s">
        <v>258</v>
      </c>
      <c r="C59" s="1" t="s">
        <v>256</v>
      </c>
      <c r="D59" s="6" t="s">
        <v>257</v>
      </c>
      <c r="E59" s="11">
        <f>_xlfn.XLOOKUP(Table1[[#This Row],[Serial Number]],Table13[Serial No.],Table13[End Date])</f>
        <v>44923</v>
      </c>
      <c r="F59" s="11">
        <f>_xlfn.XLOOKUP(Table1[[#This Row],[Serial Number]],Table13[Serial No.],Table13[End Date])</f>
        <v>44923</v>
      </c>
      <c r="G59" s="11">
        <f>_xlfn.XLOOKUP(Table1[[#This Row],[Serial Number]],Table13[Serial No.],Table13[Registration Date])</f>
        <v>43434</v>
      </c>
      <c r="H59" s="1"/>
      <c r="I59" s="1" t="s">
        <v>17</v>
      </c>
      <c r="J59" s="1" t="s">
        <v>322</v>
      </c>
      <c r="K59" s="1"/>
      <c r="L59" s="1"/>
      <c r="M59" s="45" t="s">
        <v>92</v>
      </c>
      <c r="N59" s="47" t="str">
        <f>RIGHT(Table1[[#This Row],[IP Address]],LEN(Table1[[#This Row],[IP Address]])-9)</f>
        <v>31</v>
      </c>
      <c r="O59" s="1"/>
      <c r="P59" s="1" t="s">
        <v>4</v>
      </c>
      <c r="Q59" s="49" t="s">
        <v>178</v>
      </c>
      <c r="R59" s="1"/>
      <c r="S59" s="1"/>
      <c r="T59" s="1" t="s">
        <v>5</v>
      </c>
      <c r="U59" t="s">
        <v>108</v>
      </c>
      <c r="V59" t="s">
        <v>358</v>
      </c>
      <c r="W59" s="8">
        <v>43465</v>
      </c>
      <c r="X59" s="8">
        <v>45472</v>
      </c>
      <c r="Y59" s="8" t="s">
        <v>371</v>
      </c>
      <c r="Z59" s="8">
        <v>44559</v>
      </c>
      <c r="AA59" s="8">
        <v>44923</v>
      </c>
      <c r="AB59" s="8" t="s">
        <v>365</v>
      </c>
      <c r="AC59" s="8" t="s">
        <v>380</v>
      </c>
    </row>
    <row r="60" spans="1:54">
      <c r="A60" s="1" t="s">
        <v>139</v>
      </c>
      <c r="B60" s="1" t="s">
        <v>258</v>
      </c>
      <c r="C60" s="1" t="s">
        <v>256</v>
      </c>
      <c r="D60" s="6" t="s">
        <v>257</v>
      </c>
      <c r="E60" s="11">
        <f>_xlfn.XLOOKUP(Table1[[#This Row],[Serial Number]],Table13[Serial No.],Table13[End Date])</f>
        <v>44923</v>
      </c>
      <c r="F60" s="11">
        <f>_xlfn.XLOOKUP(Table1[[#This Row],[Serial Number]],Table13[Serial No.],Table13[End Date])</f>
        <v>44923</v>
      </c>
      <c r="G60" s="11">
        <f>_xlfn.XLOOKUP(Table1[[#This Row],[Serial Number]],Table13[Serial No.],Table13[Registration Date])</f>
        <v>43808</v>
      </c>
      <c r="H60" s="1"/>
      <c r="I60" s="1" t="s">
        <v>140</v>
      </c>
      <c r="J60" s="1" t="s">
        <v>337</v>
      </c>
      <c r="K60" s="1"/>
      <c r="L60" s="1"/>
      <c r="M60" s="45" t="s">
        <v>484</v>
      </c>
      <c r="N60" s="47" t="str">
        <f>RIGHT(Table1[[#This Row],[IP Address]],LEN(Table1[[#This Row],[IP Address]])-9)</f>
        <v>32</v>
      </c>
      <c r="O60" s="1"/>
      <c r="P60" s="1" t="s">
        <v>4</v>
      </c>
      <c r="Q60" s="49" t="s">
        <v>166</v>
      </c>
      <c r="R60" s="1"/>
      <c r="S60" s="1"/>
      <c r="T60" s="1" t="s">
        <v>5</v>
      </c>
      <c r="U60" t="s">
        <v>17</v>
      </c>
      <c r="V60" s="8">
        <v>43434</v>
      </c>
      <c r="W60" s="8">
        <v>43391</v>
      </c>
      <c r="X60" s="8">
        <v>47133</v>
      </c>
      <c r="Y60" s="8" t="s">
        <v>371</v>
      </c>
      <c r="Z60" s="8">
        <v>44559</v>
      </c>
      <c r="AA60" s="8">
        <v>44923</v>
      </c>
      <c r="AB60" s="8" t="s">
        <v>365</v>
      </c>
      <c r="AC60" s="8" t="s">
        <v>381</v>
      </c>
    </row>
    <row r="61" spans="1:54">
      <c r="A61" s="6" t="s">
        <v>433</v>
      </c>
      <c r="B61" s="1" t="s">
        <v>258</v>
      </c>
      <c r="C61" s="1" t="s">
        <v>256</v>
      </c>
      <c r="D61" s="6" t="s">
        <v>257</v>
      </c>
      <c r="E61" s="11">
        <f>_xlfn.XLOOKUP(Table1[[#This Row],[Serial Number]],Table13[Serial No.],Table13[End Date])</f>
        <v>44923</v>
      </c>
      <c r="F61" s="11">
        <f>_xlfn.XLOOKUP(Table1[[#This Row],[Serial Number]],Table13[Serial No.],Table13[End Date])</f>
        <v>44923</v>
      </c>
      <c r="G61" s="11">
        <f>_xlfn.XLOOKUP(Table1[[#This Row],[Serial Number]],Table13[Serial No.],Table13[Registration Date])</f>
        <v>43808</v>
      </c>
      <c r="H61" s="1"/>
      <c r="I61" s="1" t="s">
        <v>129</v>
      </c>
      <c r="J61" s="1" t="s">
        <v>336</v>
      </c>
      <c r="K61" s="1"/>
      <c r="L61" s="1"/>
      <c r="M61" s="45" t="s">
        <v>48</v>
      </c>
      <c r="N61" s="47" t="str">
        <f>RIGHT(Table1[[#This Row],[IP Address]],LEN(Table1[[#This Row],[IP Address]])-9)</f>
        <v>33</v>
      </c>
      <c r="O61" s="1"/>
      <c r="P61" s="1" t="s">
        <v>4</v>
      </c>
      <c r="Q61" s="50" t="s">
        <v>215</v>
      </c>
      <c r="R61" s="1"/>
      <c r="S61" s="1"/>
      <c r="T61" s="1" t="s">
        <v>5</v>
      </c>
      <c r="U61" t="s">
        <v>37</v>
      </c>
      <c r="V61" s="8">
        <v>44206</v>
      </c>
      <c r="W61" s="8">
        <v>44176</v>
      </c>
      <c r="X61" s="8">
        <v>51570</v>
      </c>
      <c r="Y61" s="8" t="s">
        <v>369</v>
      </c>
      <c r="Z61" s="8">
        <v>44208</v>
      </c>
      <c r="AA61" s="8">
        <v>45302</v>
      </c>
      <c r="AB61" s="8" t="s">
        <v>365</v>
      </c>
      <c r="AC61" s="8" t="s">
        <v>382</v>
      </c>
    </row>
    <row r="62" spans="1:54">
      <c r="A62" s="1" t="s">
        <v>82</v>
      </c>
      <c r="B62" s="1" t="s">
        <v>258</v>
      </c>
      <c r="C62" s="1" t="s">
        <v>256</v>
      </c>
      <c r="D62" s="6" t="s">
        <v>257</v>
      </c>
      <c r="E62" s="11">
        <f>_xlfn.XLOOKUP(Table1[[#This Row],[Serial Number]],Table13[Serial No.],Table13[End Date])</f>
        <v>45302</v>
      </c>
      <c r="F62" s="11">
        <f>_xlfn.XLOOKUP(Table1[[#This Row],[Serial Number]],Table13[Serial No.],Table13[End Date])</f>
        <v>45302</v>
      </c>
      <c r="G62" s="11">
        <f>_xlfn.XLOOKUP(Table1[[#This Row],[Serial Number]],Table13[Serial No.],Table13[Registration Date])</f>
        <v>44206</v>
      </c>
      <c r="H62" s="1"/>
      <c r="I62" s="1" t="s">
        <v>83</v>
      </c>
      <c r="J62" s="1" t="s">
        <v>341</v>
      </c>
      <c r="K62" s="1"/>
      <c r="L62" s="1"/>
      <c r="M62" s="45" t="s">
        <v>76</v>
      </c>
      <c r="N62" s="47" t="str">
        <f>RIGHT(Table1[[#This Row],[IP Address]],LEN(Table1[[#This Row],[IP Address]])-9)</f>
        <v>40</v>
      </c>
      <c r="O62" s="1"/>
      <c r="P62" s="1" t="s">
        <v>4</v>
      </c>
      <c r="Q62" s="50" t="s">
        <v>233</v>
      </c>
      <c r="R62" s="1"/>
      <c r="S62" s="1"/>
      <c r="T62" s="1" t="s">
        <v>5</v>
      </c>
      <c r="U62" t="s">
        <v>101</v>
      </c>
      <c r="V62" s="8">
        <v>44206</v>
      </c>
      <c r="W62" s="8">
        <v>44176</v>
      </c>
      <c r="X62" s="8">
        <v>51570</v>
      </c>
      <c r="Y62" s="8" t="s">
        <v>369</v>
      </c>
      <c r="Z62" s="8">
        <v>44208</v>
      </c>
      <c r="AA62" s="8">
        <v>45302</v>
      </c>
      <c r="AB62" s="8" t="s">
        <v>365</v>
      </c>
      <c r="AC62" s="8" t="s">
        <v>382</v>
      </c>
    </row>
    <row r="63" spans="1:54">
      <c r="A63" s="1" t="s">
        <v>109</v>
      </c>
      <c r="B63" s="1" t="s">
        <v>258</v>
      </c>
      <c r="C63" s="1" t="s">
        <v>256</v>
      </c>
      <c r="D63" s="6" t="s">
        <v>257</v>
      </c>
      <c r="E63" s="11">
        <f>_xlfn.XLOOKUP(Table1[[#This Row],[Serial Number]],Table13[Serial No.],Table13[End Date])</f>
        <v>44923</v>
      </c>
      <c r="F63" s="11">
        <f>_xlfn.XLOOKUP(Table1[[#This Row],[Serial Number]],Table13[Serial No.],Table13[End Date])</f>
        <v>44923</v>
      </c>
      <c r="G63" s="11">
        <f>_xlfn.XLOOKUP(Table1[[#This Row],[Serial Number]],Table13[Serial No.],Table13[Registration Date])</f>
        <v>44119</v>
      </c>
      <c r="H63" s="1"/>
      <c r="I63" s="1" t="s">
        <v>110</v>
      </c>
      <c r="J63" s="1" t="s">
        <v>338</v>
      </c>
      <c r="K63" s="1"/>
      <c r="L63" s="1"/>
      <c r="M63" s="45" t="s">
        <v>62</v>
      </c>
      <c r="N63" s="47" t="str">
        <f>RIGHT(Table1[[#This Row],[IP Address]],LEN(Table1[[#This Row],[IP Address]])-9)</f>
        <v>41</v>
      </c>
      <c r="O63" s="1"/>
      <c r="P63" s="1" t="s">
        <v>4</v>
      </c>
      <c r="Q63" s="50" t="s">
        <v>155</v>
      </c>
      <c r="R63" s="1"/>
      <c r="S63" s="1"/>
      <c r="T63" s="1" t="s">
        <v>5</v>
      </c>
      <c r="U63" t="s">
        <v>51</v>
      </c>
      <c r="V63" s="8">
        <v>44206</v>
      </c>
      <c r="W63" s="8">
        <v>44176</v>
      </c>
      <c r="X63" s="8">
        <v>51570</v>
      </c>
      <c r="Y63" s="8" t="s">
        <v>369</v>
      </c>
      <c r="Z63" s="8">
        <v>44208</v>
      </c>
      <c r="AA63" s="8">
        <v>45302</v>
      </c>
      <c r="AB63" s="8" t="s">
        <v>365</v>
      </c>
      <c r="AC63" s="8" t="s">
        <v>382</v>
      </c>
    </row>
    <row r="64" spans="1:54">
      <c r="A64" s="1" t="s">
        <v>12</v>
      </c>
      <c r="B64" s="1" t="s">
        <v>258</v>
      </c>
      <c r="C64" s="1" t="s">
        <v>256</v>
      </c>
      <c r="D64" s="6" t="s">
        <v>257</v>
      </c>
      <c r="E64" s="11">
        <f>_xlfn.XLOOKUP(Table1[[#This Row],[Serial Number]],Table13[Serial No.],Table13[End Date])</f>
        <v>44923</v>
      </c>
      <c r="F64" s="11">
        <f>_xlfn.XLOOKUP(Table1[[#This Row],[Serial Number]],Table13[Serial No.],Table13[End Date])</f>
        <v>44923</v>
      </c>
      <c r="G64" s="11">
        <f>_xlfn.XLOOKUP(Table1[[#This Row],[Serial Number]],Table13[Serial No.],Table13[Registration Date])</f>
        <v>43736</v>
      </c>
      <c r="H64" s="1"/>
      <c r="I64" s="1" t="s">
        <v>238</v>
      </c>
      <c r="J64" s="1" t="s">
        <v>329</v>
      </c>
      <c r="K64" s="1"/>
      <c r="L64" s="1"/>
      <c r="M64" s="45" t="s">
        <v>485</v>
      </c>
      <c r="N64" s="47" t="str">
        <f>RIGHT(Table1[[#This Row],[IP Address]],LEN(Table1[[#This Row],[IP Address]])-9)</f>
        <v>44</v>
      </c>
      <c r="O64" s="1"/>
      <c r="P64" s="1" t="s">
        <v>4</v>
      </c>
      <c r="Q64" s="50" t="s">
        <v>231</v>
      </c>
      <c r="R64" s="1"/>
      <c r="S64" s="1"/>
      <c r="T64" s="1" t="s">
        <v>239</v>
      </c>
      <c r="U64" t="s">
        <v>112</v>
      </c>
      <c r="V64" s="8">
        <v>43433</v>
      </c>
      <c r="W64" s="8">
        <v>43338</v>
      </c>
      <c r="X64" s="8">
        <v>47080</v>
      </c>
      <c r="Y64" s="8" t="s">
        <v>371</v>
      </c>
      <c r="Z64" s="8">
        <v>44559</v>
      </c>
      <c r="AA64" s="8">
        <v>44923</v>
      </c>
      <c r="AB64" s="8" t="s">
        <v>365</v>
      </c>
      <c r="AC64" s="8" t="s">
        <v>383</v>
      </c>
    </row>
    <row r="65" spans="1:29">
      <c r="A65" s="1" t="s">
        <v>22</v>
      </c>
      <c r="B65" s="1" t="s">
        <v>258</v>
      </c>
      <c r="C65" s="1" t="s">
        <v>256</v>
      </c>
      <c r="D65" s="6" t="s">
        <v>257</v>
      </c>
      <c r="E65" s="11">
        <f>_xlfn.XLOOKUP(Table1[[#This Row],[Serial Number]],Table13[Serial No.],Table13[End Date])</f>
        <v>44834</v>
      </c>
      <c r="F65" s="11">
        <f>_xlfn.XLOOKUP(Table1[[#This Row],[Serial Number]],Table13[Serial No.],Table13[End Date])</f>
        <v>44834</v>
      </c>
      <c r="G65" s="11">
        <f>_xlfn.XLOOKUP(Table1[[#This Row],[Serial Number]],Table13[Serial No.],Table13[Registration Date])</f>
        <v>44469</v>
      </c>
      <c r="H65" s="1"/>
      <c r="I65" s="1" t="s">
        <v>151</v>
      </c>
      <c r="J65" s="1" t="s">
        <v>350</v>
      </c>
      <c r="K65" s="1"/>
      <c r="L65" s="1"/>
      <c r="M65" s="45" t="s">
        <v>71</v>
      </c>
      <c r="N65" s="47" t="str">
        <f>RIGHT(Table1[[#This Row],[IP Address]],LEN(Table1[[#This Row],[IP Address]])-9)</f>
        <v>61</v>
      </c>
      <c r="O65" s="1"/>
      <c r="P65" s="1" t="s">
        <v>4</v>
      </c>
      <c r="Q65" s="49" t="s">
        <v>212</v>
      </c>
      <c r="R65" s="1"/>
      <c r="S65" s="1"/>
      <c r="T65" s="1" t="s">
        <v>5</v>
      </c>
      <c r="U65" t="s">
        <v>120</v>
      </c>
      <c r="V65" s="8">
        <v>43433</v>
      </c>
      <c r="W65" s="8">
        <v>43338</v>
      </c>
      <c r="X65" s="8">
        <v>47080</v>
      </c>
      <c r="Y65" s="8" t="s">
        <v>371</v>
      </c>
      <c r="Z65" s="8">
        <v>44559</v>
      </c>
      <c r="AA65" s="8">
        <v>44923</v>
      </c>
      <c r="AB65" s="8" t="s">
        <v>365</v>
      </c>
      <c r="AC65" s="8" t="s">
        <v>383</v>
      </c>
    </row>
    <row r="66" spans="1:29">
      <c r="A66" s="1" t="s">
        <v>16</v>
      </c>
      <c r="B66" s="1" t="s">
        <v>258</v>
      </c>
      <c r="C66" s="1" t="s">
        <v>256</v>
      </c>
      <c r="D66" s="6" t="s">
        <v>257</v>
      </c>
      <c r="E66" s="11">
        <f>_xlfn.XLOOKUP(Table1[[#This Row],[Serial Number]],Table13[Serial No.],Table13[End Date])</f>
        <v>45302</v>
      </c>
      <c r="F66" s="11">
        <f>_xlfn.XLOOKUP(Table1[[#This Row],[Serial Number]],Table13[Serial No.],Table13[End Date])</f>
        <v>45302</v>
      </c>
      <c r="G66" s="11">
        <f>_xlfn.XLOOKUP(Table1[[#This Row],[Serial Number]],Table13[Serial No.],Table13[Registration Date])</f>
        <v>44209</v>
      </c>
      <c r="H66" s="1"/>
      <c r="I66" s="1" t="s">
        <v>240</v>
      </c>
      <c r="J66" s="1" t="s">
        <v>333</v>
      </c>
      <c r="K66" s="1"/>
      <c r="L66" s="1"/>
      <c r="M66" s="45" t="s">
        <v>431</v>
      </c>
      <c r="N66" s="47" t="str">
        <f>RIGHT(Table1[[#This Row],[IP Address]],LEN(Table1[[#This Row],[IP Address]])-9)</f>
        <v>64</v>
      </c>
      <c r="O66" s="1"/>
      <c r="P66" s="1" t="s">
        <v>4</v>
      </c>
      <c r="Q66" s="50" t="s">
        <v>179</v>
      </c>
      <c r="R66" s="1"/>
      <c r="S66" s="1"/>
      <c r="T66" s="1" t="s">
        <v>241</v>
      </c>
      <c r="U66" t="s">
        <v>32</v>
      </c>
      <c r="V66" s="8">
        <v>43433</v>
      </c>
      <c r="W66" s="8">
        <v>43338</v>
      </c>
      <c r="X66" s="8">
        <v>47080</v>
      </c>
      <c r="Y66" s="8" t="s">
        <v>371</v>
      </c>
      <c r="Z66" s="8">
        <v>44559</v>
      </c>
      <c r="AA66" s="8">
        <v>44923</v>
      </c>
      <c r="AB66" s="8" t="s">
        <v>365</v>
      </c>
      <c r="AC66" s="8" t="s">
        <v>383</v>
      </c>
    </row>
    <row r="67" spans="1:29">
      <c r="A67" s="1" t="s">
        <v>31</v>
      </c>
      <c r="B67" s="1" t="s">
        <v>258</v>
      </c>
      <c r="C67" s="1" t="s">
        <v>256</v>
      </c>
      <c r="D67" s="6" t="s">
        <v>257</v>
      </c>
      <c r="E67" s="11">
        <f>_xlfn.XLOOKUP(Table1[[#This Row],[Serial Number]],Table13[Serial No.],Table13[End Date])</f>
        <v>44923</v>
      </c>
      <c r="F67" s="11">
        <f>_xlfn.XLOOKUP(Table1[[#This Row],[Serial Number]],Table13[Serial No.],Table13[End Date])</f>
        <v>44923</v>
      </c>
      <c r="G67" s="11">
        <f>_xlfn.XLOOKUP(Table1[[#This Row],[Serial Number]],Table13[Serial No.],Table13[Registration Date])</f>
        <v>43433</v>
      </c>
      <c r="H67" s="1"/>
      <c r="I67" s="1" t="s">
        <v>32</v>
      </c>
      <c r="J67" s="1" t="s">
        <v>328</v>
      </c>
      <c r="K67" s="1"/>
      <c r="L67" s="1"/>
      <c r="M67" s="45" t="s">
        <v>33</v>
      </c>
      <c r="N67" s="47" t="str">
        <f>RIGHT(Table1[[#This Row],[IP Address]],LEN(Table1[[#This Row],[IP Address]])-9)</f>
        <v>71</v>
      </c>
      <c r="O67" s="1"/>
      <c r="P67" s="1" t="s">
        <v>4</v>
      </c>
      <c r="Q67" s="49" t="s">
        <v>170</v>
      </c>
      <c r="R67" s="1"/>
      <c r="S67" s="1"/>
      <c r="T67" s="1" t="s">
        <v>5</v>
      </c>
      <c r="U67" t="s">
        <v>238</v>
      </c>
      <c r="V67" s="8">
        <v>43736</v>
      </c>
      <c r="W67" s="8">
        <v>43698</v>
      </c>
      <c r="X67" s="8">
        <v>47440</v>
      </c>
      <c r="Y67" s="8" t="s">
        <v>371</v>
      </c>
      <c r="Z67" s="8">
        <v>44559</v>
      </c>
      <c r="AA67" s="8">
        <v>44923</v>
      </c>
      <c r="AB67" s="8" t="s">
        <v>365</v>
      </c>
      <c r="AC67" s="8" t="s">
        <v>383</v>
      </c>
    </row>
    <row r="68" spans="1:29">
      <c r="A68" s="1" t="s">
        <v>69</v>
      </c>
      <c r="B68" s="1" t="s">
        <v>258</v>
      </c>
      <c r="C68" s="1" t="s">
        <v>256</v>
      </c>
      <c r="D68" s="6" t="s">
        <v>257</v>
      </c>
      <c r="E68" s="11">
        <f>_xlfn.XLOOKUP(Table1[[#This Row],[Serial Number]],Table13[Serial No.],Table13[End Date])</f>
        <v>44191</v>
      </c>
      <c r="F68" s="11">
        <f>_xlfn.XLOOKUP(Table1[[#This Row],[Serial Number]],Table13[Serial No.],Table13[End Date])</f>
        <v>44191</v>
      </c>
      <c r="G68" s="11">
        <f>_xlfn.XLOOKUP(Table1[[#This Row],[Serial Number]],Table13[Serial No.],Table13[Registration Date])</f>
        <v>42341</v>
      </c>
      <c r="H68" s="1"/>
      <c r="I68" s="1" t="s">
        <v>70</v>
      </c>
      <c r="J68" s="1" t="s">
        <v>268</v>
      </c>
      <c r="K68" s="1"/>
      <c r="L68" s="1"/>
      <c r="M68" s="45" t="s">
        <v>54</v>
      </c>
      <c r="N68" s="47" t="str">
        <f>RIGHT(Table1[[#This Row],[IP Address]],LEN(Table1[[#This Row],[IP Address]])-9)</f>
        <v>91</v>
      </c>
      <c r="O68" s="1"/>
      <c r="P68" s="1" t="s">
        <v>4</v>
      </c>
      <c r="Q68" s="50" t="s">
        <v>219</v>
      </c>
      <c r="R68" s="1"/>
      <c r="S68" s="1"/>
      <c r="T68" s="1" t="s">
        <v>5</v>
      </c>
      <c r="U68" t="s">
        <v>146</v>
      </c>
      <c r="V68" s="8">
        <v>43546</v>
      </c>
      <c r="W68" s="8">
        <v>43502</v>
      </c>
      <c r="X68" s="8">
        <v>47244</v>
      </c>
      <c r="Y68" s="8" t="s">
        <v>371</v>
      </c>
      <c r="Z68" s="8">
        <v>44559</v>
      </c>
      <c r="AA68" s="8">
        <v>44923</v>
      </c>
      <c r="AB68" s="8" t="s">
        <v>365</v>
      </c>
      <c r="AC68" s="8" t="s">
        <v>383</v>
      </c>
    </row>
    <row r="69" spans="1:29">
      <c r="A69" s="1" t="s">
        <v>123</v>
      </c>
      <c r="B69" s="1" t="s">
        <v>258</v>
      </c>
      <c r="C69" s="1" t="s">
        <v>256</v>
      </c>
      <c r="D69" s="6" t="s">
        <v>257</v>
      </c>
      <c r="E69" s="11">
        <f>_xlfn.XLOOKUP(Table1[[#This Row],[Serial Number]],Table13[Serial No.],Table13[End Date])</f>
        <v>45302</v>
      </c>
      <c r="F69" s="11">
        <f>_xlfn.XLOOKUP(Table1[[#This Row],[Serial Number]],Table13[Serial No.],Table13[End Date])</f>
        <v>45302</v>
      </c>
      <c r="G69" s="11">
        <f>_xlfn.XLOOKUP(Table1[[#This Row],[Serial Number]],Table13[Serial No.],Table13[Registration Date])</f>
        <v>44206</v>
      </c>
      <c r="H69" s="1"/>
      <c r="I69" s="1" t="s">
        <v>124</v>
      </c>
      <c r="J69" s="1" t="s">
        <v>340</v>
      </c>
      <c r="K69" s="1"/>
      <c r="L69" s="1"/>
      <c r="M69" s="45" t="s">
        <v>40</v>
      </c>
      <c r="N69" s="47" t="str">
        <f>RIGHT(Table1[[#This Row],[IP Address]],LEN(Table1[[#This Row],[IP Address]])-9)</f>
        <v>92</v>
      </c>
      <c r="O69" s="1"/>
      <c r="P69" s="1" t="s">
        <v>4</v>
      </c>
      <c r="Q69" s="49" t="s">
        <v>182</v>
      </c>
      <c r="R69" s="1"/>
      <c r="S69" s="1"/>
      <c r="T69" s="1" t="s">
        <v>5</v>
      </c>
      <c r="U69" t="s">
        <v>85</v>
      </c>
      <c r="V69" s="8">
        <v>44209</v>
      </c>
      <c r="W69" s="8">
        <v>44202</v>
      </c>
      <c r="X69" s="8">
        <v>51596</v>
      </c>
      <c r="Y69" s="8" t="s">
        <v>369</v>
      </c>
      <c r="Z69" s="8">
        <v>44208</v>
      </c>
      <c r="AA69" s="8">
        <v>45302</v>
      </c>
      <c r="AB69" s="8" t="s">
        <v>365</v>
      </c>
      <c r="AC69" s="8" t="s">
        <v>384</v>
      </c>
    </row>
    <row r="70" spans="1:29">
      <c r="A70" s="1" t="s">
        <v>121</v>
      </c>
      <c r="B70" s="1" t="s">
        <v>258</v>
      </c>
      <c r="C70" s="1" t="s">
        <v>256</v>
      </c>
      <c r="D70" s="6" t="s">
        <v>257</v>
      </c>
      <c r="E70" s="11">
        <f>_xlfn.XLOOKUP(Table1[[#This Row],[Serial Number]],Table13[Serial No.],Table13[End Date])</f>
        <v>45302</v>
      </c>
      <c r="F70" s="11">
        <f>_xlfn.XLOOKUP(Table1[[#This Row],[Serial Number]],Table13[Serial No.],Table13[End Date])</f>
        <v>45302</v>
      </c>
      <c r="G70" s="11">
        <f>_xlfn.XLOOKUP(Table1[[#This Row],[Serial Number]],Table13[Serial No.],Table13[Registration Date])</f>
        <v>44206</v>
      </c>
      <c r="H70" s="1"/>
      <c r="I70" s="1" t="s">
        <v>122</v>
      </c>
      <c r="J70" s="1" t="s">
        <v>344</v>
      </c>
      <c r="K70" s="1"/>
      <c r="L70" s="1"/>
      <c r="M70" s="45" t="s">
        <v>486</v>
      </c>
      <c r="N70" s="47" t="str">
        <f>RIGHT(Table1[[#This Row],[IP Address]],LEN(Table1[[#This Row],[IP Address]])-9)</f>
        <v>93</v>
      </c>
      <c r="O70" s="1"/>
      <c r="P70" s="1" t="s">
        <v>4</v>
      </c>
      <c r="Q70" s="49" t="s">
        <v>194</v>
      </c>
      <c r="R70" s="1"/>
      <c r="S70" s="1"/>
      <c r="T70" s="1" t="s">
        <v>5</v>
      </c>
      <c r="U70" t="s">
        <v>240</v>
      </c>
      <c r="V70" s="8">
        <v>44209</v>
      </c>
      <c r="W70" s="8">
        <v>44202</v>
      </c>
      <c r="X70" s="8">
        <v>51596</v>
      </c>
      <c r="Y70" s="8" t="s">
        <v>369</v>
      </c>
      <c r="Z70" s="8">
        <v>44208</v>
      </c>
      <c r="AA70" s="8">
        <v>45302</v>
      </c>
      <c r="AB70" s="8" t="s">
        <v>365</v>
      </c>
      <c r="AC70" s="8" t="s">
        <v>384</v>
      </c>
    </row>
    <row r="71" spans="1:29">
      <c r="A71" s="1" t="s">
        <v>113</v>
      </c>
      <c r="B71" s="1" t="s">
        <v>258</v>
      </c>
      <c r="C71" s="1" t="s">
        <v>256</v>
      </c>
      <c r="D71" s="6" t="s">
        <v>257</v>
      </c>
      <c r="E71" s="11">
        <f>_xlfn.XLOOKUP(Table1[[#This Row],[Serial Number]],Table13[Serial No.],Table13[End Date])</f>
        <v>45302</v>
      </c>
      <c r="F71" s="11">
        <f>_xlfn.XLOOKUP(Table1[[#This Row],[Serial Number]],Table13[Serial No.],Table13[End Date])</f>
        <v>45302</v>
      </c>
      <c r="G71" s="11">
        <f>_xlfn.XLOOKUP(Table1[[#This Row],[Serial Number]],Table13[Serial No.],Table13[Registration Date])</f>
        <v>44206</v>
      </c>
      <c r="H71" s="1"/>
      <c r="I71" s="1" t="s">
        <v>150</v>
      </c>
      <c r="J71" s="1" t="s">
        <v>343</v>
      </c>
      <c r="K71" s="1"/>
      <c r="L71" s="1"/>
      <c r="M71" s="45" t="s">
        <v>87</v>
      </c>
      <c r="N71" s="47" t="str">
        <f>RIGHT(Table1[[#This Row],[IP Address]],LEN(Table1[[#This Row],[IP Address]])-9)</f>
        <v>94</v>
      </c>
      <c r="O71" s="1"/>
      <c r="P71" s="1" t="s">
        <v>4</v>
      </c>
      <c r="Q71" s="50" t="s">
        <v>163</v>
      </c>
      <c r="R71" s="1"/>
      <c r="S71" s="1"/>
      <c r="T71" s="1" t="s">
        <v>265</v>
      </c>
      <c r="U71" t="s">
        <v>24</v>
      </c>
      <c r="V71" s="8">
        <v>43584</v>
      </c>
      <c r="W71" s="8">
        <v>43584</v>
      </c>
      <c r="X71" s="8">
        <v>47079</v>
      </c>
      <c r="Y71" s="8" t="s">
        <v>371</v>
      </c>
      <c r="Z71" s="8">
        <v>44559</v>
      </c>
      <c r="AA71" s="8">
        <v>44923</v>
      </c>
      <c r="AB71" s="8" t="s">
        <v>365</v>
      </c>
      <c r="AC71" s="8" t="s">
        <v>383</v>
      </c>
    </row>
    <row r="72" spans="1:29">
      <c r="A72" s="1" t="s">
        <v>27</v>
      </c>
      <c r="B72" s="1" t="s">
        <v>258</v>
      </c>
      <c r="C72" s="1" t="s">
        <v>256</v>
      </c>
      <c r="D72" s="6" t="s">
        <v>257</v>
      </c>
      <c r="E72" s="11">
        <f>_xlfn.XLOOKUP(Table1[[#This Row],[Serial Number]],Table13[Serial No.],Table13[End Date])</f>
        <v>45302</v>
      </c>
      <c r="F72" s="11">
        <f>_xlfn.XLOOKUP(Table1[[#This Row],[Serial Number]],Table13[Serial No.],Table13[End Date])</f>
        <v>45302</v>
      </c>
      <c r="G72" s="11">
        <f>_xlfn.XLOOKUP(Table1[[#This Row],[Serial Number]],Table13[Serial No.],Table13[Registration Date])</f>
        <v>44209</v>
      </c>
      <c r="H72" s="1"/>
      <c r="I72" s="1" t="s">
        <v>28</v>
      </c>
      <c r="J72" s="1" t="s">
        <v>349</v>
      </c>
      <c r="K72" s="1"/>
      <c r="L72" s="1"/>
      <c r="M72" s="45" t="s">
        <v>487</v>
      </c>
      <c r="N72" s="47" t="str">
        <f>RIGHT(Table1[[#This Row],[IP Address]],LEN(Table1[[#This Row],[IP Address]])-9)</f>
        <v>96</v>
      </c>
      <c r="O72" s="1"/>
      <c r="P72" s="1" t="s">
        <v>4</v>
      </c>
      <c r="Q72" s="50" t="s">
        <v>169</v>
      </c>
      <c r="R72" s="1"/>
      <c r="S72" s="1"/>
      <c r="T72" s="1" t="s">
        <v>5</v>
      </c>
      <c r="U72" t="s">
        <v>98</v>
      </c>
      <c r="V72" s="8">
        <v>43808</v>
      </c>
      <c r="W72" s="8">
        <v>43704</v>
      </c>
      <c r="X72" s="8">
        <v>47446</v>
      </c>
      <c r="Y72" s="8" t="s">
        <v>371</v>
      </c>
      <c r="Z72" s="8">
        <v>44559</v>
      </c>
      <c r="AA72" s="8">
        <v>44923</v>
      </c>
      <c r="AB72" s="8" t="s">
        <v>365</v>
      </c>
      <c r="AC72" s="8" t="s">
        <v>383</v>
      </c>
    </row>
    <row r="73" spans="1:29">
      <c r="A73" s="1" t="s">
        <v>95</v>
      </c>
      <c r="B73" s="1" t="s">
        <v>258</v>
      </c>
      <c r="C73" s="1" t="s">
        <v>256</v>
      </c>
      <c r="D73" s="6" t="s">
        <v>257</v>
      </c>
      <c r="E73" s="11">
        <f>_xlfn.XLOOKUP(Table1[[#This Row],[Serial Number]],Table13[Serial No.],Table13[End Date])</f>
        <v>44191</v>
      </c>
      <c r="F73" s="11">
        <f>_xlfn.XLOOKUP(Table1[[#This Row],[Serial Number]],Table13[Serial No.],Table13[End Date])</f>
        <v>44191</v>
      </c>
      <c r="G73" s="11">
        <f>_xlfn.XLOOKUP(Table1[[#This Row],[Serial Number]],Table13[Serial No.],Table13[Registration Date])</f>
        <v>43546</v>
      </c>
      <c r="H73" s="1"/>
      <c r="I73" s="1" t="s">
        <v>96</v>
      </c>
      <c r="J73" s="1" t="s">
        <v>331</v>
      </c>
      <c r="K73" s="1"/>
      <c r="L73" s="1"/>
      <c r="M73" s="45" t="s">
        <v>488</v>
      </c>
      <c r="N73" s="47" t="str">
        <f>RIGHT(Table1[[#This Row],[IP Address]],LEN(Table1[[#This Row],[IP Address]])-9)</f>
        <v>97</v>
      </c>
      <c r="O73" s="1"/>
      <c r="P73" s="1" t="s">
        <v>4</v>
      </c>
      <c r="Q73" s="49" t="s">
        <v>164</v>
      </c>
      <c r="R73" s="1"/>
      <c r="S73" s="1"/>
      <c r="T73" s="1" t="s">
        <v>5</v>
      </c>
      <c r="U73" t="s">
        <v>129</v>
      </c>
      <c r="V73" s="8">
        <v>43808</v>
      </c>
      <c r="W73" s="8">
        <v>43704</v>
      </c>
      <c r="X73" s="8">
        <v>47446</v>
      </c>
      <c r="Y73" s="8" t="s">
        <v>371</v>
      </c>
      <c r="Z73" s="8">
        <v>44559</v>
      </c>
      <c r="AA73" s="8">
        <v>44923</v>
      </c>
      <c r="AB73" s="8" t="s">
        <v>365</v>
      </c>
      <c r="AC73" s="8" t="s">
        <v>383</v>
      </c>
    </row>
    <row r="74" spans="1:29">
      <c r="A74" s="1" t="s">
        <v>57</v>
      </c>
      <c r="B74" s="1" t="s">
        <v>258</v>
      </c>
      <c r="C74" s="1" t="s">
        <v>256</v>
      </c>
      <c r="D74" s="6" t="s">
        <v>257</v>
      </c>
      <c r="E74" s="11">
        <f>_xlfn.XLOOKUP(Table1[[#This Row],[Serial Number]],Table13[Serial No.],Table13[End Date])</f>
        <v>45302</v>
      </c>
      <c r="F74" s="11">
        <f>_xlfn.XLOOKUP(Table1[[#This Row],[Serial Number]],Table13[Serial No.],Table13[End Date])</f>
        <v>45302</v>
      </c>
      <c r="G74" s="11">
        <f>_xlfn.XLOOKUP(Table1[[#This Row],[Serial Number]],Table13[Serial No.],Table13[Registration Date])</f>
        <v>44209</v>
      </c>
      <c r="H74" s="1"/>
      <c r="I74" s="1" t="s">
        <v>58</v>
      </c>
      <c r="J74" s="1" t="s">
        <v>348</v>
      </c>
      <c r="K74" s="1"/>
      <c r="L74" s="1"/>
      <c r="M74" s="45" t="s">
        <v>42</v>
      </c>
      <c r="N74" s="47" t="str">
        <f>RIGHT(Table1[[#This Row],[IP Address]],LEN(Table1[[#This Row],[IP Address]])-9)</f>
        <v>128</v>
      </c>
      <c r="O74" s="1"/>
      <c r="P74" s="1" t="s">
        <v>4</v>
      </c>
      <c r="Q74" s="49" t="s">
        <v>202</v>
      </c>
      <c r="R74" s="1"/>
      <c r="S74" s="1"/>
      <c r="T74" s="1" t="s">
        <v>5</v>
      </c>
      <c r="U74" t="s">
        <v>140</v>
      </c>
      <c r="V74" s="8">
        <v>43808</v>
      </c>
      <c r="W74" s="8">
        <v>43704</v>
      </c>
      <c r="X74" s="8">
        <v>47446</v>
      </c>
      <c r="Y74" s="8" t="s">
        <v>371</v>
      </c>
      <c r="Z74" s="8">
        <v>44559</v>
      </c>
      <c r="AA74" s="8">
        <v>44923</v>
      </c>
      <c r="AB74" s="8" t="s">
        <v>365</v>
      </c>
      <c r="AC74" s="8" t="s">
        <v>383</v>
      </c>
    </row>
    <row r="75" spans="1:29">
      <c r="A75" s="1" t="s">
        <v>9</v>
      </c>
      <c r="B75" s="1" t="s">
        <v>258</v>
      </c>
      <c r="C75" s="1" t="s">
        <v>256</v>
      </c>
      <c r="D75" s="6" t="s">
        <v>257</v>
      </c>
      <c r="E75" s="11">
        <f>_xlfn.XLOOKUP(Table1[[#This Row],[Serial Number]],Table13[Serial No.],Table13[End Date])</f>
        <v>44191</v>
      </c>
      <c r="F75" s="11">
        <f>_xlfn.XLOOKUP(Table1[[#This Row],[Serial Number]],Table13[Serial No.],Table13[End Date])</f>
        <v>44191</v>
      </c>
      <c r="G75" s="11" t="str">
        <f>_xlfn.XLOOKUP(Table1[[#This Row],[Serial Number]],Table13[Serial No.],Table13[Registration Date])</f>
        <v>N/A</v>
      </c>
      <c r="H75" s="1"/>
      <c r="I75" s="1" t="s">
        <v>10</v>
      </c>
      <c r="J75" s="1" t="s">
        <v>320</v>
      </c>
      <c r="K75" s="1"/>
      <c r="L75" s="1"/>
      <c r="M75" s="45" t="s">
        <v>92</v>
      </c>
      <c r="N75" s="47" t="str">
        <f>RIGHT(Table1[[#This Row],[IP Address]],LEN(Table1[[#This Row],[IP Address]])-9)</f>
        <v>31</v>
      </c>
      <c r="O75" s="1"/>
      <c r="P75" s="1" t="s">
        <v>4</v>
      </c>
      <c r="Q75" s="50" t="s">
        <v>177</v>
      </c>
      <c r="R75" s="1"/>
      <c r="S75" s="1"/>
      <c r="T75" s="1" t="s">
        <v>5</v>
      </c>
      <c r="U75" t="s">
        <v>110</v>
      </c>
      <c r="V75" s="8">
        <v>44119</v>
      </c>
      <c r="W75" s="8">
        <v>44082</v>
      </c>
      <c r="X75" s="8">
        <v>47823</v>
      </c>
      <c r="Y75" s="8" t="s">
        <v>371</v>
      </c>
      <c r="Z75" s="8">
        <v>44559</v>
      </c>
      <c r="AA75" s="8">
        <v>44923</v>
      </c>
      <c r="AB75" s="8" t="s">
        <v>365</v>
      </c>
      <c r="AC75" s="8" t="s">
        <v>383</v>
      </c>
    </row>
    <row r="76" spans="1:29">
      <c r="A76" s="1" t="s">
        <v>97</v>
      </c>
      <c r="B76" s="1" t="s">
        <v>258</v>
      </c>
      <c r="C76" s="1" t="s">
        <v>256</v>
      </c>
      <c r="D76" s="6" t="s">
        <v>257</v>
      </c>
      <c r="E76" s="11">
        <f>_xlfn.XLOOKUP(Table1[[#This Row],[Serial Number]],Table13[Serial No.],Table13[End Date])</f>
        <v>44923</v>
      </c>
      <c r="F76" s="11">
        <f>_xlfn.XLOOKUP(Table1[[#This Row],[Serial Number]],Table13[Serial No.],Table13[End Date])</f>
        <v>44923</v>
      </c>
      <c r="G76" s="11">
        <f>_xlfn.XLOOKUP(Table1[[#This Row],[Serial Number]],Table13[Serial No.],Table13[Registration Date])</f>
        <v>43808</v>
      </c>
      <c r="H76" s="1"/>
      <c r="I76" s="1" t="s">
        <v>98</v>
      </c>
      <c r="J76" s="1" t="s">
        <v>335</v>
      </c>
      <c r="K76" s="1"/>
      <c r="L76" s="1"/>
      <c r="M76" s="45" t="s">
        <v>484</v>
      </c>
      <c r="N76" s="47" t="str">
        <f>RIGHT(Table1[[#This Row],[IP Address]],LEN(Table1[[#This Row],[IP Address]])-9)</f>
        <v>32</v>
      </c>
      <c r="O76" s="1"/>
      <c r="P76" s="1" t="s">
        <v>4</v>
      </c>
      <c r="Q76" s="50" t="s">
        <v>167</v>
      </c>
      <c r="R76" s="1"/>
      <c r="S76" s="1"/>
      <c r="T76" s="1" t="s">
        <v>5</v>
      </c>
      <c r="U76" t="s">
        <v>131</v>
      </c>
      <c r="V76" s="8">
        <v>44206</v>
      </c>
      <c r="W76" s="8">
        <v>44168</v>
      </c>
      <c r="X76" s="8">
        <v>51562</v>
      </c>
      <c r="Y76" s="8" t="s">
        <v>369</v>
      </c>
      <c r="Z76" s="8">
        <v>44208</v>
      </c>
      <c r="AA76" s="8">
        <v>45302</v>
      </c>
      <c r="AB76" s="8" t="s">
        <v>365</v>
      </c>
      <c r="AC76" s="8" t="s">
        <v>384</v>
      </c>
    </row>
    <row r="77" spans="1:29">
      <c r="A77" s="1" t="s">
        <v>78</v>
      </c>
      <c r="B77" s="1" t="s">
        <v>258</v>
      </c>
      <c r="C77" s="1" t="s">
        <v>256</v>
      </c>
      <c r="D77" s="6" t="s">
        <v>257</v>
      </c>
      <c r="E77" s="11">
        <f>_xlfn.XLOOKUP(Table1[[#This Row],[Serial Number]],Table13[Serial No.],Table13[End Date])</f>
        <v>45302</v>
      </c>
      <c r="F77" s="11">
        <f>_xlfn.XLOOKUP(Table1[[#This Row],[Serial Number]],Table13[Serial No.],Table13[End Date])</f>
        <v>45302</v>
      </c>
      <c r="G77" s="11">
        <f>_xlfn.XLOOKUP(Table1[[#This Row],[Serial Number]],Table13[Serial No.],Table13[Registration Date])</f>
        <v>44206</v>
      </c>
      <c r="H77" s="1"/>
      <c r="I77" s="1" t="s">
        <v>79</v>
      </c>
      <c r="J77" s="1" t="s">
        <v>345</v>
      </c>
      <c r="K77" s="1"/>
      <c r="L77" s="1"/>
      <c r="M77" s="45" t="s">
        <v>76</v>
      </c>
      <c r="N77" s="47" t="str">
        <f>RIGHT(Table1[[#This Row],[IP Address]],LEN(Table1[[#This Row],[IP Address]])-9)</f>
        <v>40</v>
      </c>
      <c r="O77" s="1"/>
      <c r="P77" s="1" t="s">
        <v>4</v>
      </c>
      <c r="Q77" s="49" t="s">
        <v>234</v>
      </c>
      <c r="R77" s="1"/>
      <c r="S77" s="1"/>
      <c r="T77" s="1" t="s">
        <v>5</v>
      </c>
      <c r="U77" t="s">
        <v>124</v>
      </c>
      <c r="V77" s="8">
        <v>44206</v>
      </c>
      <c r="W77" s="8">
        <v>44168</v>
      </c>
      <c r="X77" s="8">
        <v>51562</v>
      </c>
      <c r="Y77" s="8" t="s">
        <v>369</v>
      </c>
      <c r="Z77" s="8">
        <v>44208</v>
      </c>
      <c r="AA77" s="8">
        <v>45302</v>
      </c>
      <c r="AB77" s="8" t="s">
        <v>365</v>
      </c>
      <c r="AC77" s="8" t="s">
        <v>384</v>
      </c>
    </row>
    <row r="78" spans="1:29">
      <c r="A78" s="6" t="s">
        <v>434</v>
      </c>
      <c r="B78" s="1" t="s">
        <v>258</v>
      </c>
      <c r="C78" s="1" t="s">
        <v>256</v>
      </c>
      <c r="D78" s="6" t="s">
        <v>257</v>
      </c>
      <c r="E78" s="11">
        <f>_xlfn.XLOOKUP(Table1[[#This Row],[Serial Number]],Table13[Serial No.],Table13[End Date])</f>
        <v>45302</v>
      </c>
      <c r="F78" s="11">
        <f>_xlfn.XLOOKUP(Table1[[#This Row],[Serial Number]],Table13[Serial No.],Table13[End Date])</f>
        <v>45302</v>
      </c>
      <c r="G78" s="11">
        <f>_xlfn.XLOOKUP(Table1[[#This Row],[Serial Number]],Table13[Serial No.],Table13[Registration Date])</f>
        <v>44206</v>
      </c>
      <c r="H78" s="1"/>
      <c r="I78" s="1" t="s">
        <v>101</v>
      </c>
      <c r="J78" s="1" t="s">
        <v>324</v>
      </c>
      <c r="K78" s="1"/>
      <c r="L78" s="1"/>
      <c r="M78" s="45" t="s">
        <v>62</v>
      </c>
      <c r="N78" s="47" t="str">
        <f>RIGHT(Table1[[#This Row],[IP Address]],LEN(Table1[[#This Row],[IP Address]])-9)</f>
        <v>41</v>
      </c>
      <c r="O78" s="1"/>
      <c r="P78" s="1" t="s">
        <v>4</v>
      </c>
      <c r="Q78" s="49" t="s">
        <v>100</v>
      </c>
      <c r="R78" s="1"/>
      <c r="S78" s="1"/>
      <c r="T78" s="1" t="s">
        <v>5</v>
      </c>
      <c r="U78" t="s">
        <v>83</v>
      </c>
      <c r="V78" s="8">
        <v>44206</v>
      </c>
      <c r="W78" s="8">
        <v>44168</v>
      </c>
      <c r="X78" s="8">
        <v>51562</v>
      </c>
      <c r="Y78" s="8" t="s">
        <v>369</v>
      </c>
      <c r="Z78" s="8">
        <v>44208</v>
      </c>
      <c r="AA78" s="8">
        <v>45302</v>
      </c>
      <c r="AB78" s="8" t="s">
        <v>365</v>
      </c>
      <c r="AC78" s="8" t="s">
        <v>384</v>
      </c>
    </row>
    <row r="79" spans="1:29">
      <c r="A79" s="1" t="s">
        <v>14</v>
      </c>
      <c r="B79" s="1" t="s">
        <v>258</v>
      </c>
      <c r="C79" s="1" t="s">
        <v>256</v>
      </c>
      <c r="D79" s="6" t="s">
        <v>257</v>
      </c>
      <c r="E79" s="11">
        <f>_xlfn.XLOOKUP(Table1[[#This Row],[Serial Number]],Table13[Serial No.],Table13[End Date])</f>
        <v>44191</v>
      </c>
      <c r="F79" s="11">
        <f>_xlfn.XLOOKUP(Table1[[#This Row],[Serial Number]],Table13[Serial No.],Table13[End Date])</f>
        <v>44191</v>
      </c>
      <c r="G79" s="11">
        <f>_xlfn.XLOOKUP(Table1[[#This Row],[Serial Number]],Table13[Serial No.],Table13[Registration Date])</f>
        <v>42022</v>
      </c>
      <c r="H79" s="1"/>
      <c r="I79" s="6" t="s">
        <v>15</v>
      </c>
      <c r="J79" s="1" t="s">
        <v>267</v>
      </c>
      <c r="K79" s="1"/>
      <c r="L79" s="1"/>
      <c r="M79" s="45" t="s">
        <v>54</v>
      </c>
      <c r="N79" s="47" t="str">
        <f>RIGHT(Table1[[#This Row],[IP Address]],LEN(Table1[[#This Row],[IP Address]])-9)</f>
        <v>91</v>
      </c>
      <c r="O79" s="1"/>
      <c r="P79" s="1" t="s">
        <v>4</v>
      </c>
      <c r="Q79" s="49" t="s">
        <v>220</v>
      </c>
      <c r="R79" s="1"/>
      <c r="S79" s="1"/>
      <c r="T79" s="1" t="s">
        <v>5</v>
      </c>
      <c r="U79" t="s">
        <v>26</v>
      </c>
      <c r="V79" s="8">
        <v>44206</v>
      </c>
      <c r="W79" s="8">
        <v>44168</v>
      </c>
      <c r="X79" s="8">
        <v>51562</v>
      </c>
      <c r="Y79" s="8" t="s">
        <v>369</v>
      </c>
      <c r="Z79" s="8">
        <v>44208</v>
      </c>
      <c r="AA79" s="8">
        <v>45302</v>
      </c>
      <c r="AB79" s="8" t="s">
        <v>365</v>
      </c>
      <c r="AC79" s="8" t="s">
        <v>384</v>
      </c>
    </row>
    <row r="80" spans="1:29">
      <c r="A80" s="1" t="s">
        <v>114</v>
      </c>
      <c r="B80" s="1" t="s">
        <v>264</v>
      </c>
      <c r="C80" s="1" t="s">
        <v>256</v>
      </c>
      <c r="D80" s="6" t="s">
        <v>257</v>
      </c>
      <c r="E80" s="11">
        <f>_xlfn.XLOOKUP(Table1[[#This Row],[Serial Number]],Table13[Serial No.],Table13[End Date])</f>
        <v>44923</v>
      </c>
      <c r="F80" s="11">
        <f>_xlfn.XLOOKUP(Table1[[#This Row],[Serial Number]],Table13[Serial No.],Table13[End Date])</f>
        <v>44923</v>
      </c>
      <c r="G80" s="11">
        <f>_xlfn.XLOOKUP(Table1[[#This Row],[Serial Number]],Table13[Serial No.],Table13[Registration Date])</f>
        <v>43189</v>
      </c>
      <c r="H80" s="1"/>
      <c r="I80" s="1" t="s">
        <v>99</v>
      </c>
      <c r="J80" s="1" t="s">
        <v>354</v>
      </c>
      <c r="K80" s="1"/>
      <c r="L80" s="1"/>
      <c r="M80" s="45" t="s">
        <v>427</v>
      </c>
      <c r="N80" s="47">
        <v>10</v>
      </c>
      <c r="O80" s="1"/>
      <c r="P80" s="1" t="s">
        <v>4</v>
      </c>
      <c r="Q80" s="50" t="s">
        <v>175</v>
      </c>
      <c r="R80" s="1"/>
      <c r="S80" s="1"/>
      <c r="T80" s="1" t="s">
        <v>5</v>
      </c>
      <c r="U80" t="s">
        <v>150</v>
      </c>
      <c r="V80" s="8">
        <v>44206</v>
      </c>
      <c r="W80" s="8">
        <v>44168</v>
      </c>
      <c r="X80" s="8">
        <v>51562</v>
      </c>
      <c r="Y80" s="8" t="s">
        <v>369</v>
      </c>
      <c r="Z80" s="8">
        <v>44208</v>
      </c>
      <c r="AA80" s="8">
        <v>45302</v>
      </c>
      <c r="AB80" s="8" t="s">
        <v>365</v>
      </c>
      <c r="AC80" s="8" t="s">
        <v>384</v>
      </c>
    </row>
    <row r="81" spans="1:29">
      <c r="A81" s="1" t="s">
        <v>107</v>
      </c>
      <c r="B81" s="1" t="s">
        <v>262</v>
      </c>
      <c r="C81" s="1" t="s">
        <v>256</v>
      </c>
      <c r="D81" s="6" t="s">
        <v>257</v>
      </c>
      <c r="E81" s="11">
        <f>_xlfn.XLOOKUP(Table1[[#This Row],[Serial Number]],Table13[Serial No.],Table13[End Date])</f>
        <v>44923</v>
      </c>
      <c r="F81" s="11">
        <f>_xlfn.XLOOKUP(Table1[[#This Row],[Serial Number]],Table13[Serial No.],Table13[End Date])</f>
        <v>44923</v>
      </c>
      <c r="G81" s="11" t="str">
        <f>_xlfn.XLOOKUP(Table1[[#This Row],[Serial Number]],Table13[Serial No.],Table13[Registration Date])</f>
        <v>N/A</v>
      </c>
      <c r="H81" s="1"/>
      <c r="I81" s="6" t="s">
        <v>108</v>
      </c>
      <c r="J81" s="1" t="s">
        <v>319</v>
      </c>
      <c r="K81" s="1"/>
      <c r="L81" s="1"/>
      <c r="M81" s="45" t="s">
        <v>427</v>
      </c>
      <c r="N81" s="47">
        <v>10</v>
      </c>
      <c r="O81" s="1"/>
      <c r="P81" s="1" t="s">
        <v>4</v>
      </c>
      <c r="Q81" s="50" t="s">
        <v>185</v>
      </c>
      <c r="R81" s="1"/>
      <c r="S81" s="1"/>
      <c r="T81" s="1" t="s">
        <v>5</v>
      </c>
      <c r="U81" t="s">
        <v>122</v>
      </c>
      <c r="V81" s="8">
        <v>44206</v>
      </c>
      <c r="W81" s="8">
        <v>44168</v>
      </c>
      <c r="X81" s="8">
        <v>51562</v>
      </c>
      <c r="Y81" s="8" t="s">
        <v>369</v>
      </c>
      <c r="Z81" s="8">
        <v>44208</v>
      </c>
      <c r="AA81" s="8">
        <v>45302</v>
      </c>
      <c r="AB81" s="8" t="s">
        <v>365</v>
      </c>
      <c r="AC81" s="8" t="s">
        <v>384</v>
      </c>
    </row>
    <row r="82" spans="1:29">
      <c r="A82" s="1" t="s">
        <v>102</v>
      </c>
      <c r="B82" s="1" t="s">
        <v>262</v>
      </c>
      <c r="C82" s="1" t="s">
        <v>256</v>
      </c>
      <c r="D82" s="6" t="s">
        <v>257</v>
      </c>
      <c r="E82" s="11">
        <f>_xlfn.XLOOKUP(Table1[[#This Row],[Serial Number]],Table13[Serial No.],Table13[End Date])</f>
        <v>44923</v>
      </c>
      <c r="F82" s="11">
        <f>_xlfn.XLOOKUP(Table1[[#This Row],[Serial Number]],Table13[Serial No.],Table13[End Date])</f>
        <v>44923</v>
      </c>
      <c r="G82" s="11">
        <f>_xlfn.XLOOKUP(Table1[[#This Row],[Serial Number]],Table13[Serial No.],Table13[Registration Date])</f>
        <v>41801</v>
      </c>
      <c r="H82" s="1"/>
      <c r="I82" s="1" t="s">
        <v>103</v>
      </c>
      <c r="J82" s="1" t="s">
        <v>317</v>
      </c>
      <c r="K82" s="1"/>
      <c r="L82" s="1"/>
      <c r="M82" s="45" t="s">
        <v>427</v>
      </c>
      <c r="N82" s="47">
        <v>10</v>
      </c>
      <c r="O82" s="1"/>
      <c r="P82" s="1" t="s">
        <v>4</v>
      </c>
      <c r="Q82" s="49" t="s">
        <v>186</v>
      </c>
      <c r="R82" s="1"/>
      <c r="S82" s="1"/>
      <c r="T82" s="1" t="s">
        <v>5</v>
      </c>
      <c r="U82" t="s">
        <v>79</v>
      </c>
      <c r="V82" s="8">
        <v>44206</v>
      </c>
      <c r="W82" s="8">
        <v>44168</v>
      </c>
      <c r="X82" s="8">
        <v>51562</v>
      </c>
      <c r="Y82" s="8" t="s">
        <v>369</v>
      </c>
      <c r="Z82" s="8">
        <v>44208</v>
      </c>
      <c r="AA82" s="8">
        <v>45302</v>
      </c>
      <c r="AB82" s="8" t="s">
        <v>365</v>
      </c>
      <c r="AC82" s="8" t="s">
        <v>384</v>
      </c>
    </row>
    <row r="83" spans="1:29">
      <c r="A83" s="1" t="s">
        <v>74</v>
      </c>
      <c r="B83" s="1" t="s">
        <v>261</v>
      </c>
      <c r="C83" s="1" t="s">
        <v>256</v>
      </c>
      <c r="D83" s="6" t="s">
        <v>257</v>
      </c>
      <c r="E83" s="11">
        <f>_xlfn.XLOOKUP(Table1[[#This Row],[Serial Number]],Table13[Serial No.],Table13[End Date])</f>
        <v>44923</v>
      </c>
      <c r="F83" s="11">
        <f>_xlfn.XLOOKUP(Table1[[#This Row],[Serial Number]],Table13[Serial No.],Table13[End Date])</f>
        <v>44923</v>
      </c>
      <c r="G83" s="11">
        <f>_xlfn.XLOOKUP(Table1[[#This Row],[Serial Number]],Table13[Serial No.],Table13[Registration Date])</f>
        <v>41913</v>
      </c>
      <c r="H83" s="1"/>
      <c r="I83" s="1" t="s">
        <v>75</v>
      </c>
      <c r="J83" s="1" t="s">
        <v>318</v>
      </c>
      <c r="K83" s="1"/>
      <c r="L83" s="1"/>
      <c r="M83" s="45" t="s">
        <v>427</v>
      </c>
      <c r="N83" s="47">
        <v>10</v>
      </c>
      <c r="O83" s="1"/>
      <c r="P83" s="1" t="s">
        <v>4</v>
      </c>
      <c r="Q83" s="49" t="s">
        <v>188</v>
      </c>
      <c r="R83" s="1"/>
      <c r="S83" s="1"/>
      <c r="T83" s="1" t="s">
        <v>5</v>
      </c>
      <c r="U83" t="s">
        <v>105</v>
      </c>
      <c r="V83" s="8">
        <v>44209</v>
      </c>
      <c r="W83" s="8">
        <v>44202</v>
      </c>
      <c r="X83" s="8">
        <v>51596</v>
      </c>
      <c r="Y83" s="8" t="s">
        <v>369</v>
      </c>
      <c r="Z83" s="8">
        <v>44208</v>
      </c>
      <c r="AA83" s="8">
        <v>45302</v>
      </c>
      <c r="AB83" s="8" t="s">
        <v>365</v>
      </c>
      <c r="AC83" s="8" t="s">
        <v>384</v>
      </c>
    </row>
    <row r="84" spans="1:29">
      <c r="A84" s="1" t="s">
        <v>115</v>
      </c>
      <c r="B84" s="1" t="s">
        <v>258</v>
      </c>
      <c r="C84" s="1" t="s">
        <v>256</v>
      </c>
      <c r="D84" s="6" t="s">
        <v>257</v>
      </c>
      <c r="E84" s="11">
        <f>_xlfn.XLOOKUP(Table1[[#This Row],[Serial Number]],Table13[Serial No.],Table13[End Date])</f>
        <v>44191</v>
      </c>
      <c r="F84" s="11">
        <f>_xlfn.XLOOKUP(Table1[[#This Row],[Serial Number]],Table13[Serial No.],Table13[End Date])</f>
        <v>44191</v>
      </c>
      <c r="G84" s="11">
        <f>_xlfn.XLOOKUP(Table1[[#This Row],[Serial Number]],Table13[Serial No.],Table13[Registration Date])</f>
        <v>42509</v>
      </c>
      <c r="H84" s="1"/>
      <c r="I84" s="1" t="s">
        <v>116</v>
      </c>
      <c r="J84" s="1" t="s">
        <v>321</v>
      </c>
      <c r="K84" s="1"/>
      <c r="L84" s="1"/>
      <c r="M84" s="45" t="s">
        <v>484</v>
      </c>
      <c r="N84" s="47" t="str">
        <f>RIGHT(Table1[[#This Row],[IP Address]],LEN(Table1[[#This Row],[IP Address]])-9)</f>
        <v>32</v>
      </c>
      <c r="O84" s="1"/>
      <c r="P84" s="1" t="s">
        <v>4</v>
      </c>
      <c r="Q84" s="50" t="s">
        <v>165</v>
      </c>
      <c r="R84" s="1"/>
      <c r="S84" s="1"/>
      <c r="T84" s="1" t="s">
        <v>5</v>
      </c>
      <c r="U84" t="s">
        <v>68</v>
      </c>
      <c r="V84" s="8">
        <v>44209</v>
      </c>
      <c r="W84" s="8">
        <v>44202</v>
      </c>
      <c r="X84" s="8">
        <v>51596</v>
      </c>
      <c r="Y84" s="8" t="s">
        <v>369</v>
      </c>
      <c r="Z84" s="8">
        <v>44208</v>
      </c>
      <c r="AA84" s="8">
        <v>45302</v>
      </c>
      <c r="AB84" s="8" t="s">
        <v>365</v>
      </c>
      <c r="AC84" s="8" t="s">
        <v>384</v>
      </c>
    </row>
    <row r="85" spans="1:29">
      <c r="A85" s="1" t="s">
        <v>25</v>
      </c>
      <c r="B85" s="1" t="s">
        <v>258</v>
      </c>
      <c r="C85" s="1" t="s">
        <v>256</v>
      </c>
      <c r="D85" s="6" t="s">
        <v>257</v>
      </c>
      <c r="E85" s="11">
        <f>_xlfn.XLOOKUP(Table1[[#This Row],[Serial Number]],Table13[Serial No.],Table13[End Date])</f>
        <v>45302</v>
      </c>
      <c r="F85" s="11">
        <f>_xlfn.XLOOKUP(Table1[[#This Row],[Serial Number]],Table13[Serial No.],Table13[End Date])</f>
        <v>45302</v>
      </c>
      <c r="G85" s="11">
        <f>_xlfn.XLOOKUP(Table1[[#This Row],[Serial Number]],Table13[Serial No.],Table13[Registration Date])</f>
        <v>44206</v>
      </c>
      <c r="H85" s="1"/>
      <c r="I85" s="1" t="s">
        <v>26</v>
      </c>
      <c r="J85" s="1" t="s">
        <v>342</v>
      </c>
      <c r="K85" s="1"/>
      <c r="L85" s="1"/>
      <c r="M85" s="45" t="s">
        <v>18</v>
      </c>
      <c r="N85" s="47" t="str">
        <f>RIGHT(Table1[[#This Row],[IP Address]],LEN(Table1[[#This Row],[IP Address]])-9)</f>
        <v>36</v>
      </c>
      <c r="O85" s="1"/>
      <c r="P85" s="1" t="s">
        <v>4</v>
      </c>
      <c r="Q85" s="50" t="s">
        <v>197</v>
      </c>
      <c r="R85" s="1"/>
      <c r="S85" s="1"/>
      <c r="T85" s="1" t="s">
        <v>5</v>
      </c>
      <c r="U85" t="s">
        <v>58</v>
      </c>
      <c r="V85" s="8">
        <v>44209</v>
      </c>
      <c r="W85" s="8">
        <v>44202</v>
      </c>
      <c r="X85" s="8">
        <v>51596</v>
      </c>
      <c r="Y85" s="8" t="s">
        <v>369</v>
      </c>
      <c r="Z85" s="8">
        <v>44208</v>
      </c>
      <c r="AA85" s="8">
        <v>45302</v>
      </c>
      <c r="AB85" s="8" t="s">
        <v>365</v>
      </c>
      <c r="AC85" s="8" t="s">
        <v>384</v>
      </c>
    </row>
    <row r="86" spans="1:29">
      <c r="A86" s="1" t="s">
        <v>2</v>
      </c>
      <c r="B86" s="1" t="s">
        <v>263</v>
      </c>
      <c r="C86" s="1" t="s">
        <v>256</v>
      </c>
      <c r="D86" s="6" t="s">
        <v>257</v>
      </c>
      <c r="E86" s="11">
        <f>_xlfn.XLOOKUP(Table1[[#This Row],[Serial Number]],Table13[Serial No.],Table13[End Date])</f>
        <v>44923</v>
      </c>
      <c r="F86" s="11">
        <f>_xlfn.XLOOKUP(Table1[[#This Row],[Serial Number]],Table13[Serial No.],Table13[End Date])</f>
        <v>44923</v>
      </c>
      <c r="G86" s="11">
        <f>_xlfn.XLOOKUP(Table1[[#This Row],[Serial Number]],Table13[Serial No.],Table13[Registration Date])</f>
        <v>42061</v>
      </c>
      <c r="H86" s="1"/>
      <c r="I86" s="1" t="s">
        <v>3</v>
      </c>
      <c r="J86" s="1" t="s">
        <v>351</v>
      </c>
      <c r="K86" s="1"/>
      <c r="L86" s="1"/>
      <c r="M86" s="45" t="s">
        <v>133</v>
      </c>
      <c r="N86" s="47">
        <v>190</v>
      </c>
      <c r="O86" s="1"/>
      <c r="P86" s="1" t="s">
        <v>4</v>
      </c>
      <c r="Q86" s="50" t="s">
        <v>225</v>
      </c>
      <c r="R86" s="1"/>
      <c r="S86" s="1"/>
      <c r="T86" s="1" t="s">
        <v>5</v>
      </c>
      <c r="U86" t="s">
        <v>28</v>
      </c>
      <c r="V86" s="8">
        <v>44209</v>
      </c>
      <c r="W86" s="8">
        <v>44202</v>
      </c>
      <c r="X86" s="8">
        <v>51596</v>
      </c>
      <c r="Y86" s="8" t="s">
        <v>369</v>
      </c>
      <c r="Z86" s="8">
        <v>44208</v>
      </c>
      <c r="AA86" s="8">
        <v>45302</v>
      </c>
      <c r="AB86" s="8" t="s">
        <v>365</v>
      </c>
      <c r="AC86" s="8" t="s">
        <v>384</v>
      </c>
    </row>
    <row r="87" spans="1:29">
      <c r="A87" s="1" t="s">
        <v>435</v>
      </c>
      <c r="B87" s="1" t="s">
        <v>263</v>
      </c>
      <c r="C87" s="1" t="s">
        <v>256</v>
      </c>
      <c r="D87" s="6" t="s">
        <v>257</v>
      </c>
      <c r="E87" s="11">
        <f>_xlfn.XLOOKUP(Table1[[#This Row],[Serial Number]],Table13[Serial No.],Table13[End Date])</f>
        <v>44923</v>
      </c>
      <c r="F87" s="11">
        <f>_xlfn.XLOOKUP(Table1[[#This Row],[Serial Number]],Table13[Serial No.],Table13[End Date])</f>
        <v>44923</v>
      </c>
      <c r="G87" s="11">
        <f>_xlfn.XLOOKUP(Table1[[#This Row],[Serial Number]],Table13[Serial No.],Table13[Registration Date])</f>
        <v>43052</v>
      </c>
      <c r="H87" s="1"/>
      <c r="I87" s="1" t="s">
        <v>118</v>
      </c>
      <c r="J87" s="1" t="s">
        <v>352</v>
      </c>
      <c r="K87" s="1"/>
      <c r="L87" s="1"/>
      <c r="M87" s="45" t="s">
        <v>427</v>
      </c>
      <c r="N87" s="47">
        <v>10</v>
      </c>
      <c r="O87" s="1"/>
      <c r="P87" s="1" t="s">
        <v>4</v>
      </c>
      <c r="Q87" s="50" t="s">
        <v>117</v>
      </c>
      <c r="R87" s="1"/>
      <c r="S87" s="1"/>
      <c r="T87" s="1" t="s">
        <v>5</v>
      </c>
      <c r="U87" t="s">
        <v>151</v>
      </c>
      <c r="V87" s="8">
        <v>44469</v>
      </c>
      <c r="W87" s="8">
        <v>44411</v>
      </c>
      <c r="X87" s="8">
        <v>51805</v>
      </c>
      <c r="Y87" s="8" t="s">
        <v>385</v>
      </c>
      <c r="Z87" s="8">
        <v>44470</v>
      </c>
      <c r="AA87" s="8">
        <v>44834</v>
      </c>
      <c r="AB87" s="8" t="s">
        <v>365</v>
      </c>
      <c r="AC87" s="8" t="s">
        <v>383</v>
      </c>
    </row>
    <row r="88" spans="1:29">
      <c r="A88" s="1" t="s">
        <v>74</v>
      </c>
      <c r="B88" s="1" t="s">
        <v>258</v>
      </c>
      <c r="C88" s="1" t="s">
        <v>256</v>
      </c>
      <c r="D88" s="6" t="s">
        <v>257</v>
      </c>
      <c r="E88" s="11">
        <f>_xlfn.XLOOKUP(Table1[[#This Row],[Serial Number]],Table13[Serial No.],Table13[End Date])</f>
        <v>45302</v>
      </c>
      <c r="F88" s="11">
        <f>_xlfn.XLOOKUP(Table1[[#This Row],[Serial Number]],Table13[Serial No.],Table13[End Date])</f>
        <v>45302</v>
      </c>
      <c r="G88" s="11">
        <f>_xlfn.XLOOKUP(Table1[[#This Row],[Serial Number]],Table13[Serial No.],Table13[Registration Date])</f>
        <v>44206</v>
      </c>
      <c r="H88" s="1"/>
      <c r="I88" s="1" t="s">
        <v>37</v>
      </c>
      <c r="J88" s="1" t="s">
        <v>323</v>
      </c>
      <c r="K88" s="1"/>
      <c r="L88" s="1"/>
      <c r="M88" s="45" t="s">
        <v>427</v>
      </c>
      <c r="N88" s="47">
        <v>10</v>
      </c>
      <c r="O88" s="1"/>
      <c r="P88" s="1" t="s">
        <v>4</v>
      </c>
      <c r="Q88" s="50" t="s">
        <v>187</v>
      </c>
      <c r="R88" s="1"/>
      <c r="S88" s="1"/>
      <c r="T88" s="1" t="s">
        <v>5</v>
      </c>
      <c r="U88" t="s">
        <v>3</v>
      </c>
      <c r="V88" s="8">
        <v>42061</v>
      </c>
      <c r="W88" s="8">
        <v>42035</v>
      </c>
      <c r="X88" s="8">
        <v>45697</v>
      </c>
      <c r="Y88" s="8" t="s">
        <v>371</v>
      </c>
      <c r="Z88" s="8">
        <v>44559</v>
      </c>
      <c r="AA88" s="8">
        <v>44923</v>
      </c>
      <c r="AB88" s="8" t="s">
        <v>365</v>
      </c>
      <c r="AC88" s="8" t="s">
        <v>386</v>
      </c>
    </row>
    <row r="89" spans="1:29">
      <c r="A89" s="1" t="s">
        <v>436</v>
      </c>
      <c r="B89" s="1" t="s">
        <v>264</v>
      </c>
      <c r="C89" s="1" t="s">
        <v>256</v>
      </c>
      <c r="D89" s="6" t="s">
        <v>257</v>
      </c>
      <c r="E89" s="11">
        <f>_xlfn.XLOOKUP(Table1[[#This Row],[Serial Number]],Table13[Serial No.],Table13[End Date])</f>
        <v>45302</v>
      </c>
      <c r="F89" s="11">
        <f>_xlfn.XLOOKUP(Table1[[#This Row],[Serial Number]],Table13[Serial No.],Table13[End Date])</f>
        <v>45302</v>
      </c>
      <c r="G89" s="11">
        <f>_xlfn.XLOOKUP(Table1[[#This Row],[Serial Number]],Table13[Serial No.],Table13[Registration Date])</f>
        <v>44206</v>
      </c>
      <c r="H89" s="1"/>
      <c r="I89" s="1" t="s">
        <v>126</v>
      </c>
      <c r="J89" s="1" t="s">
        <v>353</v>
      </c>
      <c r="K89" s="1"/>
      <c r="L89" s="1"/>
      <c r="M89" s="45" t="s">
        <v>133</v>
      </c>
      <c r="N89" s="47">
        <v>190</v>
      </c>
      <c r="O89" s="1"/>
      <c r="P89" s="1" t="s">
        <v>4</v>
      </c>
      <c r="Q89" s="49" t="s">
        <v>125</v>
      </c>
      <c r="R89" s="1"/>
      <c r="S89" s="1"/>
      <c r="T89" s="1" t="s">
        <v>5</v>
      </c>
      <c r="U89" t="s">
        <v>118</v>
      </c>
      <c r="V89" s="8">
        <v>43052</v>
      </c>
      <c r="W89" s="8">
        <v>43048</v>
      </c>
      <c r="X89" s="8">
        <v>45528</v>
      </c>
      <c r="Y89" s="8" t="s">
        <v>371</v>
      </c>
      <c r="Z89" s="8">
        <v>44559</v>
      </c>
      <c r="AA89" s="8">
        <v>44923</v>
      </c>
      <c r="AB89" s="8" t="s">
        <v>365</v>
      </c>
      <c r="AC89" s="8" t="s">
        <v>386</v>
      </c>
    </row>
    <row r="90" spans="1:29">
      <c r="U90" t="s">
        <v>126</v>
      </c>
      <c r="V90" s="8">
        <v>44206</v>
      </c>
      <c r="W90" s="8">
        <v>44000</v>
      </c>
      <c r="X90" s="8">
        <v>44454</v>
      </c>
      <c r="Y90" s="8" t="s">
        <v>369</v>
      </c>
      <c r="Z90" s="8">
        <v>44208</v>
      </c>
      <c r="AA90" s="8">
        <v>45302</v>
      </c>
      <c r="AB90" s="8" t="s">
        <v>365</v>
      </c>
      <c r="AC90" s="8" t="s">
        <v>387</v>
      </c>
    </row>
    <row r="91" spans="1:29">
      <c r="U91" t="s">
        <v>99</v>
      </c>
      <c r="V91" s="8">
        <v>43189</v>
      </c>
      <c r="W91" s="8">
        <v>42181</v>
      </c>
      <c r="X91" s="8">
        <v>42546</v>
      </c>
      <c r="Y91" s="8" t="s">
        <v>371</v>
      </c>
      <c r="Z91" s="8">
        <v>44559</v>
      </c>
      <c r="AA91" s="8">
        <v>44923</v>
      </c>
      <c r="AB91" s="8" t="s">
        <v>365</v>
      </c>
      <c r="AC91" s="8" t="s">
        <v>387</v>
      </c>
    </row>
    <row r="92" spans="1:29">
      <c r="U92" t="s">
        <v>108</v>
      </c>
      <c r="V92" t="s">
        <v>358</v>
      </c>
      <c r="W92" s="8">
        <v>43465</v>
      </c>
      <c r="X92" s="8">
        <v>45472</v>
      </c>
      <c r="Y92" t="s">
        <v>371</v>
      </c>
      <c r="Z92" s="8">
        <v>44559</v>
      </c>
      <c r="AA92" s="8">
        <v>44923</v>
      </c>
      <c r="AB92" t="s">
        <v>365</v>
      </c>
      <c r="AC92" t="s">
        <v>380</v>
      </c>
    </row>
    <row r="93" spans="1:29">
      <c r="U93" t="s">
        <v>15</v>
      </c>
      <c r="V93" s="9">
        <v>42022</v>
      </c>
      <c r="W93" s="9">
        <v>41882</v>
      </c>
      <c r="X93" s="9">
        <v>45473</v>
      </c>
      <c r="Y93" t="s">
        <v>391</v>
      </c>
      <c r="Z93" s="9">
        <v>43826</v>
      </c>
      <c r="AA93" s="9">
        <v>44191</v>
      </c>
      <c r="AB93" t="s">
        <v>392</v>
      </c>
      <c r="AC93" t="s">
        <v>393</v>
      </c>
    </row>
    <row r="94" spans="1:29">
      <c r="U94" t="s">
        <v>70</v>
      </c>
      <c r="V94" s="9">
        <v>42341</v>
      </c>
      <c r="W94" s="9">
        <v>42250</v>
      </c>
      <c r="X94" s="9">
        <v>45473</v>
      </c>
      <c r="Y94" t="s">
        <v>391</v>
      </c>
      <c r="Z94" s="9">
        <v>43826</v>
      </c>
      <c r="AA94" s="9">
        <v>44191</v>
      </c>
      <c r="AB94" t="s">
        <v>392</v>
      </c>
      <c r="AC94" t="s">
        <v>393</v>
      </c>
    </row>
    <row r="95" spans="1:29">
      <c r="U95" t="s">
        <v>135</v>
      </c>
      <c r="V95" s="9">
        <v>42208</v>
      </c>
      <c r="W95" s="9">
        <v>42114</v>
      </c>
      <c r="X95" s="9">
        <v>45473</v>
      </c>
      <c r="Y95" t="s">
        <v>391</v>
      </c>
      <c r="Z95" s="9">
        <v>43826</v>
      </c>
      <c r="AA95" s="9">
        <v>44191</v>
      </c>
      <c r="AB95" t="s">
        <v>392</v>
      </c>
      <c r="AC95" t="s">
        <v>393</v>
      </c>
    </row>
    <row r="96" spans="1:29">
      <c r="U96" t="s">
        <v>144</v>
      </c>
      <c r="V96" s="9">
        <v>42509</v>
      </c>
      <c r="W96" s="9">
        <v>42114</v>
      </c>
      <c r="X96" s="9">
        <v>45473</v>
      </c>
      <c r="Y96" t="s">
        <v>391</v>
      </c>
      <c r="Z96" s="9">
        <v>43826</v>
      </c>
      <c r="AA96" s="9">
        <v>44191</v>
      </c>
      <c r="AB96" t="s">
        <v>392</v>
      </c>
      <c r="AC96" t="s">
        <v>394</v>
      </c>
    </row>
    <row r="97" spans="21:29">
      <c r="U97" t="s">
        <v>64</v>
      </c>
      <c r="V97" s="9">
        <v>43613</v>
      </c>
      <c r="W97" s="9">
        <v>43601</v>
      </c>
      <c r="X97" s="9">
        <v>43966</v>
      </c>
      <c r="Y97" t="s">
        <v>391</v>
      </c>
      <c r="Z97" s="9">
        <v>43719</v>
      </c>
      <c r="AA97" s="9">
        <v>44191</v>
      </c>
      <c r="AB97" t="s">
        <v>392</v>
      </c>
      <c r="AC97" t="s">
        <v>395</v>
      </c>
    </row>
    <row r="98" spans="21:29">
      <c r="U98" t="s">
        <v>80</v>
      </c>
      <c r="V98" s="9">
        <v>43613</v>
      </c>
      <c r="W98" s="9">
        <v>43601</v>
      </c>
      <c r="X98" s="9">
        <v>43966</v>
      </c>
      <c r="Y98" t="s">
        <v>391</v>
      </c>
      <c r="Z98" s="9">
        <v>43719</v>
      </c>
      <c r="AA98" s="9">
        <v>44191</v>
      </c>
      <c r="AB98" t="s">
        <v>392</v>
      </c>
      <c r="AC98" t="s">
        <v>395</v>
      </c>
    </row>
    <row r="99" spans="21:29">
      <c r="U99" t="s">
        <v>106</v>
      </c>
      <c r="V99" s="9">
        <v>43563</v>
      </c>
      <c r="W99" s="9">
        <v>43557</v>
      </c>
      <c r="X99" s="9">
        <v>44012</v>
      </c>
      <c r="Y99" t="s">
        <v>391</v>
      </c>
      <c r="Z99" s="9">
        <v>43939</v>
      </c>
      <c r="AA99" s="9">
        <v>44191</v>
      </c>
      <c r="AB99" t="s">
        <v>392</v>
      </c>
      <c r="AC99" t="s">
        <v>395</v>
      </c>
    </row>
    <row r="100" spans="21:29">
      <c r="U100" t="s">
        <v>61</v>
      </c>
      <c r="V100" s="9">
        <v>43736</v>
      </c>
      <c r="W100" s="9">
        <v>43728</v>
      </c>
      <c r="X100" s="9">
        <v>44183</v>
      </c>
      <c r="Y100" t="s">
        <v>396</v>
      </c>
      <c r="Z100" s="9">
        <v>43736</v>
      </c>
      <c r="AA100" s="9">
        <v>44101</v>
      </c>
      <c r="AB100" t="s">
        <v>392</v>
      </c>
      <c r="AC100" t="s">
        <v>395</v>
      </c>
    </row>
    <row r="101" spans="21:29">
      <c r="U101" t="s">
        <v>36</v>
      </c>
      <c r="V101" s="9">
        <v>42919</v>
      </c>
      <c r="W101" s="9">
        <v>42892</v>
      </c>
      <c r="X101" s="9">
        <v>43346</v>
      </c>
      <c r="Y101" t="s">
        <v>391</v>
      </c>
      <c r="Z101" s="9">
        <v>43826</v>
      </c>
      <c r="AA101" s="9">
        <v>44191</v>
      </c>
      <c r="AB101" t="s">
        <v>392</v>
      </c>
      <c r="AC101" t="s">
        <v>395</v>
      </c>
    </row>
    <row r="102" spans="21:29">
      <c r="U102" t="s">
        <v>137</v>
      </c>
      <c r="V102" s="9">
        <v>43433</v>
      </c>
      <c r="W102" s="9">
        <v>43423</v>
      </c>
      <c r="X102" s="9">
        <v>43877</v>
      </c>
      <c r="Y102" t="s">
        <v>391</v>
      </c>
      <c r="Z102" s="9">
        <v>43800</v>
      </c>
      <c r="AA102" s="9">
        <v>44191</v>
      </c>
      <c r="AB102" t="s">
        <v>392</v>
      </c>
      <c r="AC102" t="s">
        <v>395</v>
      </c>
    </row>
    <row r="103" spans="21:29">
      <c r="U103" t="s">
        <v>132</v>
      </c>
      <c r="V103" s="9">
        <v>43433</v>
      </c>
      <c r="W103" s="9">
        <v>43423</v>
      </c>
      <c r="X103" s="9">
        <v>43876</v>
      </c>
      <c r="Y103" t="s">
        <v>391</v>
      </c>
      <c r="Z103" s="9">
        <v>43800</v>
      </c>
      <c r="AA103" s="9">
        <v>44191</v>
      </c>
      <c r="AB103" t="s">
        <v>392</v>
      </c>
      <c r="AC103" t="s">
        <v>395</v>
      </c>
    </row>
    <row r="104" spans="21:29">
      <c r="U104" t="s">
        <v>34</v>
      </c>
      <c r="V104" s="9">
        <v>43433</v>
      </c>
      <c r="W104" s="9">
        <v>43423</v>
      </c>
      <c r="X104" s="9">
        <v>43877</v>
      </c>
      <c r="Y104" t="s">
        <v>391</v>
      </c>
      <c r="Z104" s="9">
        <v>43800</v>
      </c>
      <c r="AA104" s="9">
        <v>44191</v>
      </c>
      <c r="AB104" t="s">
        <v>392</v>
      </c>
      <c r="AC104" t="s">
        <v>395</v>
      </c>
    </row>
    <row r="105" spans="21:29">
      <c r="U105" t="s">
        <v>108</v>
      </c>
      <c r="V105" s="9" t="s">
        <v>358</v>
      </c>
      <c r="W105" s="9">
        <v>43465</v>
      </c>
      <c r="X105" s="9">
        <v>45472</v>
      </c>
      <c r="Y105" t="s">
        <v>397</v>
      </c>
      <c r="Z105" s="9">
        <v>44192</v>
      </c>
      <c r="AA105" s="9">
        <v>44558</v>
      </c>
      <c r="AB105" t="s">
        <v>392</v>
      </c>
      <c r="AC105" t="s">
        <v>380</v>
      </c>
    </row>
    <row r="106" spans="21:29">
      <c r="U106" t="s">
        <v>10</v>
      </c>
      <c r="V106" s="9" t="s">
        <v>358</v>
      </c>
      <c r="W106" s="9">
        <v>42775</v>
      </c>
      <c r="X106" s="9">
        <v>45173</v>
      </c>
      <c r="Y106" t="s">
        <v>391</v>
      </c>
      <c r="Z106" s="9">
        <v>43826</v>
      </c>
      <c r="AA106" s="9">
        <v>44191</v>
      </c>
      <c r="AB106" t="s">
        <v>392</v>
      </c>
      <c r="AC106" t="s">
        <v>398</v>
      </c>
    </row>
    <row r="107" spans="21:29">
      <c r="U107" t="s">
        <v>116</v>
      </c>
      <c r="V107" s="9">
        <v>42509</v>
      </c>
      <c r="W107" s="9">
        <v>42212</v>
      </c>
      <c r="X107" s="9">
        <v>45473</v>
      </c>
      <c r="Y107" t="s">
        <v>391</v>
      </c>
      <c r="Z107" s="9">
        <v>43826</v>
      </c>
      <c r="AA107" s="9">
        <v>44191</v>
      </c>
      <c r="AB107" t="s">
        <v>392</v>
      </c>
      <c r="AC107" t="s">
        <v>399</v>
      </c>
    </row>
    <row r="108" spans="21:29">
      <c r="U108" t="s">
        <v>96</v>
      </c>
      <c r="V108" s="9">
        <v>43546</v>
      </c>
      <c r="W108" s="9">
        <v>43502</v>
      </c>
      <c r="X108" s="9">
        <v>47244</v>
      </c>
      <c r="Y108" t="s">
        <v>391</v>
      </c>
      <c r="Z108" s="9">
        <v>43911</v>
      </c>
      <c r="AA108" s="9">
        <v>44191</v>
      </c>
      <c r="AB108" t="s">
        <v>392</v>
      </c>
      <c r="AC108" t="s">
        <v>383</v>
      </c>
    </row>
  </sheetData>
  <phoneticPr fontId="7" type="noConversion"/>
  <conditionalFormatting sqref="I1:I1048576">
    <cfRule type="duplicateValues" dxfId="58" priority="1"/>
  </conditionalFormatting>
  <hyperlinks>
    <hyperlink ref="AP49" r:id="rId1" display="https://gnvl-netops2.intra.guardianbpg.com:82/Report/report.aspx?det=Web50getdomain&amp;title=Computers%20in%20domain%20&amp;@domain=" xr:uid="{0F43E8B6-DEC8-45D9-A848-F6A051A0CD71}"/>
  </hyperlinks>
  <pageMargins left="0.7" right="0.7" top="0.75" bottom="0.75" header="0.3" footer="0.3"/>
  <pageSetup orientation="portrait" verticalDpi="0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 Thompson</cp:lastModifiedBy>
  <dcterms:created xsi:type="dcterms:W3CDTF">2022-02-24T11:31:12Z</dcterms:created>
  <dcterms:modified xsi:type="dcterms:W3CDTF">2022-02-25T22:13:48Z</dcterms:modified>
</cp:coreProperties>
</file>