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E:\Universidad\U 2022-2\ingeco\PP1\ayudania5\"/>
    </mc:Choice>
  </mc:AlternateContent>
  <xr:revisionPtr revIDLastSave="0" documentId="13_ncr:1_{B7936587-377B-4BA8-A120-D563C76CD15D}" xr6:coauthVersionLast="47" xr6:coauthVersionMax="47" xr10:uidLastSave="{00000000-0000-0000-0000-000000000000}"/>
  <bookViews>
    <workbookView xWindow="-120" yWindow="-120" windowWidth="29040" windowHeight="15720" activeTab="6" xr2:uid="{00000000-000D-0000-FFFF-FFFF00000000}"/>
  </bookViews>
  <sheets>
    <sheet name="Parte1" sheetId="1" r:id="rId1"/>
    <sheet name="Parte2" sheetId="2" r:id="rId2"/>
    <sheet name="Parte3" sheetId="3" r:id="rId3"/>
    <sheet name="Parte 1.1" sheetId="4" r:id="rId4"/>
    <sheet name="Parte 2.2" sheetId="5" r:id="rId5"/>
    <sheet name="Parte 3.3" sheetId="6" r:id="rId6"/>
    <sheet name="PGU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" i="7" l="1"/>
  <c r="J19" i="7"/>
  <c r="K17" i="7"/>
  <c r="L17" i="7"/>
  <c r="M17" i="7"/>
  <c r="N17" i="7"/>
  <c r="O17" i="7"/>
  <c r="P17" i="7"/>
  <c r="Q17" i="7"/>
  <c r="R17" i="7"/>
  <c r="J17" i="7"/>
  <c r="J10" i="7"/>
  <c r="J9" i="7"/>
  <c r="C37" i="7"/>
  <c r="C35" i="7"/>
  <c r="K7" i="7"/>
  <c r="L7" i="7"/>
  <c r="M7" i="7"/>
  <c r="N7" i="7"/>
  <c r="O7" i="7"/>
  <c r="P7" i="7"/>
  <c r="Q7" i="7"/>
  <c r="R7" i="7"/>
  <c r="J7" i="7"/>
  <c r="C49" i="4"/>
  <c r="C47" i="4"/>
  <c r="C32" i="5"/>
  <c r="D32" i="5"/>
  <c r="E32" i="5"/>
  <c r="F32" i="5"/>
  <c r="G32" i="5"/>
  <c r="H32" i="5"/>
  <c r="I32" i="5"/>
  <c r="J32" i="5"/>
  <c r="C30" i="5"/>
  <c r="D30" i="5"/>
  <c r="E30" i="5"/>
  <c r="F30" i="5"/>
  <c r="G30" i="5"/>
  <c r="H30" i="5"/>
  <c r="I30" i="5"/>
  <c r="J30" i="5"/>
  <c r="B30" i="5"/>
  <c r="C23" i="5"/>
  <c r="D23" i="5"/>
  <c r="E23" i="5"/>
  <c r="F23" i="5"/>
  <c r="G23" i="5"/>
  <c r="H23" i="5"/>
  <c r="I23" i="5"/>
  <c r="J23" i="5"/>
  <c r="B23" i="5"/>
  <c r="C16" i="5"/>
  <c r="D16" i="5"/>
  <c r="E16" i="5"/>
  <c r="F16" i="5"/>
  <c r="G16" i="5"/>
  <c r="H16" i="5"/>
  <c r="I16" i="5"/>
  <c r="J16" i="5"/>
  <c r="B16" i="5"/>
  <c r="J29" i="5"/>
  <c r="C29" i="5"/>
  <c r="D29" i="5"/>
  <c r="E29" i="5"/>
  <c r="F29" i="5"/>
  <c r="G29" i="5"/>
  <c r="H29" i="5"/>
  <c r="I29" i="5"/>
  <c r="B29" i="5"/>
  <c r="C22" i="5"/>
  <c r="D22" i="5"/>
  <c r="E22" i="5"/>
  <c r="F22" i="5"/>
  <c r="G22" i="5"/>
  <c r="H22" i="5"/>
  <c r="I22" i="5"/>
  <c r="J22" i="5"/>
  <c r="B22" i="5"/>
  <c r="C15" i="5"/>
  <c r="D15" i="5"/>
  <c r="E15" i="5"/>
  <c r="F15" i="5"/>
  <c r="G15" i="5"/>
  <c r="H15" i="5"/>
  <c r="I15" i="5"/>
  <c r="J15" i="5"/>
  <c r="B15" i="5"/>
  <c r="C28" i="5"/>
  <c r="D28" i="5" s="1"/>
  <c r="E28" i="5" s="1"/>
  <c r="F28" i="5" s="1"/>
  <c r="G28" i="5" s="1"/>
  <c r="H28" i="5" s="1"/>
  <c r="I28" i="5" s="1"/>
  <c r="J28" i="5" s="1"/>
  <c r="C21" i="5"/>
  <c r="D21" i="5" s="1"/>
  <c r="E21" i="5" s="1"/>
  <c r="F21" i="5" s="1"/>
  <c r="G21" i="5" s="1"/>
  <c r="H21" i="5" s="1"/>
  <c r="I21" i="5" s="1"/>
  <c r="J21" i="5" s="1"/>
  <c r="C14" i="5"/>
  <c r="D14" i="5" s="1"/>
  <c r="E14" i="5" s="1"/>
  <c r="F14" i="5" s="1"/>
  <c r="G14" i="5" s="1"/>
  <c r="H14" i="5" s="1"/>
  <c r="I14" i="5" s="1"/>
  <c r="J14" i="5" s="1"/>
  <c r="I82" i="4"/>
  <c r="H82" i="4"/>
  <c r="G75" i="4"/>
  <c r="I75" i="4"/>
  <c r="H75" i="4" s="1"/>
  <c r="K75" i="4"/>
  <c r="G76" i="4" s="1"/>
  <c r="J81" i="4"/>
  <c r="H74" i="4"/>
  <c r="I74" i="4"/>
  <c r="K74" i="4"/>
  <c r="G74" i="4"/>
  <c r="K73" i="4"/>
  <c r="C78" i="1"/>
  <c r="C80" i="1" s="1"/>
  <c r="C73" i="4"/>
  <c r="C74" i="4" s="1"/>
  <c r="C76" i="4" s="1"/>
  <c r="C60" i="4"/>
  <c r="C62" i="4" s="1"/>
  <c r="C64" i="4" s="1"/>
  <c r="C51" i="4"/>
  <c r="C42" i="4"/>
  <c r="C43" i="4" s="1"/>
  <c r="K47" i="4" s="1"/>
  <c r="E55" i="3"/>
  <c r="F55" i="3"/>
  <c r="G55" i="3"/>
  <c r="H55" i="3"/>
  <c r="I55" i="3"/>
  <c r="J55" i="3"/>
  <c r="K55" i="3"/>
  <c r="D55" i="3"/>
  <c r="E54" i="3"/>
  <c r="E57" i="3" s="1"/>
  <c r="F54" i="3"/>
  <c r="F57" i="3" s="1"/>
  <c r="G54" i="3"/>
  <c r="H54" i="3"/>
  <c r="I54" i="3"/>
  <c r="J54" i="3"/>
  <c r="K54" i="3"/>
  <c r="D54" i="3"/>
  <c r="E53" i="3"/>
  <c r="F53" i="3"/>
  <c r="G53" i="3"/>
  <c r="H53" i="3"/>
  <c r="I53" i="3"/>
  <c r="J53" i="3"/>
  <c r="K53" i="3"/>
  <c r="D53" i="3"/>
  <c r="E51" i="3"/>
  <c r="F51" i="3"/>
  <c r="K79" i="3"/>
  <c r="D79" i="3"/>
  <c r="E79" i="3"/>
  <c r="F79" i="3"/>
  <c r="G79" i="3"/>
  <c r="H79" i="3"/>
  <c r="I79" i="3"/>
  <c r="J79" i="3"/>
  <c r="C79" i="3"/>
  <c r="D78" i="3" a="1"/>
  <c r="D78" i="3" s="1"/>
  <c r="E41" i="1"/>
  <c r="E74" i="3"/>
  <c r="F74" i="3"/>
  <c r="G74" i="3"/>
  <c r="H74" i="3"/>
  <c r="I74" i="3"/>
  <c r="J74" i="3"/>
  <c r="K74" i="3"/>
  <c r="D74" i="3"/>
  <c r="E73" i="3"/>
  <c r="F73" i="3"/>
  <c r="G73" i="3"/>
  <c r="H73" i="3"/>
  <c r="I73" i="3"/>
  <c r="J73" i="3"/>
  <c r="K73" i="3"/>
  <c r="D73" i="3"/>
  <c r="E72" i="3"/>
  <c r="F72" i="3"/>
  <c r="G72" i="3"/>
  <c r="H72" i="3"/>
  <c r="I72" i="3"/>
  <c r="J72" i="3"/>
  <c r="K72" i="3"/>
  <c r="D72" i="3"/>
  <c r="D70" i="3" a="1"/>
  <c r="D70" i="3" s="1"/>
  <c r="E67" i="3"/>
  <c r="F67" i="3"/>
  <c r="G67" i="3"/>
  <c r="H67" i="3"/>
  <c r="I67" i="3"/>
  <c r="J67" i="3"/>
  <c r="K67" i="3"/>
  <c r="D67" i="3"/>
  <c r="J61" i="3"/>
  <c r="K61" i="3"/>
  <c r="I61" i="3"/>
  <c r="G61" i="3"/>
  <c r="H61" i="3"/>
  <c r="F61" i="3"/>
  <c r="E61" i="3"/>
  <c r="D61" i="3"/>
  <c r="I57" i="3"/>
  <c r="J57" i="3"/>
  <c r="K57" i="3"/>
  <c r="D57" i="3"/>
  <c r="G51" i="3"/>
  <c r="H51" i="3" s="1"/>
  <c r="I51" i="3" s="1"/>
  <c r="J51" i="3" s="1"/>
  <c r="K51" i="3" s="1"/>
  <c r="E50" i="3"/>
  <c r="F50" i="3"/>
  <c r="G50" i="3"/>
  <c r="H50" i="3"/>
  <c r="I50" i="3"/>
  <c r="J50" i="3" s="1"/>
  <c r="K50" i="3" s="1"/>
  <c r="F49" i="3"/>
  <c r="G49" i="3" s="1"/>
  <c r="H49" i="3" s="1"/>
  <c r="I49" i="3" s="1"/>
  <c r="J49" i="3" s="1"/>
  <c r="K49" i="3" s="1"/>
  <c r="E49" i="3"/>
  <c r="K45" i="3"/>
  <c r="J45" i="3"/>
  <c r="I45" i="3"/>
  <c r="H45" i="3"/>
  <c r="G45" i="3"/>
  <c r="F45" i="3"/>
  <c r="E45" i="3"/>
  <c r="D45" i="3"/>
  <c r="C13" i="2"/>
  <c r="D13" i="2"/>
  <c r="E13" i="2"/>
  <c r="F13" i="2"/>
  <c r="G13" i="2"/>
  <c r="H13" i="2"/>
  <c r="I13" i="2"/>
  <c r="J13" i="2"/>
  <c r="D24" i="2"/>
  <c r="E24" i="2"/>
  <c r="F24" i="2"/>
  <c r="G24" i="2"/>
  <c r="H24" i="2"/>
  <c r="I24" i="2"/>
  <c r="J24" i="2"/>
  <c r="C24" i="2"/>
  <c r="D19" i="2"/>
  <c r="E19" i="2"/>
  <c r="F19" i="2"/>
  <c r="G19" i="2"/>
  <c r="H19" i="2"/>
  <c r="I19" i="2"/>
  <c r="J19" i="2"/>
  <c r="C19" i="2"/>
  <c r="C18" i="2"/>
  <c r="B17" i="2"/>
  <c r="C17" i="2"/>
  <c r="C12" i="2"/>
  <c r="B11" i="2"/>
  <c r="C11" i="2"/>
  <c r="G42" i="3"/>
  <c r="H42" i="3"/>
  <c r="I42" i="3"/>
  <c r="J42" i="3"/>
  <c r="K42" i="3"/>
  <c r="F42" i="3"/>
  <c r="E42" i="3"/>
  <c r="D42" i="3"/>
  <c r="E39" i="3"/>
  <c r="E36" i="3"/>
  <c r="E37" i="3"/>
  <c r="E35" i="3"/>
  <c r="D36" i="3"/>
  <c r="D37" i="3"/>
  <c r="D35" i="3"/>
  <c r="B38" i="3"/>
  <c r="B30" i="3"/>
  <c r="B28" i="3"/>
  <c r="B26" i="3"/>
  <c r="D25" i="2"/>
  <c r="E25" i="2"/>
  <c r="F25" i="2"/>
  <c r="G25" i="2"/>
  <c r="H25" i="2"/>
  <c r="I25" i="2"/>
  <c r="J25" i="2"/>
  <c r="C25" i="2"/>
  <c r="D23" i="2"/>
  <c r="E23" i="2"/>
  <c r="F23" i="2"/>
  <c r="G23" i="2"/>
  <c r="H23" i="2"/>
  <c r="I23" i="2"/>
  <c r="J23" i="2"/>
  <c r="C23" i="2"/>
  <c r="D18" i="2"/>
  <c r="E18" i="2"/>
  <c r="F18" i="2"/>
  <c r="G18" i="2"/>
  <c r="H18" i="2"/>
  <c r="I18" i="2"/>
  <c r="J18" i="2"/>
  <c r="D12" i="2"/>
  <c r="E12" i="2"/>
  <c r="F12" i="2"/>
  <c r="G12" i="2"/>
  <c r="H12" i="2"/>
  <c r="I12" i="2"/>
  <c r="J12" i="2"/>
  <c r="J22" i="2"/>
  <c r="J17" i="2"/>
  <c r="J11" i="2"/>
  <c r="G22" i="2"/>
  <c r="H22" i="2"/>
  <c r="I22" i="2" s="1"/>
  <c r="F22" i="2"/>
  <c r="E22" i="2"/>
  <c r="D22" i="2"/>
  <c r="C22" i="2"/>
  <c r="B22" i="2"/>
  <c r="G17" i="2"/>
  <c r="H17" i="2"/>
  <c r="I17" i="2" s="1"/>
  <c r="F17" i="2"/>
  <c r="E17" i="2"/>
  <c r="D17" i="2"/>
  <c r="I11" i="2"/>
  <c r="H11" i="2"/>
  <c r="G11" i="2"/>
  <c r="F11" i="2"/>
  <c r="E11" i="2"/>
  <c r="D11" i="2"/>
  <c r="J86" i="1"/>
  <c r="K85" i="1"/>
  <c r="K79" i="1"/>
  <c r="G80" i="1" s="1"/>
  <c r="K80" i="1" s="1"/>
  <c r="G81" i="1" s="1"/>
  <c r="K81" i="1" s="1"/>
  <c r="G82" i="1" s="1"/>
  <c r="K82" i="1" s="1"/>
  <c r="G83" i="1" s="1"/>
  <c r="K83" i="1" s="1"/>
  <c r="G84" i="1" s="1"/>
  <c r="K84" i="1" s="1"/>
  <c r="G85" i="1" s="1"/>
  <c r="G79" i="1"/>
  <c r="K78" i="1"/>
  <c r="G78" i="1"/>
  <c r="J85" i="1"/>
  <c r="K77" i="1"/>
  <c r="C76" i="1"/>
  <c r="J72" i="1"/>
  <c r="I72" i="1"/>
  <c r="H72" i="1"/>
  <c r="K65" i="1"/>
  <c r="J65" i="1"/>
  <c r="I65" i="1"/>
  <c r="I66" i="1"/>
  <c r="J66" i="1" s="1"/>
  <c r="G65" i="1"/>
  <c r="G66" i="1"/>
  <c r="K66" i="1" s="1"/>
  <c r="K64" i="1"/>
  <c r="J64" i="1"/>
  <c r="I64" i="1"/>
  <c r="H65" i="1"/>
  <c r="H66" i="1"/>
  <c r="H67" i="1"/>
  <c r="H68" i="1"/>
  <c r="H69" i="1"/>
  <c r="H70" i="1"/>
  <c r="H71" i="1"/>
  <c r="H64" i="1"/>
  <c r="G64" i="1"/>
  <c r="K63" i="1"/>
  <c r="C66" i="1"/>
  <c r="C64" i="1"/>
  <c r="C62" i="1"/>
  <c r="J58" i="1"/>
  <c r="I58" i="1"/>
  <c r="H58" i="1"/>
  <c r="K51" i="1"/>
  <c r="I51" i="1"/>
  <c r="I52" i="1"/>
  <c r="H52" i="1" s="1"/>
  <c r="H51" i="1"/>
  <c r="G51" i="1"/>
  <c r="G52" i="1"/>
  <c r="K52" i="1" s="1"/>
  <c r="J51" i="1"/>
  <c r="J52" i="1"/>
  <c r="J53" i="1"/>
  <c r="J54" i="1"/>
  <c r="J55" i="1"/>
  <c r="J56" i="1"/>
  <c r="J57" i="1"/>
  <c r="J50" i="1"/>
  <c r="K50" i="1"/>
  <c r="H50" i="1"/>
  <c r="I50" i="1"/>
  <c r="G50" i="1"/>
  <c r="K49" i="1"/>
  <c r="C46" i="1"/>
  <c r="C53" i="1"/>
  <c r="C51" i="1"/>
  <c r="C49" i="1"/>
  <c r="I76" i="4" l="1"/>
  <c r="H76" i="4" s="1"/>
  <c r="K76" i="4"/>
  <c r="G77" i="4" s="1"/>
  <c r="G48" i="4"/>
  <c r="J50" i="4"/>
  <c r="K60" i="4"/>
  <c r="G61" i="4" s="1"/>
  <c r="J51" i="4"/>
  <c r="J49" i="4"/>
  <c r="J52" i="4"/>
  <c r="J53" i="4"/>
  <c r="J54" i="4"/>
  <c r="J55" i="4"/>
  <c r="J48" i="4"/>
  <c r="H64" i="4"/>
  <c r="H65" i="4"/>
  <c r="I78" i="1"/>
  <c r="I79" i="1"/>
  <c r="H79" i="1" s="1"/>
  <c r="I80" i="1"/>
  <c r="H80" i="1" s="1"/>
  <c r="I81" i="1"/>
  <c r="H81" i="1" s="1"/>
  <c r="I82" i="1"/>
  <c r="H82" i="1" s="1"/>
  <c r="I83" i="1"/>
  <c r="H83" i="1" s="1"/>
  <c r="I85" i="1"/>
  <c r="H85" i="1" s="1"/>
  <c r="I84" i="1"/>
  <c r="H84" i="1" s="1"/>
  <c r="H57" i="3"/>
  <c r="G57" i="3"/>
  <c r="K78" i="3"/>
  <c r="J78" i="3"/>
  <c r="I78" i="3"/>
  <c r="H78" i="3"/>
  <c r="G78" i="3"/>
  <c r="F78" i="3"/>
  <c r="E78" i="3"/>
  <c r="K70" i="3"/>
  <c r="J70" i="3"/>
  <c r="I70" i="3"/>
  <c r="H70" i="3"/>
  <c r="G70" i="3"/>
  <c r="F70" i="3"/>
  <c r="E70" i="3"/>
  <c r="I67" i="1"/>
  <c r="J67" i="1" s="1"/>
  <c r="G67" i="1"/>
  <c r="K67" i="1" s="1"/>
  <c r="G53" i="1"/>
  <c r="K53" i="1" s="1"/>
  <c r="I53" i="1"/>
  <c r="H53" i="1" s="1"/>
  <c r="I77" i="4" l="1"/>
  <c r="H77" i="4" s="1"/>
  <c r="K77" i="4"/>
  <c r="G78" i="4" s="1"/>
  <c r="H68" i="4"/>
  <c r="H63" i="4"/>
  <c r="H61" i="4"/>
  <c r="I61" i="4"/>
  <c r="H67" i="4"/>
  <c r="H66" i="4"/>
  <c r="H62" i="4"/>
  <c r="H69" i="4" s="1"/>
  <c r="K48" i="4"/>
  <c r="G49" i="4" s="1"/>
  <c r="I48" i="4"/>
  <c r="I86" i="1"/>
  <c r="H78" i="1"/>
  <c r="H86" i="1" s="1"/>
  <c r="G68" i="1"/>
  <c r="I68" i="1"/>
  <c r="J68" i="1" s="1"/>
  <c r="G54" i="1"/>
  <c r="K54" i="1" s="1"/>
  <c r="I54" i="1"/>
  <c r="H54" i="1" s="1"/>
  <c r="K78" i="4" l="1"/>
  <c r="G79" i="4" s="1"/>
  <c r="I78" i="4"/>
  <c r="H78" i="4" s="1"/>
  <c r="H48" i="4"/>
  <c r="K49" i="4"/>
  <c r="G50" i="4" s="1"/>
  <c r="I49" i="4"/>
  <c r="H49" i="4" s="1"/>
  <c r="J61" i="4"/>
  <c r="K61" i="4" s="1"/>
  <c r="G62" i="4" s="1"/>
  <c r="I62" i="4" s="1"/>
  <c r="J62" i="4" s="1"/>
  <c r="K62" i="4" s="1"/>
  <c r="G63" i="4" s="1"/>
  <c r="I63" i="4" s="1"/>
  <c r="J63" i="4" s="1"/>
  <c r="K63" i="4" s="1"/>
  <c r="G64" i="4" s="1"/>
  <c r="I64" i="4" s="1"/>
  <c r="J64" i="4" s="1"/>
  <c r="K64" i="4" s="1"/>
  <c r="G65" i="4" s="1"/>
  <c r="I65" i="4" s="1"/>
  <c r="J65" i="4" s="1"/>
  <c r="K65" i="4" s="1"/>
  <c r="G66" i="4" s="1"/>
  <c r="I66" i="4" s="1"/>
  <c r="J66" i="4" s="1"/>
  <c r="K66" i="4" s="1"/>
  <c r="G67" i="4" s="1"/>
  <c r="I67" i="4" s="1"/>
  <c r="J67" i="4" s="1"/>
  <c r="K67" i="4" s="1"/>
  <c r="G68" i="4" s="1"/>
  <c r="I68" i="4" s="1"/>
  <c r="J68" i="4" s="1"/>
  <c r="K68" i="4" s="1"/>
  <c r="K68" i="1"/>
  <c r="G55" i="1"/>
  <c r="K55" i="1" s="1"/>
  <c r="I55" i="1"/>
  <c r="H55" i="1" s="1"/>
  <c r="K79" i="4" l="1"/>
  <c r="G80" i="4" s="1"/>
  <c r="I79" i="4"/>
  <c r="H79" i="4" s="1"/>
  <c r="I69" i="4"/>
  <c r="K50" i="4"/>
  <c r="G51" i="4" s="1"/>
  <c r="I50" i="4"/>
  <c r="H50" i="4" s="1"/>
  <c r="G69" i="1"/>
  <c r="I69" i="1"/>
  <c r="J69" i="1" s="1"/>
  <c r="I56" i="1"/>
  <c r="H56" i="1" s="1"/>
  <c r="G56" i="1"/>
  <c r="K56" i="1" s="1"/>
  <c r="K80" i="4" l="1"/>
  <c r="G81" i="4" s="1"/>
  <c r="I80" i="4"/>
  <c r="H80" i="4" s="1"/>
  <c r="K51" i="4"/>
  <c r="G52" i="4" s="1"/>
  <c r="I51" i="4"/>
  <c r="H51" i="4" s="1"/>
  <c r="K69" i="1"/>
  <c r="I57" i="1"/>
  <c r="H57" i="1" s="1"/>
  <c r="G57" i="1"/>
  <c r="K57" i="1" s="1"/>
  <c r="K81" i="4" l="1"/>
  <c r="I81" i="4"/>
  <c r="H81" i="4" s="1"/>
  <c r="I52" i="4"/>
  <c r="H52" i="4" s="1"/>
  <c r="K52" i="4"/>
  <c r="G53" i="4" s="1"/>
  <c r="G70" i="1"/>
  <c r="I70" i="1"/>
  <c r="J70" i="1" s="1"/>
  <c r="I53" i="4" l="1"/>
  <c r="K53" i="4"/>
  <c r="G54" i="4" s="1"/>
  <c r="K70" i="1"/>
  <c r="K54" i="4" l="1"/>
  <c r="G55" i="4" s="1"/>
  <c r="I54" i="4"/>
  <c r="H54" i="4" s="1"/>
  <c r="H53" i="4"/>
  <c r="G71" i="1"/>
  <c r="I71" i="1"/>
  <c r="J71" i="1" s="1"/>
  <c r="K55" i="4" l="1"/>
  <c r="I55" i="4"/>
  <c r="K71" i="1"/>
  <c r="H55" i="4" l="1"/>
  <c r="H56" i="4" s="1"/>
  <c r="I56" i="4"/>
</calcChain>
</file>

<file path=xl/sharedStrings.xml><?xml version="1.0" encoding="utf-8"?>
<sst xmlns="http://schemas.openxmlformats.org/spreadsheetml/2006/main" count="319" uniqueCount="119">
  <si>
    <t>inversion activos</t>
  </si>
  <si>
    <t>terreno</t>
  </si>
  <si>
    <t>bodega inventario</t>
  </si>
  <si>
    <t>maquinaria</t>
  </si>
  <si>
    <t>camionetas</t>
  </si>
  <si>
    <t>monto</t>
  </si>
  <si>
    <t>vida util años</t>
  </si>
  <si>
    <t>i)</t>
  </si>
  <si>
    <t>T.nominal</t>
  </si>
  <si>
    <t>trimestral</t>
  </si>
  <si>
    <t>n°capitalizaciones</t>
  </si>
  <si>
    <t>mensual</t>
  </si>
  <si>
    <t>T.efectiva</t>
  </si>
  <si>
    <t>anual</t>
  </si>
  <si>
    <t>semestral</t>
  </si>
  <si>
    <t>horizonte</t>
  </si>
  <si>
    <t>semestres</t>
  </si>
  <si>
    <t>periodo</t>
  </si>
  <si>
    <t>balance inicial</t>
  </si>
  <si>
    <t>cuota</t>
  </si>
  <si>
    <t xml:space="preserve">interes </t>
  </si>
  <si>
    <t>amortizacion</t>
  </si>
  <si>
    <t>balance final</t>
  </si>
  <si>
    <t>AMORTIZACION CTE</t>
  </si>
  <si>
    <t>credito</t>
  </si>
  <si>
    <t>CUOTA CTE</t>
  </si>
  <si>
    <t>ii)</t>
  </si>
  <si>
    <t>continua</t>
  </si>
  <si>
    <t>INTERES CTE</t>
  </si>
  <si>
    <t>tipo repuesto</t>
  </si>
  <si>
    <t>A</t>
  </si>
  <si>
    <t>B</t>
  </si>
  <si>
    <t>C</t>
  </si>
  <si>
    <t>Demanda</t>
  </si>
  <si>
    <t>Precio.uni</t>
  </si>
  <si>
    <t>Periodo</t>
  </si>
  <si>
    <t>1° S.2020</t>
  </si>
  <si>
    <t>2°S.2020</t>
  </si>
  <si>
    <t>1° S.2021</t>
  </si>
  <si>
    <t>2°S.2021</t>
  </si>
  <si>
    <t>1° S.2022</t>
  </si>
  <si>
    <t>2°S.2022</t>
  </si>
  <si>
    <t>1° S.2023</t>
  </si>
  <si>
    <t>2°S.2023</t>
  </si>
  <si>
    <t>1° S.2024</t>
  </si>
  <si>
    <t>Repuesto A</t>
  </si>
  <si>
    <t>Repuesto B</t>
  </si>
  <si>
    <t>Repuesto C</t>
  </si>
  <si>
    <t>participacion</t>
  </si>
  <si>
    <t>participacion Total</t>
  </si>
  <si>
    <t>T.nomial</t>
  </si>
  <si>
    <t>n°capitali.</t>
  </si>
  <si>
    <t>TREMA</t>
  </si>
  <si>
    <t>41,6%</t>
  </si>
  <si>
    <t>depre.anual</t>
  </si>
  <si>
    <t>depre.semestral</t>
  </si>
  <si>
    <t>depre.Total</t>
  </si>
  <si>
    <t>ingresos</t>
  </si>
  <si>
    <t>CV</t>
  </si>
  <si>
    <t>Costo Fijo</t>
  </si>
  <si>
    <t>Participacion A</t>
  </si>
  <si>
    <t>participacion(unid)</t>
  </si>
  <si>
    <t>Participacion B</t>
  </si>
  <si>
    <t>Participacion C</t>
  </si>
  <si>
    <t>CV A</t>
  </si>
  <si>
    <t>CV B</t>
  </si>
  <si>
    <t>CV C</t>
  </si>
  <si>
    <t>CV Total</t>
  </si>
  <si>
    <t>Ingresos</t>
  </si>
  <si>
    <t>G.administracion</t>
  </si>
  <si>
    <t>impuesto</t>
  </si>
  <si>
    <t>Margen</t>
  </si>
  <si>
    <t>CF</t>
  </si>
  <si>
    <t>interes</t>
  </si>
  <si>
    <t>Depreciacion</t>
  </si>
  <si>
    <t>UAI</t>
  </si>
  <si>
    <t>UDI</t>
  </si>
  <si>
    <t>inversion</t>
  </si>
  <si>
    <t>prestamo</t>
  </si>
  <si>
    <t>flujo</t>
  </si>
  <si>
    <t>vida util(anios)</t>
  </si>
  <si>
    <t>Terreno</t>
  </si>
  <si>
    <t>Bodega</t>
  </si>
  <si>
    <t>Maquinaria</t>
  </si>
  <si>
    <t>Camionetas</t>
  </si>
  <si>
    <t>Credito</t>
  </si>
  <si>
    <t>Total Activos</t>
  </si>
  <si>
    <t>tasa nominal</t>
  </si>
  <si>
    <t>tasa efectiva</t>
  </si>
  <si>
    <t>Balance Inicial</t>
  </si>
  <si>
    <t>Cuota</t>
  </si>
  <si>
    <t>Interes</t>
  </si>
  <si>
    <t>Amortizacion</t>
  </si>
  <si>
    <t>Balance final</t>
  </si>
  <si>
    <t>Amortizacion cte</t>
  </si>
  <si>
    <t>Cuota cte</t>
  </si>
  <si>
    <t>iii)</t>
  </si>
  <si>
    <t>continua efectiva</t>
  </si>
  <si>
    <t>1 Sem 2020</t>
  </si>
  <si>
    <t>ingreso</t>
  </si>
  <si>
    <t>2 Sem 2020</t>
  </si>
  <si>
    <t>1 Sem 2021</t>
  </si>
  <si>
    <t>2 Sem 2021</t>
  </si>
  <si>
    <t xml:space="preserve">1 Sem 2022 </t>
  </si>
  <si>
    <t>2 Sem 2022</t>
  </si>
  <si>
    <t>1 Sem 2023</t>
  </si>
  <si>
    <t>2 Sem 2023</t>
  </si>
  <si>
    <t>1 Sem 2024</t>
  </si>
  <si>
    <t>Participacion</t>
  </si>
  <si>
    <t>Total Ingresos</t>
  </si>
  <si>
    <t>Mantener</t>
  </si>
  <si>
    <t>mantencion</t>
  </si>
  <si>
    <t>VM</t>
  </si>
  <si>
    <t>Costo Oportunidad</t>
  </si>
  <si>
    <t>VAC</t>
  </si>
  <si>
    <t>CAUE</t>
  </si>
  <si>
    <t>Flujo</t>
  </si>
  <si>
    <t>n° capitaliz.</t>
  </si>
  <si>
    <t>Renovar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</si>
</sst>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0.0%"/>
    <numFmt numFmtId="166" formatCode="_(&quot;$&quot;* #,##0.0_);_(&quot;$&quot;* \(#,##0.0\);_(&quot;$&quot;* &quot;-&quot;??_);_(@_)"/>
    <numFmt numFmtId="167" formatCode="_(&quot;$&quot;* #,##0.0_);_(&quot;$&quot;* \(#,##0.0\);_(&quot;$&quot;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15" borderId="0" applyNumberFormat="0" applyBorder="0" applyAlignment="0" applyProtection="0"/>
    <xf numFmtId="0" fontId="4" fillId="16" borderId="0" applyNumberFormat="0" applyBorder="0" applyAlignment="0" applyProtection="0"/>
    <xf numFmtId="0" fontId="5" fillId="17" borderId="0" applyNumberFormat="0" applyBorder="0" applyAlignment="0" applyProtection="0"/>
  </cellStyleXfs>
  <cellXfs count="68">
    <xf numFmtId="0" fontId="0" fillId="0" borderId="0" xfId="0"/>
    <xf numFmtId="0" fontId="0" fillId="0" borderId="1" xfId="0" applyBorder="1"/>
    <xf numFmtId="44" fontId="0" fillId="0" borderId="1" xfId="2" applyFont="1" applyBorder="1"/>
    <xf numFmtId="10" fontId="0" fillId="0" borderId="1" xfId="0" applyNumberFormat="1" applyBorder="1"/>
    <xf numFmtId="10" fontId="0" fillId="0" borderId="1" xfId="3" applyNumberFormat="1" applyFont="1" applyBorder="1"/>
    <xf numFmtId="0" fontId="0" fillId="2" borderId="1" xfId="0" applyFill="1" applyBorder="1"/>
    <xf numFmtId="10" fontId="0" fillId="3" borderId="1" xfId="3" applyNumberFormat="1" applyFont="1" applyFill="1" applyBorder="1"/>
    <xf numFmtId="0" fontId="0" fillId="3" borderId="1" xfId="0" applyFill="1" applyBorder="1"/>
    <xf numFmtId="0" fontId="0" fillId="2" borderId="2" xfId="0" applyFill="1" applyBorder="1"/>
    <xf numFmtId="0" fontId="0" fillId="0" borderId="2" xfId="0" applyBorder="1"/>
    <xf numFmtId="0" fontId="0" fillId="4" borderId="1" xfId="0" applyFill="1" applyBorder="1"/>
    <xf numFmtId="44" fontId="0" fillId="0" borderId="0" xfId="0" applyNumberFormat="1"/>
    <xf numFmtId="44" fontId="0" fillId="0" borderId="1" xfId="0" applyNumberFormat="1" applyBorder="1"/>
    <xf numFmtId="44" fontId="0" fillId="2" borderId="1" xfId="0" applyNumberFormat="1" applyFill="1" applyBorder="1"/>
    <xf numFmtId="44" fontId="0" fillId="2" borderId="1" xfId="2" applyFont="1" applyFill="1" applyBorder="1"/>
    <xf numFmtId="164" fontId="0" fillId="2" borderId="1" xfId="2" applyNumberFormat="1" applyFont="1" applyFill="1" applyBorder="1"/>
    <xf numFmtId="8" fontId="0" fillId="2" borderId="1" xfId="0" applyNumberFormat="1" applyFill="1" applyBorder="1"/>
    <xf numFmtId="44" fontId="0" fillId="5" borderId="1" xfId="2" applyFont="1" applyFill="1" applyBorder="1"/>
    <xf numFmtId="44" fontId="0" fillId="6" borderId="1" xfId="0" applyNumberFormat="1" applyFill="1" applyBorder="1"/>
    <xf numFmtId="43" fontId="0" fillId="0" borderId="0" xfId="1" applyFont="1"/>
    <xf numFmtId="44" fontId="0" fillId="0" borderId="0" xfId="2" applyFont="1" applyFill="1" applyBorder="1"/>
    <xf numFmtId="43" fontId="0" fillId="0" borderId="1" xfId="1" applyFont="1" applyBorder="1"/>
    <xf numFmtId="43" fontId="0" fillId="2" borderId="1" xfId="0" applyNumberFormat="1" applyFill="1" applyBorder="1"/>
    <xf numFmtId="43" fontId="0" fillId="3" borderId="1" xfId="0" applyNumberFormat="1" applyFill="1" applyBorder="1"/>
    <xf numFmtId="165" fontId="0" fillId="2" borderId="1" xfId="0" applyNumberFormat="1" applyFill="1" applyBorder="1"/>
    <xf numFmtId="44" fontId="0" fillId="0" borderId="2" xfId="0" applyNumberFormat="1" applyBorder="1"/>
    <xf numFmtId="43" fontId="0" fillId="2" borderId="1" xfId="1" applyFont="1" applyFill="1" applyBorder="1"/>
    <xf numFmtId="43" fontId="0" fillId="7" borderId="1" xfId="0" applyNumberFormat="1" applyFill="1" applyBorder="1"/>
    <xf numFmtId="0" fontId="0" fillId="0" borderId="3" xfId="0" applyBorder="1"/>
    <xf numFmtId="43" fontId="0" fillId="7" borderId="1" xfId="1" applyFont="1" applyFill="1" applyBorder="1"/>
    <xf numFmtId="43" fontId="0" fillId="0" borderId="1" xfId="0" applyNumberFormat="1" applyBorder="1"/>
    <xf numFmtId="0" fontId="0" fillId="8" borderId="1" xfId="0" applyFill="1" applyBorder="1"/>
    <xf numFmtId="44" fontId="0" fillId="8" borderId="1" xfId="2" applyFont="1" applyFill="1" applyBorder="1"/>
    <xf numFmtId="9" fontId="0" fillId="2" borderId="0" xfId="0" applyNumberFormat="1" applyFill="1"/>
    <xf numFmtId="44" fontId="0" fillId="7" borderId="1" xfId="2" applyFont="1" applyFill="1" applyBorder="1"/>
    <xf numFmtId="0" fontId="0" fillId="10" borderId="0" xfId="0" applyFill="1"/>
    <xf numFmtId="0" fontId="0" fillId="9" borderId="1" xfId="0" applyFill="1" applyBorder="1"/>
    <xf numFmtId="44" fontId="0" fillId="9" borderId="1" xfId="0" applyNumberFormat="1" applyFill="1" applyBorder="1"/>
    <xf numFmtId="0" fontId="0" fillId="7" borderId="1" xfId="0" applyFill="1" applyBorder="1"/>
    <xf numFmtId="44" fontId="0" fillId="3" borderId="1" xfId="0" applyNumberFormat="1" applyFill="1" applyBorder="1"/>
    <xf numFmtId="164" fontId="0" fillId="0" borderId="1" xfId="2" applyNumberFormat="1" applyFont="1" applyBorder="1"/>
    <xf numFmtId="0" fontId="0" fillId="11" borderId="1" xfId="0" applyFill="1" applyBorder="1"/>
    <xf numFmtId="164" fontId="0" fillId="0" borderId="1" xfId="0" applyNumberFormat="1" applyBorder="1"/>
    <xf numFmtId="0" fontId="0" fillId="12" borderId="1" xfId="0" applyFill="1" applyBorder="1"/>
    <xf numFmtId="10" fontId="0" fillId="12" borderId="1" xfId="3" applyNumberFormat="1" applyFont="1" applyFill="1" applyBorder="1"/>
    <xf numFmtId="166" fontId="0" fillId="0" borderId="1" xfId="2" applyNumberFormat="1" applyFont="1" applyBorder="1"/>
    <xf numFmtId="166" fontId="0" fillId="0" borderId="1" xfId="0" applyNumberFormat="1" applyBorder="1"/>
    <xf numFmtId="8" fontId="0" fillId="0" borderId="1" xfId="0" applyNumberFormat="1" applyBorder="1"/>
    <xf numFmtId="167" fontId="0" fillId="0" borderId="1" xfId="0" applyNumberFormat="1" applyBorder="1"/>
    <xf numFmtId="0" fontId="0" fillId="0" borderId="1" xfId="1" applyNumberFormat="1" applyFont="1" applyBorder="1"/>
    <xf numFmtId="0" fontId="2" fillId="0" borderId="0" xfId="0" applyFont="1"/>
    <xf numFmtId="8" fontId="0" fillId="6" borderId="1" xfId="0" applyNumberFormat="1" applyFill="1" applyBorder="1"/>
    <xf numFmtId="166" fontId="0" fillId="5" borderId="1" xfId="0" applyNumberFormat="1" applyFill="1" applyBorder="1"/>
    <xf numFmtId="0" fontId="0" fillId="13" borderId="1" xfId="0" applyFill="1" applyBorder="1"/>
    <xf numFmtId="164" fontId="0" fillId="13" borderId="1" xfId="2" applyNumberFormat="1" applyFont="1" applyFill="1" applyBorder="1"/>
    <xf numFmtId="0" fontId="0" fillId="14" borderId="1" xfId="0" applyFill="1" applyBorder="1"/>
    <xf numFmtId="164" fontId="0" fillId="14" borderId="1" xfId="2" applyNumberFormat="1" applyFont="1" applyFill="1" applyBorder="1"/>
    <xf numFmtId="0" fontId="0" fillId="4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17" borderId="1" xfId="6" applyBorder="1"/>
    <xf numFmtId="0" fontId="0" fillId="0" borderId="0" xfId="0" applyFill="1" applyBorder="1"/>
    <xf numFmtId="0" fontId="0" fillId="0" borderId="4" xfId="0" applyBorder="1"/>
    <xf numFmtId="164" fontId="0" fillId="0" borderId="4" xfId="2" applyNumberFormat="1" applyFont="1" applyBorder="1"/>
    <xf numFmtId="0" fontId="0" fillId="0" borderId="1" xfId="0" applyFill="1" applyBorder="1"/>
    <xf numFmtId="164" fontId="0" fillId="0" borderId="0" xfId="2" applyNumberFormat="1" applyFont="1" applyBorder="1"/>
    <xf numFmtId="10" fontId="5" fillId="17" borderId="1" xfId="6" applyNumberFormat="1" applyBorder="1"/>
    <xf numFmtId="8" fontId="3" fillId="15" borderId="1" xfId="4" applyNumberFormat="1" applyBorder="1"/>
    <xf numFmtId="8" fontId="4" fillId="16" borderId="1" xfId="5" applyNumberFormat="1" applyBorder="1"/>
  </cellXfs>
  <cellStyles count="7">
    <cellStyle name="Bueno" xfId="4" builtinId="26"/>
    <cellStyle name="Incorrecto" xfId="5" builtinId="27"/>
    <cellStyle name="Millares" xfId="1" builtinId="3"/>
    <cellStyle name="Moneda" xfId="2" builtinId="4"/>
    <cellStyle name="Neutral" xfId="6" builtinId="28"/>
    <cellStyle name="Normal" xfId="0" builtinId="0"/>
    <cellStyle name="Porcentaje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989280</xdr:colOff>
      <xdr:row>39</xdr:row>
      <xdr:rowOff>94381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7C82C55-959A-C7F5-9AF0-09A2AA6D8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0561905" cy="69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200025</xdr:colOff>
      <xdr:row>0</xdr:row>
      <xdr:rowOff>85725</xdr:rowOff>
    </xdr:from>
    <xdr:to>
      <xdr:col>21</xdr:col>
      <xdr:colOff>398977</xdr:colOff>
      <xdr:row>33</xdr:row>
      <xdr:rowOff>65892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F6EDB5E-E651-91E4-0BDC-5F8958FEE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44350" y="85725"/>
          <a:ext cx="8580952" cy="62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1180031</xdr:colOff>
      <xdr:row>21</xdr:row>
      <xdr:rowOff>132833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8F63A5E-7402-1DA8-0BA4-9BE92C369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52381" cy="41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9</xdr:col>
      <xdr:colOff>504825</xdr:colOff>
      <xdr:row>34</xdr:row>
      <xdr:rowOff>62441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833B963-2FCD-43DD-B317-EE1A72367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0"/>
          <a:ext cx="9934575" cy="65394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22</xdr:col>
      <xdr:colOff>198952</xdr:colOff>
      <xdr:row>33</xdr:row>
      <xdr:rowOff>170667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CF59C40-C335-4CAE-84F0-CB61C7BF3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0" y="190500"/>
          <a:ext cx="8580952" cy="62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572247</xdr:colOff>
      <xdr:row>24</xdr:row>
      <xdr:rowOff>123825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C63E11-A5FD-458F-BFA7-CD11C0AF6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16247" cy="46958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0</xdr:row>
      <xdr:rowOff>9525</xdr:rowOff>
    </xdr:from>
    <xdr:to>
      <xdr:col>7</xdr:col>
      <xdr:colOff>304127</xdr:colOff>
      <xdr:row>30</xdr:row>
      <xdr:rowOff>56430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6679FE5-85C7-6237-002D-63E383449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9525"/>
          <a:ext cx="5380952" cy="5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1:K86"/>
  <sheetViews>
    <sheetView workbookViewId="0">
      <selection activeCell="I78" sqref="I78"/>
    </sheetView>
  </sheetViews>
  <sheetFormatPr baseColWidth="10" defaultColWidth="9.140625" defaultRowHeight="15" x14ac:dyDescent="0.25"/>
  <cols>
    <col min="2" max="2" width="22.140625" customWidth="1"/>
    <col min="3" max="3" width="18" customWidth="1"/>
    <col min="4" max="4" width="14.5703125" customWidth="1"/>
    <col min="5" max="5" width="17.7109375" customWidth="1"/>
    <col min="6" max="6" width="17.42578125" customWidth="1"/>
    <col min="7" max="7" width="23.5703125" customWidth="1"/>
    <col min="8" max="8" width="21" customWidth="1"/>
    <col min="9" max="9" width="22" customWidth="1"/>
    <col min="10" max="10" width="20.140625" customWidth="1"/>
    <col min="11" max="11" width="22.7109375" customWidth="1"/>
    <col min="12" max="12" width="16" customWidth="1"/>
    <col min="13" max="13" width="15.85546875" customWidth="1"/>
  </cols>
  <sheetData>
    <row r="41" spans="1:11" x14ac:dyDescent="0.25">
      <c r="B41" s="1" t="s">
        <v>0</v>
      </c>
      <c r="C41" s="1" t="s">
        <v>5</v>
      </c>
      <c r="D41" s="1" t="s">
        <v>6</v>
      </c>
      <c r="E41" s="11">
        <f>SUM(C42:C45)</f>
        <v>5435000000</v>
      </c>
    </row>
    <row r="42" spans="1:11" x14ac:dyDescent="0.25">
      <c r="B42" s="1" t="s">
        <v>1</v>
      </c>
      <c r="C42" s="2">
        <v>2550000000</v>
      </c>
      <c r="D42" s="2"/>
    </row>
    <row r="43" spans="1:11" x14ac:dyDescent="0.25">
      <c r="B43" s="1" t="s">
        <v>2</v>
      </c>
      <c r="C43" s="2">
        <v>705000000</v>
      </c>
      <c r="D43" s="2">
        <v>15</v>
      </c>
    </row>
    <row r="44" spans="1:11" x14ac:dyDescent="0.25">
      <c r="B44" s="1" t="s">
        <v>3</v>
      </c>
      <c r="C44" s="2">
        <v>1500000000</v>
      </c>
      <c r="D44" s="2">
        <v>10</v>
      </c>
    </row>
    <row r="45" spans="1:11" x14ac:dyDescent="0.25">
      <c r="B45" s="1" t="s">
        <v>4</v>
      </c>
      <c r="C45" s="2">
        <v>680000000</v>
      </c>
      <c r="D45" s="2">
        <v>6</v>
      </c>
    </row>
    <row r="46" spans="1:11" x14ac:dyDescent="0.25">
      <c r="B46" s="1" t="s">
        <v>24</v>
      </c>
      <c r="C46" s="12">
        <f>SUM(C42:C45)*0.45</f>
        <v>2445750000</v>
      </c>
    </row>
    <row r="47" spans="1:11" x14ac:dyDescent="0.25">
      <c r="F47" s="57" t="s">
        <v>23</v>
      </c>
      <c r="G47" s="57"/>
      <c r="H47" s="57"/>
      <c r="I47" s="57"/>
      <c r="J47" s="57"/>
      <c r="K47" s="57"/>
    </row>
    <row r="48" spans="1:11" x14ac:dyDescent="0.25">
      <c r="A48" t="s">
        <v>7</v>
      </c>
      <c r="B48" s="5" t="s">
        <v>8</v>
      </c>
      <c r="C48" s="3">
        <v>7.4999999999999997E-2</v>
      </c>
      <c r="D48" s="1" t="s">
        <v>9</v>
      </c>
      <c r="F48" s="10" t="s">
        <v>17</v>
      </c>
      <c r="G48" s="10" t="s">
        <v>18</v>
      </c>
      <c r="H48" s="10" t="s">
        <v>19</v>
      </c>
      <c r="I48" s="10" t="s">
        <v>20</v>
      </c>
      <c r="J48" s="10" t="s">
        <v>21</v>
      </c>
      <c r="K48" s="10" t="s">
        <v>22</v>
      </c>
    </row>
    <row r="49" spans="1:11" x14ac:dyDescent="0.25">
      <c r="B49" s="5" t="s">
        <v>8</v>
      </c>
      <c r="C49" s="3">
        <f>C48*4</f>
        <v>0.3</v>
      </c>
      <c r="D49" s="1" t="s">
        <v>13</v>
      </c>
      <c r="F49" s="5">
        <v>0</v>
      </c>
      <c r="G49" s="14"/>
      <c r="H49" s="14"/>
      <c r="I49" s="14"/>
      <c r="J49" s="14"/>
      <c r="K49" s="15">
        <f>C46</f>
        <v>2445750000</v>
      </c>
    </row>
    <row r="50" spans="1:11" x14ac:dyDescent="0.25">
      <c r="B50" s="5" t="s">
        <v>10</v>
      </c>
      <c r="C50" s="1">
        <v>12</v>
      </c>
      <c r="D50" s="1" t="s">
        <v>11</v>
      </c>
      <c r="F50" s="5">
        <v>1</v>
      </c>
      <c r="G50" s="14">
        <f>K49</f>
        <v>2445750000</v>
      </c>
      <c r="H50" s="14">
        <f>I50+J50</f>
        <v>696288927.59417617</v>
      </c>
      <c r="I50" s="14">
        <f>K49*$C$53</f>
        <v>390570177.59417617</v>
      </c>
      <c r="J50" s="14">
        <f>$K$49/$F$57</f>
        <v>305718750</v>
      </c>
      <c r="K50" s="14">
        <f>G50-J50</f>
        <v>2140031250</v>
      </c>
    </row>
    <row r="51" spans="1:11" x14ac:dyDescent="0.25">
      <c r="B51" s="5" t="s">
        <v>12</v>
      </c>
      <c r="C51" s="4">
        <f>POWER(1+(C49/C50),C50)-1</f>
        <v>0.34488882424629752</v>
      </c>
      <c r="D51" s="1" t="s">
        <v>13</v>
      </c>
      <c r="F51" s="5">
        <v>2</v>
      </c>
      <c r="G51" s="14">
        <f t="shared" ref="G51:G57" si="0">K50</f>
        <v>2140031250</v>
      </c>
      <c r="H51" s="14">
        <f t="shared" ref="H51:H57" si="1">I51+J51</f>
        <v>647467655.39490414</v>
      </c>
      <c r="I51" s="14">
        <f t="shared" ref="I51:I57" si="2">K50*$C$53</f>
        <v>341748905.39490414</v>
      </c>
      <c r="J51" s="14">
        <f t="shared" ref="J51:J57" si="3">$K$49/$F$57</f>
        <v>305718750</v>
      </c>
      <c r="K51" s="14">
        <f t="shared" ref="K51:K57" si="4">G51-J51</f>
        <v>1834312500</v>
      </c>
    </row>
    <row r="52" spans="1:11" x14ac:dyDescent="0.25">
      <c r="B52" s="5" t="s">
        <v>10</v>
      </c>
      <c r="C52" s="1">
        <v>2</v>
      </c>
      <c r="D52" s="1" t="s">
        <v>14</v>
      </c>
      <c r="F52" s="5">
        <v>3</v>
      </c>
      <c r="G52" s="14">
        <f t="shared" si="0"/>
        <v>1834312500</v>
      </c>
      <c r="H52" s="14">
        <f t="shared" si="1"/>
        <v>598646383.1956321</v>
      </c>
      <c r="I52" s="14">
        <f t="shared" si="2"/>
        <v>292927633.1956321</v>
      </c>
      <c r="J52" s="14">
        <f t="shared" si="3"/>
        <v>305718750</v>
      </c>
      <c r="K52" s="14">
        <f t="shared" si="4"/>
        <v>1528593750</v>
      </c>
    </row>
    <row r="53" spans="1:11" x14ac:dyDescent="0.25">
      <c r="B53" s="5" t="s">
        <v>12</v>
      </c>
      <c r="C53" s="6">
        <f>POWER(1+C51,1/C52)-1</f>
        <v>0.15969341821289018</v>
      </c>
      <c r="D53" s="7" t="s">
        <v>14</v>
      </c>
      <c r="F53" s="5">
        <v>4</v>
      </c>
      <c r="G53" s="14">
        <f t="shared" si="0"/>
        <v>1528593750</v>
      </c>
      <c r="H53" s="14">
        <f t="shared" si="1"/>
        <v>549825110.99636006</v>
      </c>
      <c r="I53" s="14">
        <f t="shared" si="2"/>
        <v>244106360.99636009</v>
      </c>
      <c r="J53" s="14">
        <f t="shared" si="3"/>
        <v>305718750</v>
      </c>
      <c r="K53" s="14">
        <f t="shared" si="4"/>
        <v>1222875000</v>
      </c>
    </row>
    <row r="54" spans="1:11" x14ac:dyDescent="0.25">
      <c r="B54" s="5" t="s">
        <v>15</v>
      </c>
      <c r="C54" s="1">
        <v>8</v>
      </c>
      <c r="D54" s="1" t="s">
        <v>16</v>
      </c>
      <c r="F54" s="5">
        <v>5</v>
      </c>
      <c r="G54" s="14">
        <f t="shared" si="0"/>
        <v>1222875000</v>
      </c>
      <c r="H54" s="14">
        <f t="shared" si="1"/>
        <v>501003838.79708809</v>
      </c>
      <c r="I54" s="14">
        <f t="shared" si="2"/>
        <v>195285088.79708809</v>
      </c>
      <c r="J54" s="14">
        <f t="shared" si="3"/>
        <v>305718750</v>
      </c>
      <c r="K54" s="14">
        <f t="shared" si="4"/>
        <v>917156250</v>
      </c>
    </row>
    <row r="55" spans="1:11" x14ac:dyDescent="0.25">
      <c r="F55" s="5">
        <v>6</v>
      </c>
      <c r="G55" s="14">
        <f t="shared" si="0"/>
        <v>917156250</v>
      </c>
      <c r="H55" s="14">
        <f t="shared" si="1"/>
        <v>452182566.59781605</v>
      </c>
      <c r="I55" s="14">
        <f t="shared" si="2"/>
        <v>146463816.59781605</v>
      </c>
      <c r="J55" s="14">
        <f t="shared" si="3"/>
        <v>305718750</v>
      </c>
      <c r="K55" s="14">
        <f t="shared" si="4"/>
        <v>611437500</v>
      </c>
    </row>
    <row r="56" spans="1:11" x14ac:dyDescent="0.25">
      <c r="F56" s="5">
        <v>7</v>
      </c>
      <c r="G56" s="14">
        <f t="shared" si="0"/>
        <v>611437500</v>
      </c>
      <c r="H56" s="14">
        <f t="shared" si="1"/>
        <v>403361294.39854407</v>
      </c>
      <c r="I56" s="14">
        <f t="shared" si="2"/>
        <v>97642544.398544043</v>
      </c>
      <c r="J56" s="14">
        <f t="shared" si="3"/>
        <v>305718750</v>
      </c>
      <c r="K56" s="14">
        <f t="shared" si="4"/>
        <v>305718750</v>
      </c>
    </row>
    <row r="57" spans="1:11" x14ac:dyDescent="0.25">
      <c r="F57" s="5">
        <v>8</v>
      </c>
      <c r="G57" s="14">
        <f t="shared" si="0"/>
        <v>305718750</v>
      </c>
      <c r="H57" s="14">
        <f t="shared" si="1"/>
        <v>354540022.19927204</v>
      </c>
      <c r="I57" s="14">
        <f t="shared" si="2"/>
        <v>48821272.199272022</v>
      </c>
      <c r="J57" s="14">
        <f t="shared" si="3"/>
        <v>305718750</v>
      </c>
      <c r="K57" s="14">
        <f t="shared" si="4"/>
        <v>0</v>
      </c>
    </row>
    <row r="58" spans="1:11" x14ac:dyDescent="0.25">
      <c r="H58" s="13">
        <f>SUM(H50:H57)</f>
        <v>4203315799.1737928</v>
      </c>
      <c r="I58" s="17">
        <f>SUM(I50:I57)</f>
        <v>1757565799.1737926</v>
      </c>
      <c r="J58" s="13">
        <f>SUM(J50:J57)</f>
        <v>2445750000</v>
      </c>
    </row>
    <row r="61" spans="1:11" x14ac:dyDescent="0.25">
      <c r="A61" t="s">
        <v>26</v>
      </c>
      <c r="B61" s="5" t="s">
        <v>8</v>
      </c>
      <c r="C61" s="3">
        <v>0.20499999999999999</v>
      </c>
      <c r="D61" s="1" t="s">
        <v>14</v>
      </c>
      <c r="F61" s="57" t="s">
        <v>25</v>
      </c>
      <c r="G61" s="57"/>
      <c r="H61" s="57"/>
      <c r="I61" s="57"/>
      <c r="J61" s="57"/>
      <c r="K61" s="57"/>
    </row>
    <row r="62" spans="1:11" x14ac:dyDescent="0.25">
      <c r="B62" s="5" t="s">
        <v>8</v>
      </c>
      <c r="C62" s="4">
        <f>C61*2</f>
        <v>0.41</v>
      </c>
      <c r="D62" s="1" t="s">
        <v>13</v>
      </c>
      <c r="F62" s="10" t="s">
        <v>17</v>
      </c>
      <c r="G62" s="10" t="s">
        <v>18</v>
      </c>
      <c r="H62" s="10" t="s">
        <v>19</v>
      </c>
      <c r="I62" s="10" t="s">
        <v>20</v>
      </c>
      <c r="J62" s="10" t="s">
        <v>21</v>
      </c>
      <c r="K62" s="10" t="s">
        <v>22</v>
      </c>
    </row>
    <row r="63" spans="1:11" x14ac:dyDescent="0.25">
      <c r="B63" s="5" t="s">
        <v>10</v>
      </c>
      <c r="C63" s="1">
        <v>4</v>
      </c>
      <c r="D63" s="1" t="s">
        <v>9</v>
      </c>
      <c r="F63" s="5">
        <v>0</v>
      </c>
      <c r="G63" s="5"/>
      <c r="H63" s="5"/>
      <c r="I63" s="5"/>
      <c r="J63" s="5"/>
      <c r="K63" s="13">
        <f>C46</f>
        <v>2445750000</v>
      </c>
    </row>
    <row r="64" spans="1:11" x14ac:dyDescent="0.25">
      <c r="B64" s="5" t="s">
        <v>12</v>
      </c>
      <c r="C64" s="4">
        <f>POWER(1+(C62/C63),C63)-1</f>
        <v>0.47745544378906257</v>
      </c>
      <c r="D64" s="1" t="s">
        <v>13</v>
      </c>
      <c r="F64" s="5">
        <v>1</v>
      </c>
      <c r="G64" s="13">
        <f>K63</f>
        <v>2445750000</v>
      </c>
      <c r="H64" s="16">
        <f>PMT($C$66,$F$71,-$K$63)</f>
        <v>667069790.76819599</v>
      </c>
      <c r="I64" s="13">
        <f>K63*$C$66</f>
        <v>527074410.9375</v>
      </c>
      <c r="J64" s="16">
        <f>H64-I64</f>
        <v>139995379.83069599</v>
      </c>
      <c r="K64" s="13">
        <f>G64-J64</f>
        <v>2305754620.1693039</v>
      </c>
    </row>
    <row r="65" spans="2:11" x14ac:dyDescent="0.25">
      <c r="B65" s="5" t="s">
        <v>10</v>
      </c>
      <c r="C65" s="1">
        <v>2</v>
      </c>
      <c r="D65" s="1" t="s">
        <v>14</v>
      </c>
      <c r="F65" s="5">
        <v>2</v>
      </c>
      <c r="G65" s="13">
        <f t="shared" ref="G65:G71" si="5">K64</f>
        <v>2305754620.1693039</v>
      </c>
      <c r="H65" s="16">
        <f t="shared" ref="H65:H71" si="6">PMT($C$66,$F$71,-$K$63)</f>
        <v>667069790.76819599</v>
      </c>
      <c r="I65" s="13">
        <f t="shared" ref="I65:I71" si="7">K64*$C$66</f>
        <v>496904531.6128611</v>
      </c>
      <c r="J65" s="16">
        <f t="shared" ref="J65:J71" si="8">H65-I65</f>
        <v>170165259.15533489</v>
      </c>
      <c r="K65" s="13">
        <f t="shared" ref="K65:K71" si="9">G65-J65</f>
        <v>2135589361.0139689</v>
      </c>
    </row>
    <row r="66" spans="2:11" x14ac:dyDescent="0.25">
      <c r="B66" s="5" t="s">
        <v>12</v>
      </c>
      <c r="C66" s="4">
        <f>POWER(1+C64,1/C65)-1</f>
        <v>0.21550625000000001</v>
      </c>
      <c r="D66" s="1" t="s">
        <v>14</v>
      </c>
      <c r="F66" s="5">
        <v>3</v>
      </c>
      <c r="G66" s="13">
        <f t="shared" si="5"/>
        <v>2135589361.0139689</v>
      </c>
      <c r="H66" s="16">
        <f t="shared" si="6"/>
        <v>667069790.76819599</v>
      </c>
      <c r="I66" s="13">
        <f t="shared" si="7"/>
        <v>460232854.73201668</v>
      </c>
      <c r="J66" s="16">
        <f t="shared" si="8"/>
        <v>206836936.0361793</v>
      </c>
      <c r="K66" s="13">
        <f t="shared" si="9"/>
        <v>1928752424.9777896</v>
      </c>
    </row>
    <row r="67" spans="2:11" x14ac:dyDescent="0.25">
      <c r="B67" s="5" t="s">
        <v>15</v>
      </c>
      <c r="C67" s="1">
        <v>8</v>
      </c>
      <c r="D67" s="1" t="s">
        <v>16</v>
      </c>
      <c r="F67" s="5">
        <v>4</v>
      </c>
      <c r="G67" s="13">
        <f t="shared" si="5"/>
        <v>1928752424.9777896</v>
      </c>
      <c r="H67" s="16">
        <f t="shared" si="6"/>
        <v>667069790.76819599</v>
      </c>
      <c r="I67" s="13">
        <f t="shared" si="7"/>
        <v>415658202.28536981</v>
      </c>
      <c r="J67" s="16">
        <f t="shared" si="8"/>
        <v>251411588.48282617</v>
      </c>
      <c r="K67" s="13">
        <f t="shared" si="9"/>
        <v>1677340836.4949634</v>
      </c>
    </row>
    <row r="68" spans="2:11" x14ac:dyDescent="0.25">
      <c r="F68" s="5">
        <v>5</v>
      </c>
      <c r="G68" s="13">
        <f t="shared" si="5"/>
        <v>1677340836.4949634</v>
      </c>
      <c r="H68" s="16">
        <f t="shared" si="6"/>
        <v>667069790.76819599</v>
      </c>
      <c r="I68" s="13">
        <f t="shared" si="7"/>
        <v>361477433.64489275</v>
      </c>
      <c r="J68" s="16">
        <f t="shared" si="8"/>
        <v>305592357.12330323</v>
      </c>
      <c r="K68" s="13">
        <f t="shared" si="9"/>
        <v>1371748479.3716602</v>
      </c>
    </row>
    <row r="69" spans="2:11" x14ac:dyDescent="0.25">
      <c r="F69" s="5">
        <v>6</v>
      </c>
      <c r="G69" s="13">
        <f t="shared" si="5"/>
        <v>1371748479.3716602</v>
      </c>
      <c r="H69" s="16">
        <f t="shared" si="6"/>
        <v>667069790.76819599</v>
      </c>
      <c r="I69" s="13">
        <f t="shared" si="7"/>
        <v>295620370.73258889</v>
      </c>
      <c r="J69" s="16">
        <f t="shared" si="8"/>
        <v>371449420.0356071</v>
      </c>
      <c r="K69" s="13">
        <f t="shared" si="9"/>
        <v>1000299059.3360531</v>
      </c>
    </row>
    <row r="70" spans="2:11" x14ac:dyDescent="0.25">
      <c r="F70" s="5">
        <v>7</v>
      </c>
      <c r="G70" s="13">
        <f t="shared" si="5"/>
        <v>1000299059.3360531</v>
      </c>
      <c r="H70" s="16">
        <f t="shared" si="6"/>
        <v>667069790.76819599</v>
      </c>
      <c r="I70" s="13">
        <f t="shared" si="7"/>
        <v>215570699.15604031</v>
      </c>
      <c r="J70" s="16">
        <f t="shared" si="8"/>
        <v>451499091.61215568</v>
      </c>
      <c r="K70" s="13">
        <f t="shared" si="9"/>
        <v>548799967.72389746</v>
      </c>
    </row>
    <row r="71" spans="2:11" x14ac:dyDescent="0.25">
      <c r="F71" s="5">
        <v>8</v>
      </c>
      <c r="G71" s="13">
        <f t="shared" si="5"/>
        <v>548799967.72389746</v>
      </c>
      <c r="H71" s="16">
        <f t="shared" si="6"/>
        <v>667069790.76819599</v>
      </c>
      <c r="I71" s="13">
        <f t="shared" si="7"/>
        <v>118269823.04429819</v>
      </c>
      <c r="J71" s="16">
        <f t="shared" si="8"/>
        <v>548799967.72389781</v>
      </c>
      <c r="K71" s="13">
        <f t="shared" si="9"/>
        <v>0</v>
      </c>
    </row>
    <row r="72" spans="2:11" x14ac:dyDescent="0.25">
      <c r="H72" s="16">
        <f>SUM(H64:H71)</f>
        <v>5336558326.1455679</v>
      </c>
      <c r="I72" s="18">
        <f>SUM(I64:I71)</f>
        <v>2890808326.1455674</v>
      </c>
      <c r="J72" s="16">
        <f>SUM(J64:J71)</f>
        <v>2445750000</v>
      </c>
    </row>
    <row r="75" spans="2:11" x14ac:dyDescent="0.25">
      <c r="B75" s="5" t="s">
        <v>8</v>
      </c>
      <c r="C75" s="3">
        <v>4.2000000000000003E-2</v>
      </c>
      <c r="D75" s="1" t="s">
        <v>11</v>
      </c>
      <c r="F75" s="57" t="s">
        <v>28</v>
      </c>
      <c r="G75" s="57"/>
      <c r="H75" s="57"/>
      <c r="I75" s="57"/>
      <c r="J75" s="57"/>
      <c r="K75" s="57"/>
    </row>
    <row r="76" spans="2:11" x14ac:dyDescent="0.25">
      <c r="B76" s="5" t="s">
        <v>8</v>
      </c>
      <c r="C76" s="4">
        <f>C75*12</f>
        <v>0.504</v>
      </c>
      <c r="D76" s="1" t="s">
        <v>13</v>
      </c>
      <c r="F76" s="10" t="s">
        <v>17</v>
      </c>
      <c r="G76" s="10" t="s">
        <v>18</v>
      </c>
      <c r="H76" s="10" t="s">
        <v>19</v>
      </c>
      <c r="I76" s="10" t="s">
        <v>20</v>
      </c>
      <c r="J76" s="10" t="s">
        <v>21</v>
      </c>
      <c r="K76" s="10" t="s">
        <v>22</v>
      </c>
    </row>
    <row r="77" spans="2:11" x14ac:dyDescent="0.25">
      <c r="B77" s="5" t="s">
        <v>10</v>
      </c>
      <c r="C77" s="1" t="s">
        <v>27</v>
      </c>
      <c r="D77" s="1"/>
      <c r="F77" s="5">
        <v>0</v>
      </c>
      <c r="G77" s="5"/>
      <c r="H77" s="5"/>
      <c r="I77" s="5"/>
      <c r="J77" s="5"/>
      <c r="K77" s="13">
        <f>C46</f>
        <v>2445750000</v>
      </c>
    </row>
    <row r="78" spans="2:11" x14ac:dyDescent="0.25">
      <c r="B78" s="5" t="s">
        <v>12</v>
      </c>
      <c r="C78" s="4">
        <f>EXP(C76)-1</f>
        <v>0.65532936315705492</v>
      </c>
      <c r="D78" s="1" t="s">
        <v>13</v>
      </c>
      <c r="F78" s="5">
        <v>1</v>
      </c>
      <c r="G78" s="14">
        <f>K77</f>
        <v>2445750000</v>
      </c>
      <c r="H78" s="14">
        <f>I78+J78</f>
        <v>700942258.189399</v>
      </c>
      <c r="I78" s="14">
        <f>$K$77*$C$80</f>
        <v>700942258.189399</v>
      </c>
      <c r="J78" s="14">
        <v>0</v>
      </c>
      <c r="K78" s="14">
        <f>G78-J78</f>
        <v>2445750000</v>
      </c>
    </row>
    <row r="79" spans="2:11" x14ac:dyDescent="0.25">
      <c r="B79" s="5" t="s">
        <v>10</v>
      </c>
      <c r="C79" s="1">
        <v>2</v>
      </c>
      <c r="D79" s="1" t="s">
        <v>14</v>
      </c>
      <c r="F79" s="5">
        <v>2</v>
      </c>
      <c r="G79" s="14">
        <f t="shared" ref="G79:G85" si="10">K78</f>
        <v>2445750000</v>
      </c>
      <c r="H79" s="14">
        <f t="shared" ref="H79:H85" si="11">I79+J79</f>
        <v>700942258.189399</v>
      </c>
      <c r="I79" s="14">
        <f t="shared" ref="I79:I85" si="12">$K$77*$C$80</f>
        <v>700942258.189399</v>
      </c>
      <c r="J79" s="14">
        <v>0</v>
      </c>
      <c r="K79" s="14">
        <f t="shared" ref="K79:K85" si="13">G79-J79</f>
        <v>2445750000</v>
      </c>
    </row>
    <row r="80" spans="2:11" x14ac:dyDescent="0.25">
      <c r="B80" s="5" t="s">
        <v>12</v>
      </c>
      <c r="C80" s="4">
        <f>POWER(1+C78,1/C79)-1</f>
        <v>0.28659603728484062</v>
      </c>
      <c r="D80" s="1" t="s">
        <v>14</v>
      </c>
      <c r="F80" s="5">
        <v>3</v>
      </c>
      <c r="G80" s="14">
        <f t="shared" si="10"/>
        <v>2445750000</v>
      </c>
      <c r="H80" s="14">
        <f t="shared" si="11"/>
        <v>700942258.189399</v>
      </c>
      <c r="I80" s="14">
        <f t="shared" si="12"/>
        <v>700942258.189399</v>
      </c>
      <c r="J80" s="14">
        <v>0</v>
      </c>
      <c r="K80" s="14">
        <f t="shared" si="13"/>
        <v>2445750000</v>
      </c>
    </row>
    <row r="81" spans="2:11" x14ac:dyDescent="0.25">
      <c r="B81" s="5" t="s">
        <v>15</v>
      </c>
      <c r="C81" s="1">
        <v>8</v>
      </c>
      <c r="D81" s="1" t="s">
        <v>16</v>
      </c>
      <c r="F81" s="5">
        <v>4</v>
      </c>
      <c r="G81" s="14">
        <f t="shared" si="10"/>
        <v>2445750000</v>
      </c>
      <c r="H81" s="14">
        <f t="shared" si="11"/>
        <v>700942258.189399</v>
      </c>
      <c r="I81" s="14">
        <f t="shared" si="12"/>
        <v>700942258.189399</v>
      </c>
      <c r="J81" s="14">
        <v>0</v>
      </c>
      <c r="K81" s="14">
        <f t="shared" si="13"/>
        <v>2445750000</v>
      </c>
    </row>
    <row r="82" spans="2:11" x14ac:dyDescent="0.25">
      <c r="F82" s="5">
        <v>5</v>
      </c>
      <c r="G82" s="14">
        <f t="shared" si="10"/>
        <v>2445750000</v>
      </c>
      <c r="H82" s="14">
        <f t="shared" si="11"/>
        <v>700942258.189399</v>
      </c>
      <c r="I82" s="14">
        <f t="shared" si="12"/>
        <v>700942258.189399</v>
      </c>
      <c r="J82" s="14">
        <v>0</v>
      </c>
      <c r="K82" s="14">
        <f t="shared" si="13"/>
        <v>2445750000</v>
      </c>
    </row>
    <row r="83" spans="2:11" x14ac:dyDescent="0.25">
      <c r="F83" s="5">
        <v>6</v>
      </c>
      <c r="G83" s="14">
        <f t="shared" si="10"/>
        <v>2445750000</v>
      </c>
      <c r="H83" s="14">
        <f t="shared" si="11"/>
        <v>700942258.189399</v>
      </c>
      <c r="I83" s="14">
        <f t="shared" si="12"/>
        <v>700942258.189399</v>
      </c>
      <c r="J83" s="14">
        <v>0</v>
      </c>
      <c r="K83" s="14">
        <f t="shared" si="13"/>
        <v>2445750000</v>
      </c>
    </row>
    <row r="84" spans="2:11" x14ac:dyDescent="0.25">
      <c r="F84" s="5">
        <v>7</v>
      </c>
      <c r="G84" s="14">
        <f t="shared" si="10"/>
        <v>2445750000</v>
      </c>
      <c r="H84" s="14">
        <f t="shared" si="11"/>
        <v>700942258.189399</v>
      </c>
      <c r="I84" s="14">
        <f t="shared" si="12"/>
        <v>700942258.189399</v>
      </c>
      <c r="J84" s="14">
        <v>0</v>
      </c>
      <c r="K84" s="14">
        <f t="shared" si="13"/>
        <v>2445750000</v>
      </c>
    </row>
    <row r="85" spans="2:11" x14ac:dyDescent="0.25">
      <c r="F85" s="5">
        <v>8</v>
      </c>
      <c r="G85" s="14">
        <f t="shared" si="10"/>
        <v>2445750000</v>
      </c>
      <c r="H85" s="14">
        <f t="shared" si="11"/>
        <v>3146692258.1893988</v>
      </c>
      <c r="I85" s="14">
        <f t="shared" si="12"/>
        <v>700942258.189399</v>
      </c>
      <c r="J85" s="14">
        <f>K77</f>
        <v>2445750000</v>
      </c>
      <c r="K85" s="14">
        <f t="shared" si="13"/>
        <v>0</v>
      </c>
    </row>
    <row r="86" spans="2:11" x14ac:dyDescent="0.25">
      <c r="H86" s="13">
        <f>SUM(H78:H85)</f>
        <v>8053288065.5151911</v>
      </c>
      <c r="I86" s="18">
        <f>SUM(I78:I85)</f>
        <v>5607538065.5151911</v>
      </c>
      <c r="J86" s="13">
        <f>SUM(J78:J85)</f>
        <v>2445750000</v>
      </c>
    </row>
  </sheetData>
  <mergeCells count="3">
    <mergeCell ref="F47:K47"/>
    <mergeCell ref="F61:K61"/>
    <mergeCell ref="F75:K7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4E89-15B0-45EA-B76B-B3482CDD7FF6}">
  <dimension ref="A3:J25"/>
  <sheetViews>
    <sheetView workbookViewId="0">
      <selection activeCell="C32" sqref="C32"/>
    </sheetView>
  </sheetViews>
  <sheetFormatPr baseColWidth="10" defaultRowHeight="15" x14ac:dyDescent="0.25"/>
  <cols>
    <col min="1" max="1" width="16.140625" customWidth="1"/>
    <col min="2" max="2" width="19" bestFit="1" customWidth="1"/>
    <col min="3" max="3" width="19" customWidth="1"/>
    <col min="4" max="6" width="19" bestFit="1" customWidth="1"/>
    <col min="7" max="7" width="18.7109375" customWidth="1"/>
    <col min="8" max="8" width="20.5703125" customWidth="1"/>
    <col min="9" max="9" width="20.7109375" customWidth="1"/>
    <col min="10" max="10" width="19.42578125" customWidth="1"/>
  </cols>
  <sheetData>
    <row r="3" spans="1:10" x14ac:dyDescent="0.25">
      <c r="A3" s="1" t="s">
        <v>29</v>
      </c>
      <c r="B3" s="1" t="s">
        <v>33</v>
      </c>
      <c r="C3" s="1" t="s">
        <v>34</v>
      </c>
    </row>
    <row r="4" spans="1:10" x14ac:dyDescent="0.25">
      <c r="A4" s="1" t="s">
        <v>30</v>
      </c>
      <c r="B4" s="2">
        <v>1500000</v>
      </c>
      <c r="C4" s="2">
        <v>15000</v>
      </c>
    </row>
    <row r="5" spans="1:10" x14ac:dyDescent="0.25">
      <c r="A5" s="1" t="s">
        <v>31</v>
      </c>
      <c r="B5" s="2">
        <v>2500000</v>
      </c>
      <c r="C5" s="2">
        <v>25000</v>
      </c>
    </row>
    <row r="6" spans="1:10" x14ac:dyDescent="0.25">
      <c r="A6" s="1" t="s">
        <v>32</v>
      </c>
      <c r="B6" s="2">
        <v>3000000</v>
      </c>
      <c r="C6" s="2">
        <v>20000</v>
      </c>
    </row>
    <row r="9" spans="1:10" x14ac:dyDescent="0.25">
      <c r="A9" s="1" t="s">
        <v>45</v>
      </c>
      <c r="C9" s="20"/>
    </row>
    <row r="10" spans="1:10" x14ac:dyDescent="0.25">
      <c r="A10" s="10" t="s">
        <v>35</v>
      </c>
      <c r="B10" s="10" t="s">
        <v>36</v>
      </c>
      <c r="C10" s="10" t="s">
        <v>37</v>
      </c>
      <c r="D10" s="10" t="s">
        <v>38</v>
      </c>
      <c r="E10" s="10" t="s">
        <v>39</v>
      </c>
      <c r="F10" s="10" t="s">
        <v>40</v>
      </c>
      <c r="G10" s="10" t="s">
        <v>41</v>
      </c>
      <c r="H10" s="10" t="s">
        <v>42</v>
      </c>
      <c r="I10" s="10" t="s">
        <v>43</v>
      </c>
      <c r="J10" s="10" t="s">
        <v>44</v>
      </c>
    </row>
    <row r="11" spans="1:10" x14ac:dyDescent="0.25">
      <c r="A11" s="1" t="s">
        <v>33</v>
      </c>
      <c r="B11" s="21">
        <f>1500000*15000</f>
        <v>22500000000</v>
      </c>
      <c r="C11" s="21">
        <f>B11*1.04</f>
        <v>23400000000</v>
      </c>
      <c r="D11" s="21">
        <f>C11*1.1</f>
        <v>25740000000.000004</v>
      </c>
      <c r="E11" s="21">
        <f>D11*1.12</f>
        <v>28828800000.000008</v>
      </c>
      <c r="F11" s="21">
        <f>E11*1.13</f>
        <v>32576544000.000004</v>
      </c>
      <c r="G11" s="21">
        <f>F11*1.13</f>
        <v>36811494720</v>
      </c>
      <c r="H11" s="21">
        <f>G11*1.13</f>
        <v>41596989033.599998</v>
      </c>
      <c r="I11" s="21">
        <f>H11*1.13</f>
        <v>47004597607.967995</v>
      </c>
      <c r="J11" s="2">
        <f>I11</f>
        <v>47004597607.967995</v>
      </c>
    </row>
    <row r="12" spans="1:10" x14ac:dyDescent="0.25">
      <c r="A12" s="5" t="s">
        <v>48</v>
      </c>
      <c r="B12" s="5"/>
      <c r="C12" s="22">
        <f>C11*0.1</f>
        <v>2340000000</v>
      </c>
      <c r="D12" s="22">
        <f t="shared" ref="D12:J12" si="0">D11*0.1</f>
        <v>2574000000.0000005</v>
      </c>
      <c r="E12" s="22">
        <f t="shared" si="0"/>
        <v>2882880000.000001</v>
      </c>
      <c r="F12" s="22">
        <f t="shared" si="0"/>
        <v>3257654400.0000005</v>
      </c>
      <c r="G12" s="22">
        <f t="shared" si="0"/>
        <v>3681149472</v>
      </c>
      <c r="H12" s="22">
        <f t="shared" si="0"/>
        <v>4159698903.3600001</v>
      </c>
      <c r="I12" s="22">
        <f t="shared" si="0"/>
        <v>4700459760.7967997</v>
      </c>
      <c r="J12" s="22">
        <f t="shared" si="0"/>
        <v>4700459760.7967997</v>
      </c>
    </row>
    <row r="13" spans="1:10" x14ac:dyDescent="0.25">
      <c r="A13" s="5" t="s">
        <v>61</v>
      </c>
      <c r="B13" s="5"/>
      <c r="C13" s="26">
        <f>2340000000/15000</f>
        <v>156000</v>
      </c>
      <c r="D13" s="26">
        <f>2574000000/15000</f>
        <v>171600</v>
      </c>
      <c r="E13" s="26">
        <f>2882880000/15000</f>
        <v>192192</v>
      </c>
      <c r="F13" s="26">
        <f>3257654400/15000</f>
        <v>217176.95999999999</v>
      </c>
      <c r="G13" s="26">
        <f>3681149472/15000</f>
        <v>245409.96479999999</v>
      </c>
      <c r="H13" s="26">
        <f>4159698903.36/15000</f>
        <v>277313.26022400003</v>
      </c>
      <c r="I13" s="26">
        <f>4700459760.7968/15000</f>
        <v>313363.98405311996</v>
      </c>
      <c r="J13" s="26">
        <f>4700459760.7968/15000</f>
        <v>313363.98405311996</v>
      </c>
    </row>
    <row r="15" spans="1:10" x14ac:dyDescent="0.25">
      <c r="A15" s="1" t="s">
        <v>46</v>
      </c>
    </row>
    <row r="16" spans="1:10" x14ac:dyDescent="0.25">
      <c r="A16" s="10" t="s">
        <v>35</v>
      </c>
      <c r="B16" s="10" t="s">
        <v>36</v>
      </c>
      <c r="C16" s="10" t="s">
        <v>37</v>
      </c>
      <c r="D16" s="10" t="s">
        <v>38</v>
      </c>
      <c r="E16" s="10" t="s">
        <v>39</v>
      </c>
      <c r="F16" s="10" t="s">
        <v>40</v>
      </c>
      <c r="G16" s="10" t="s">
        <v>41</v>
      </c>
      <c r="H16" s="10" t="s">
        <v>42</v>
      </c>
      <c r="I16" s="10" t="s">
        <v>43</v>
      </c>
      <c r="J16" s="10" t="s">
        <v>44</v>
      </c>
    </row>
    <row r="17" spans="1:10" x14ac:dyDescent="0.25">
      <c r="A17" s="1" t="s">
        <v>33</v>
      </c>
      <c r="B17" s="21">
        <f>2500000*25000</f>
        <v>62500000000</v>
      </c>
      <c r="C17" s="21">
        <f>B17*1.06</f>
        <v>66250000000</v>
      </c>
      <c r="D17" s="21">
        <f>C17*1.08</f>
        <v>71550000000</v>
      </c>
      <c r="E17" s="21">
        <f>D17*1.1</f>
        <v>78705000000</v>
      </c>
      <c r="F17" s="21">
        <f>E17*1.15</f>
        <v>90510750000</v>
      </c>
      <c r="G17" s="21">
        <f t="shared" ref="G17:I17" si="1">F17*1.15</f>
        <v>104087362499.99998</v>
      </c>
      <c r="H17" s="21">
        <f t="shared" si="1"/>
        <v>119700466874.99997</v>
      </c>
      <c r="I17" s="21">
        <f t="shared" si="1"/>
        <v>137655536906.24997</v>
      </c>
      <c r="J17" s="21">
        <f>I17</f>
        <v>137655536906.24997</v>
      </c>
    </row>
    <row r="18" spans="1:10" x14ac:dyDescent="0.25">
      <c r="A18" s="5" t="s">
        <v>48</v>
      </c>
      <c r="B18" s="5"/>
      <c r="C18" s="22">
        <f>C17*0.1</f>
        <v>6625000000</v>
      </c>
      <c r="D18" s="22">
        <f t="shared" ref="D18:J18" si="2">D17*0.1</f>
        <v>7155000000</v>
      </c>
      <c r="E18" s="22">
        <f t="shared" si="2"/>
        <v>7870500000</v>
      </c>
      <c r="F18" s="22">
        <f t="shared" si="2"/>
        <v>9051075000</v>
      </c>
      <c r="G18" s="22">
        <f t="shared" si="2"/>
        <v>10408736250</v>
      </c>
      <c r="H18" s="22">
        <f t="shared" si="2"/>
        <v>11970046687.499998</v>
      </c>
      <c r="I18" s="22">
        <f t="shared" si="2"/>
        <v>13765553690.624998</v>
      </c>
      <c r="J18" s="22">
        <f t="shared" si="2"/>
        <v>13765553690.624998</v>
      </c>
    </row>
    <row r="19" spans="1:10" x14ac:dyDescent="0.25">
      <c r="A19" s="5" t="s">
        <v>61</v>
      </c>
      <c r="B19" s="5"/>
      <c r="C19" s="26">
        <f>C18/$C$5</f>
        <v>265000</v>
      </c>
      <c r="D19" s="26">
        <f t="shared" ref="D19:J19" si="3">D18/$C$5</f>
        <v>286200</v>
      </c>
      <c r="E19" s="26">
        <f t="shared" si="3"/>
        <v>314820</v>
      </c>
      <c r="F19" s="26">
        <f t="shared" si="3"/>
        <v>362043</v>
      </c>
      <c r="G19" s="26">
        <f t="shared" si="3"/>
        <v>416349.45</v>
      </c>
      <c r="H19" s="26">
        <f t="shared" si="3"/>
        <v>478801.86749999993</v>
      </c>
      <c r="I19" s="26">
        <f t="shared" si="3"/>
        <v>550622.14762499987</v>
      </c>
      <c r="J19" s="26">
        <f t="shared" si="3"/>
        <v>550622.14762499987</v>
      </c>
    </row>
    <row r="20" spans="1:10" x14ac:dyDescent="0.25">
      <c r="A20" s="28" t="s">
        <v>47</v>
      </c>
    </row>
    <row r="21" spans="1:10" x14ac:dyDescent="0.25">
      <c r="A21" s="10" t="s">
        <v>35</v>
      </c>
      <c r="B21" s="10" t="s">
        <v>36</v>
      </c>
      <c r="C21" s="10" t="s">
        <v>37</v>
      </c>
      <c r="D21" s="10" t="s">
        <v>38</v>
      </c>
      <c r="E21" s="10" t="s">
        <v>39</v>
      </c>
      <c r="F21" s="10" t="s">
        <v>40</v>
      </c>
      <c r="G21" s="10" t="s">
        <v>41</v>
      </c>
      <c r="H21" s="10" t="s">
        <v>42</v>
      </c>
      <c r="I21" s="10" t="s">
        <v>43</v>
      </c>
      <c r="J21" s="10" t="s">
        <v>44</v>
      </c>
    </row>
    <row r="22" spans="1:10" x14ac:dyDescent="0.25">
      <c r="A22" s="1" t="s">
        <v>33</v>
      </c>
      <c r="B22" s="21">
        <f>3000000*20000</f>
        <v>60000000000</v>
      </c>
      <c r="C22" s="21">
        <f>B22*1.07</f>
        <v>64200000000</v>
      </c>
      <c r="D22" s="21">
        <f>C22*1.08</f>
        <v>69336000000</v>
      </c>
      <c r="E22" s="21">
        <f>D22*1.09</f>
        <v>75576240000</v>
      </c>
      <c r="F22" s="21">
        <f>E22*1.1</f>
        <v>83133864000</v>
      </c>
      <c r="G22" s="21">
        <f t="shared" ref="G22:I22" si="4">F22*1.1</f>
        <v>91447250400</v>
      </c>
      <c r="H22" s="21">
        <f t="shared" si="4"/>
        <v>100591975440.00002</v>
      </c>
      <c r="I22" s="21">
        <f t="shared" si="4"/>
        <v>110651172984.00003</v>
      </c>
      <c r="J22" s="21">
        <f>I22</f>
        <v>110651172984.00003</v>
      </c>
    </row>
    <row r="23" spans="1:10" x14ac:dyDescent="0.25">
      <c r="A23" s="5" t="s">
        <v>48</v>
      </c>
      <c r="B23" s="5"/>
      <c r="C23" s="22">
        <f>C22*0.1</f>
        <v>6420000000</v>
      </c>
      <c r="D23" s="22">
        <f t="shared" ref="D23:J23" si="5">D22*0.1</f>
        <v>6933600000</v>
      </c>
      <c r="E23" s="22">
        <f t="shared" si="5"/>
        <v>7557624000</v>
      </c>
      <c r="F23" s="22">
        <f t="shared" si="5"/>
        <v>8313386400</v>
      </c>
      <c r="G23" s="22">
        <f t="shared" si="5"/>
        <v>9144725040</v>
      </c>
      <c r="H23" s="22">
        <f t="shared" si="5"/>
        <v>10059197544.000002</v>
      </c>
      <c r="I23" s="22">
        <f t="shared" si="5"/>
        <v>11065117298.400003</v>
      </c>
      <c r="J23" s="22">
        <f t="shared" si="5"/>
        <v>11065117298.400003</v>
      </c>
    </row>
    <row r="24" spans="1:10" x14ac:dyDescent="0.25">
      <c r="A24" s="5" t="s">
        <v>61</v>
      </c>
      <c r="B24" s="5"/>
      <c r="C24" s="26">
        <f>C23/$C$6</f>
        <v>321000</v>
      </c>
      <c r="D24" s="26">
        <f t="shared" ref="D24:J24" si="6">D23/$C$6</f>
        <v>346680</v>
      </c>
      <c r="E24" s="26">
        <f t="shared" si="6"/>
        <v>377881.2</v>
      </c>
      <c r="F24" s="26">
        <f t="shared" si="6"/>
        <v>415669.32</v>
      </c>
      <c r="G24" s="26">
        <f t="shared" si="6"/>
        <v>457236.25199999998</v>
      </c>
      <c r="H24" s="26">
        <f t="shared" si="6"/>
        <v>502959.8772000001</v>
      </c>
      <c r="I24" s="26">
        <f t="shared" si="6"/>
        <v>553255.8649200002</v>
      </c>
      <c r="J24" s="26">
        <f t="shared" si="6"/>
        <v>553255.8649200002</v>
      </c>
    </row>
    <row r="25" spans="1:10" x14ac:dyDescent="0.25">
      <c r="A25" s="7" t="s">
        <v>49</v>
      </c>
      <c r="B25" s="7"/>
      <c r="C25" s="23">
        <f>C12+C18+C23</f>
        <v>15385000000</v>
      </c>
      <c r="D25" s="23">
        <f t="shared" ref="D25:J25" si="7">D12+D18+D23</f>
        <v>16662600000</v>
      </c>
      <c r="E25" s="23">
        <f t="shared" si="7"/>
        <v>18311004000</v>
      </c>
      <c r="F25" s="23">
        <f t="shared" si="7"/>
        <v>20622115800</v>
      </c>
      <c r="G25" s="23">
        <f t="shared" si="7"/>
        <v>23234610762</v>
      </c>
      <c r="H25" s="23">
        <f t="shared" si="7"/>
        <v>26188943134.860001</v>
      </c>
      <c r="I25" s="23">
        <f t="shared" si="7"/>
        <v>29531130749.8218</v>
      </c>
      <c r="J25" s="23">
        <f t="shared" si="7"/>
        <v>29531130749.8218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5CD6B-8229-4C1F-973A-3760756FD4FF}">
  <dimension ref="A3:Q79"/>
  <sheetViews>
    <sheetView topLeftCell="A67" workbookViewId="0">
      <selection activeCell="C79" sqref="C79"/>
    </sheetView>
  </sheetViews>
  <sheetFormatPr baseColWidth="10" defaultRowHeight="15" x14ac:dyDescent="0.25"/>
  <cols>
    <col min="2" max="2" width="20.28515625" bestFit="1" customWidth="1"/>
    <col min="3" max="3" width="18.5703125" customWidth="1"/>
    <col min="4" max="4" width="22.5703125" customWidth="1"/>
    <col min="5" max="6" width="18.85546875" bestFit="1" customWidth="1"/>
    <col min="7" max="7" width="21.28515625" customWidth="1"/>
    <col min="8" max="8" width="18.5703125" customWidth="1"/>
    <col min="9" max="9" width="19" customWidth="1"/>
    <col min="10" max="10" width="25.140625" customWidth="1"/>
    <col min="11" max="11" width="19.85546875" customWidth="1"/>
    <col min="12" max="12" width="17.5703125" customWidth="1"/>
    <col min="13" max="13" width="20" customWidth="1"/>
    <col min="14" max="14" width="20.7109375" customWidth="1"/>
    <col min="15" max="15" width="17.7109375" customWidth="1"/>
    <col min="16" max="16" width="17.85546875" customWidth="1"/>
    <col min="17" max="17" width="20.85546875" customWidth="1"/>
  </cols>
  <sheetData>
    <row r="3" spans="12:12" x14ac:dyDescent="0.25">
      <c r="L3" s="19"/>
    </row>
    <row r="25" spans="1:17" x14ac:dyDescent="0.25">
      <c r="A25" s="1" t="s">
        <v>50</v>
      </c>
      <c r="B25" s="3">
        <v>5.8000000000000003E-2</v>
      </c>
      <c r="C25" s="1" t="s">
        <v>11</v>
      </c>
      <c r="G25" s="31" t="s">
        <v>20</v>
      </c>
      <c r="H25" s="31" t="s">
        <v>21</v>
      </c>
    </row>
    <row r="26" spans="1:17" x14ac:dyDescent="0.25">
      <c r="A26" s="1" t="s">
        <v>50</v>
      </c>
      <c r="B26" s="4">
        <f>B25*12</f>
        <v>0.69600000000000006</v>
      </c>
      <c r="C26" s="1" t="s">
        <v>13</v>
      </c>
      <c r="G26" s="31"/>
      <c r="H26" s="31"/>
      <c r="J26" s="27"/>
      <c r="K26" s="27"/>
      <c r="L26" s="27"/>
      <c r="M26" s="27"/>
      <c r="N26" s="27"/>
      <c r="O26" s="27"/>
      <c r="P26" s="27"/>
      <c r="Q26" s="27"/>
    </row>
    <row r="27" spans="1:17" x14ac:dyDescent="0.25">
      <c r="A27" s="1" t="s">
        <v>51</v>
      </c>
      <c r="B27" s="1" t="s">
        <v>27</v>
      </c>
      <c r="C27" s="1"/>
      <c r="G27" s="31">
        <v>390570177.59417617</v>
      </c>
      <c r="H27" s="31">
        <v>305718750</v>
      </c>
    </row>
    <row r="28" spans="1:17" x14ac:dyDescent="0.25">
      <c r="A28" s="1" t="s">
        <v>12</v>
      </c>
      <c r="B28" s="3">
        <f>EXP(B26)-1</f>
        <v>1.0057137852036884</v>
      </c>
      <c r="C28" s="1" t="s">
        <v>13</v>
      </c>
      <c r="G28" s="31">
        <v>341748905.39490414</v>
      </c>
      <c r="H28" s="31">
        <v>305718750</v>
      </c>
    </row>
    <row r="29" spans="1:17" x14ac:dyDescent="0.25">
      <c r="A29" s="1" t="s">
        <v>51</v>
      </c>
      <c r="B29" s="1">
        <v>2</v>
      </c>
      <c r="C29" s="1" t="s">
        <v>14</v>
      </c>
      <c r="G29" s="31">
        <v>292927633.1956321</v>
      </c>
      <c r="H29" s="31">
        <v>305718750</v>
      </c>
    </row>
    <row r="30" spans="1:17" x14ac:dyDescent="0.25">
      <c r="A30" s="5" t="s">
        <v>12</v>
      </c>
      <c r="B30" s="24">
        <f>POWER(1+B28,1/B29)-1</f>
        <v>0.41623224974002349</v>
      </c>
      <c r="C30" s="5" t="s">
        <v>14</v>
      </c>
      <c r="G30" s="31">
        <v>244106360.99636009</v>
      </c>
      <c r="H30" s="31">
        <v>305718750</v>
      </c>
    </row>
    <row r="31" spans="1:17" x14ac:dyDescent="0.25">
      <c r="A31" s="5" t="s">
        <v>52</v>
      </c>
      <c r="B31" s="24" t="s">
        <v>53</v>
      </c>
      <c r="C31" s="5"/>
      <c r="G31" s="31">
        <v>195285088.79708809</v>
      </c>
      <c r="H31" s="31">
        <v>305718750</v>
      </c>
    </row>
    <row r="32" spans="1:17" x14ac:dyDescent="0.25">
      <c r="A32" s="8" t="s">
        <v>70</v>
      </c>
      <c r="B32" s="33">
        <v>0.25</v>
      </c>
      <c r="C32" s="8" t="s">
        <v>14</v>
      </c>
      <c r="G32" s="31">
        <v>146463816.59781605</v>
      </c>
      <c r="H32" s="31">
        <v>305718750</v>
      </c>
    </row>
    <row r="33" spans="1:11" x14ac:dyDescent="0.25">
      <c r="A33" s="1" t="s">
        <v>0</v>
      </c>
      <c r="B33" s="1" t="s">
        <v>5</v>
      </c>
      <c r="C33" s="1" t="s">
        <v>6</v>
      </c>
      <c r="D33" s="1" t="s">
        <v>54</v>
      </c>
      <c r="E33" s="1" t="s">
        <v>55</v>
      </c>
      <c r="G33" s="31">
        <v>97642544.398544043</v>
      </c>
      <c r="H33" s="31">
        <v>305718750</v>
      </c>
    </row>
    <row r="34" spans="1:11" x14ac:dyDescent="0.25">
      <c r="A34" s="1" t="s">
        <v>1</v>
      </c>
      <c r="B34" s="2">
        <v>2550000000</v>
      </c>
      <c r="C34" s="2"/>
      <c r="D34" s="1"/>
      <c r="E34" s="12"/>
      <c r="G34" s="31">
        <v>48821272.199272022</v>
      </c>
      <c r="H34" s="31">
        <v>305718750</v>
      </c>
    </row>
    <row r="35" spans="1:11" x14ac:dyDescent="0.25">
      <c r="A35" s="1" t="s">
        <v>2</v>
      </c>
      <c r="B35" s="2">
        <v>705000000</v>
      </c>
      <c r="C35" s="2">
        <v>15</v>
      </c>
      <c r="D35" s="21">
        <f>B35/C35</f>
        <v>47000000</v>
      </c>
      <c r="E35" s="21">
        <f>D35/2</f>
        <v>23500000</v>
      </c>
      <c r="G35" s="31">
        <v>1757565799.1737926</v>
      </c>
      <c r="H35" s="31"/>
    </row>
    <row r="36" spans="1:11" x14ac:dyDescent="0.25">
      <c r="A36" s="1" t="s">
        <v>3</v>
      </c>
      <c r="B36" s="2">
        <v>1500000000</v>
      </c>
      <c r="C36" s="2">
        <v>10</v>
      </c>
      <c r="D36" s="21">
        <f t="shared" ref="D36:D37" si="0">B36/C36</f>
        <v>150000000</v>
      </c>
      <c r="E36" s="21">
        <f t="shared" ref="E36:E37" si="1">D36/2</f>
        <v>75000000</v>
      </c>
    </row>
    <row r="37" spans="1:11" x14ac:dyDescent="0.25">
      <c r="A37" s="1" t="s">
        <v>4</v>
      </c>
      <c r="B37" s="2">
        <v>680000000</v>
      </c>
      <c r="C37" s="2">
        <v>6</v>
      </c>
      <c r="D37" s="21">
        <f t="shared" si="0"/>
        <v>113333333.33333333</v>
      </c>
      <c r="E37" s="21">
        <f t="shared" si="1"/>
        <v>56666666.666666664</v>
      </c>
    </row>
    <row r="38" spans="1:11" x14ac:dyDescent="0.25">
      <c r="A38" s="9" t="s">
        <v>24</v>
      </c>
      <c r="B38" s="25">
        <f>SUM(B34:B37)*0.45</f>
        <v>2445750000</v>
      </c>
    </row>
    <row r="39" spans="1:11" x14ac:dyDescent="0.25">
      <c r="A39" s="5" t="s">
        <v>56</v>
      </c>
      <c r="B39" s="5"/>
      <c r="C39" s="5"/>
      <c r="D39" s="5"/>
      <c r="E39" s="26">
        <f>SUM(E34:E37)</f>
        <v>155166666.66666666</v>
      </c>
    </row>
    <row r="41" spans="1:11" x14ac:dyDescent="0.25">
      <c r="B41" s="1" t="s">
        <v>35</v>
      </c>
      <c r="C41" s="1">
        <v>0</v>
      </c>
      <c r="D41" s="1">
        <v>1</v>
      </c>
      <c r="E41" s="1">
        <v>2</v>
      </c>
      <c r="F41" s="1">
        <v>3</v>
      </c>
      <c r="G41" s="1">
        <v>4</v>
      </c>
      <c r="H41" s="1">
        <v>5</v>
      </c>
      <c r="I41" s="1">
        <v>6</v>
      </c>
      <c r="J41" s="1">
        <v>7</v>
      </c>
      <c r="K41" s="1">
        <v>8</v>
      </c>
    </row>
    <row r="42" spans="1:11" x14ac:dyDescent="0.25">
      <c r="A42" s="35"/>
      <c r="B42" s="31" t="s">
        <v>59</v>
      </c>
      <c r="C42" s="31"/>
      <c r="D42" s="32">
        <f>350000000*6</f>
        <v>2100000000</v>
      </c>
      <c r="E42" s="32">
        <f>350000000*6</f>
        <v>2100000000</v>
      </c>
      <c r="F42" s="32">
        <f>300000000*6</f>
        <v>1800000000</v>
      </c>
      <c r="G42" s="32">
        <f t="shared" ref="G42:K42" si="2">300000000*6</f>
        <v>1800000000</v>
      </c>
      <c r="H42" s="32">
        <f t="shared" si="2"/>
        <v>1800000000</v>
      </c>
      <c r="I42" s="32">
        <f t="shared" si="2"/>
        <v>1800000000</v>
      </c>
      <c r="J42" s="32">
        <f t="shared" si="2"/>
        <v>1800000000</v>
      </c>
      <c r="K42" s="32">
        <f t="shared" si="2"/>
        <v>1800000000</v>
      </c>
    </row>
    <row r="44" spans="1:11" x14ac:dyDescent="0.25">
      <c r="B44" s="1" t="s">
        <v>35</v>
      </c>
      <c r="C44" s="1">
        <v>0</v>
      </c>
      <c r="D44" s="1">
        <v>1</v>
      </c>
      <c r="E44" s="1">
        <v>2</v>
      </c>
      <c r="F44" s="1">
        <v>3</v>
      </c>
      <c r="G44" s="1">
        <v>4</v>
      </c>
      <c r="H44" s="1">
        <v>5</v>
      </c>
      <c r="I44" s="1">
        <v>6</v>
      </c>
      <c r="J44" s="1">
        <v>7</v>
      </c>
      <c r="K44" s="1">
        <v>8</v>
      </c>
    </row>
    <row r="45" spans="1:11" x14ac:dyDescent="0.25">
      <c r="B45" s="1" t="s">
        <v>60</v>
      </c>
      <c r="C45" s="1"/>
      <c r="D45" s="29">
        <f>2340000000/15000</f>
        <v>156000</v>
      </c>
      <c r="E45" s="29">
        <f>2574000000/15000</f>
        <v>171600</v>
      </c>
      <c r="F45" s="29">
        <f>2882880000/15000</f>
        <v>192192</v>
      </c>
      <c r="G45" s="29">
        <f>3257654400/15000</f>
        <v>217176.95999999999</v>
      </c>
      <c r="H45" s="29">
        <f>3681149472/15000</f>
        <v>245409.96479999999</v>
      </c>
      <c r="I45" s="29">
        <f>4159698903.36/15000</f>
        <v>277313.26022400003</v>
      </c>
      <c r="J45" s="29">
        <f>4700459760.7968/15000</f>
        <v>313363.98405311996</v>
      </c>
      <c r="K45" s="29">
        <f>4700459760.7968/15000</f>
        <v>313363.98405311996</v>
      </c>
    </row>
    <row r="46" spans="1:11" x14ac:dyDescent="0.25">
      <c r="B46" s="1" t="s">
        <v>62</v>
      </c>
      <c r="C46" s="1"/>
      <c r="D46" s="2">
        <v>265000</v>
      </c>
      <c r="E46" s="2">
        <v>286200</v>
      </c>
      <c r="F46" s="2">
        <v>314820</v>
      </c>
      <c r="G46" s="2">
        <v>362043</v>
      </c>
      <c r="H46" s="2">
        <v>416349.45</v>
      </c>
      <c r="I46" s="2">
        <v>478801.86749999993</v>
      </c>
      <c r="J46" s="2">
        <v>550622.14762499987</v>
      </c>
      <c r="K46" s="2">
        <v>550622.14762499987</v>
      </c>
    </row>
    <row r="47" spans="1:11" x14ac:dyDescent="0.25">
      <c r="B47" s="1" t="s">
        <v>63</v>
      </c>
      <c r="C47" s="1"/>
      <c r="D47" s="2">
        <v>321000</v>
      </c>
      <c r="E47" s="2">
        <v>346680</v>
      </c>
      <c r="F47" s="2">
        <v>377881.2</v>
      </c>
      <c r="G47" s="2">
        <v>415669.32</v>
      </c>
      <c r="H47" s="2">
        <v>457236.25199999998</v>
      </c>
      <c r="I47" s="2">
        <v>502959.8772000001</v>
      </c>
      <c r="J47" s="2">
        <v>553255.8649200002</v>
      </c>
      <c r="K47" s="2">
        <v>553255.8649200002</v>
      </c>
    </row>
    <row r="49" spans="1:11" x14ac:dyDescent="0.25">
      <c r="B49" s="1" t="s">
        <v>64</v>
      </c>
      <c r="C49" s="1"/>
      <c r="D49" s="1">
        <v>11250</v>
      </c>
      <c r="E49" s="1">
        <f>D49+250</f>
        <v>11500</v>
      </c>
      <c r="F49" s="1">
        <f t="shared" ref="F49:K49" si="3">E49+250</f>
        <v>11750</v>
      </c>
      <c r="G49" s="1">
        <f t="shared" si="3"/>
        <v>12000</v>
      </c>
      <c r="H49" s="1">
        <f t="shared" si="3"/>
        <v>12250</v>
      </c>
      <c r="I49" s="1">
        <f t="shared" si="3"/>
        <v>12500</v>
      </c>
      <c r="J49" s="1">
        <f t="shared" si="3"/>
        <v>12750</v>
      </c>
      <c r="K49" s="1">
        <f t="shared" si="3"/>
        <v>13000</v>
      </c>
    </row>
    <row r="50" spans="1:11" x14ac:dyDescent="0.25">
      <c r="B50" s="1" t="s">
        <v>65</v>
      </c>
      <c r="C50" s="1"/>
      <c r="D50" s="1">
        <v>11250</v>
      </c>
      <c r="E50" s="1">
        <f>D50+250</f>
        <v>11500</v>
      </c>
      <c r="F50" s="1">
        <f t="shared" ref="F50:K50" si="4">E50+250</f>
        <v>11750</v>
      </c>
      <c r="G50" s="1">
        <f t="shared" si="4"/>
        <v>12000</v>
      </c>
      <c r="H50" s="1">
        <f t="shared" si="4"/>
        <v>12250</v>
      </c>
      <c r="I50" s="1">
        <f t="shared" si="4"/>
        <v>12500</v>
      </c>
      <c r="J50" s="1">
        <f t="shared" si="4"/>
        <v>12750</v>
      </c>
      <c r="K50" s="1">
        <f t="shared" si="4"/>
        <v>13000</v>
      </c>
    </row>
    <row r="51" spans="1:11" x14ac:dyDescent="0.25">
      <c r="B51" s="1" t="s">
        <v>66</v>
      </c>
      <c r="C51" s="1"/>
      <c r="D51" s="1">
        <v>11250</v>
      </c>
      <c r="E51" s="1">
        <f>D51+500</f>
        <v>11750</v>
      </c>
      <c r="F51" s="1">
        <f>E51+500</f>
        <v>12250</v>
      </c>
      <c r="G51" s="1">
        <f t="shared" ref="G51:K51" si="5">F51+500</f>
        <v>12750</v>
      </c>
      <c r="H51" s="1">
        <f t="shared" si="5"/>
        <v>13250</v>
      </c>
      <c r="I51" s="1">
        <f t="shared" si="5"/>
        <v>13750</v>
      </c>
      <c r="J51" s="1">
        <f t="shared" si="5"/>
        <v>14250</v>
      </c>
      <c r="K51" s="1">
        <f t="shared" si="5"/>
        <v>14750</v>
      </c>
    </row>
    <row r="53" spans="1:11" x14ac:dyDescent="0.25">
      <c r="B53" s="1" t="s">
        <v>64</v>
      </c>
      <c r="C53" s="1"/>
      <c r="D53" s="30">
        <f>D49*D45</f>
        <v>1755000000</v>
      </c>
      <c r="E53" s="30">
        <f t="shared" ref="E53:K53" si="6">E49*E45</f>
        <v>1973400000</v>
      </c>
      <c r="F53" s="30">
        <f t="shared" si="6"/>
        <v>2258256000</v>
      </c>
      <c r="G53" s="30">
        <f t="shared" si="6"/>
        <v>2606123520</v>
      </c>
      <c r="H53" s="30">
        <f t="shared" si="6"/>
        <v>3006272068.7999997</v>
      </c>
      <c r="I53" s="30">
        <f t="shared" si="6"/>
        <v>3466415752.8000002</v>
      </c>
      <c r="J53" s="30">
        <f t="shared" si="6"/>
        <v>3995390796.6772795</v>
      </c>
      <c r="K53" s="30">
        <f t="shared" si="6"/>
        <v>4073731792.6905594</v>
      </c>
    </row>
    <row r="54" spans="1:11" x14ac:dyDescent="0.25">
      <c r="B54" s="1" t="s">
        <v>65</v>
      </c>
      <c r="C54" s="1"/>
      <c r="D54" s="12">
        <f>D50*D46</f>
        <v>2981250000</v>
      </c>
      <c r="E54" s="12">
        <f t="shared" ref="E54:K54" si="7">E50*E46</f>
        <v>3291300000</v>
      </c>
      <c r="F54" s="12">
        <f t="shared" si="7"/>
        <v>3699135000</v>
      </c>
      <c r="G54" s="12">
        <f t="shared" si="7"/>
        <v>4344516000</v>
      </c>
      <c r="H54" s="12">
        <f t="shared" si="7"/>
        <v>5100280762.5</v>
      </c>
      <c r="I54" s="12">
        <f t="shared" si="7"/>
        <v>5985023343.749999</v>
      </c>
      <c r="J54" s="12">
        <f t="shared" si="7"/>
        <v>7020432382.2187481</v>
      </c>
      <c r="K54" s="12">
        <f t="shared" si="7"/>
        <v>7158087919.1249981</v>
      </c>
    </row>
    <row r="55" spans="1:11" x14ac:dyDescent="0.25">
      <c r="B55" s="1" t="s">
        <v>66</v>
      </c>
      <c r="C55" s="1"/>
      <c r="D55" s="12">
        <f>D51*D47</f>
        <v>3611250000</v>
      </c>
      <c r="E55" s="12">
        <f t="shared" ref="E55:K55" si="8">E51*E47</f>
        <v>4073490000</v>
      </c>
      <c r="F55" s="12">
        <f t="shared" si="8"/>
        <v>4629044700</v>
      </c>
      <c r="G55" s="12">
        <f t="shared" si="8"/>
        <v>5299783830</v>
      </c>
      <c r="H55" s="12">
        <f t="shared" si="8"/>
        <v>6058380339</v>
      </c>
      <c r="I55" s="12">
        <f t="shared" si="8"/>
        <v>6915698311.5000019</v>
      </c>
      <c r="J55" s="12">
        <f t="shared" si="8"/>
        <v>7883896075.1100025</v>
      </c>
      <c r="K55" s="12">
        <f t="shared" si="8"/>
        <v>8160524007.5700026</v>
      </c>
    </row>
    <row r="57" spans="1:11" x14ac:dyDescent="0.25">
      <c r="A57" s="35"/>
      <c r="B57" s="31" t="s">
        <v>67</v>
      </c>
      <c r="C57" s="31"/>
      <c r="D57" s="32">
        <f>SUM(D53:D55)</f>
        <v>8347500000</v>
      </c>
      <c r="E57" s="32">
        <f>SUM(E53:E55)</f>
        <v>9338190000</v>
      </c>
      <c r="F57" s="32">
        <f t="shared" ref="F57:K57" si="9">SUM(F53:F55)</f>
        <v>10586435700</v>
      </c>
      <c r="G57" s="32">
        <f t="shared" si="9"/>
        <v>12250423350</v>
      </c>
      <c r="H57" s="32">
        <f t="shared" si="9"/>
        <v>14164933170.299999</v>
      </c>
      <c r="I57" s="32">
        <f t="shared" si="9"/>
        <v>16367137408.050001</v>
      </c>
      <c r="J57" s="32">
        <f t="shared" si="9"/>
        <v>18899719254.006027</v>
      </c>
      <c r="K57" s="32">
        <f t="shared" si="9"/>
        <v>19392343719.385559</v>
      </c>
    </row>
    <row r="59" spans="1:11" x14ac:dyDescent="0.25">
      <c r="A59" s="35"/>
      <c r="B59" s="31" t="s">
        <v>68</v>
      </c>
      <c r="C59" s="31"/>
      <c r="D59" s="32">
        <v>15385000000</v>
      </c>
      <c r="E59" s="32">
        <v>16662600000</v>
      </c>
      <c r="F59" s="32">
        <v>18311004000</v>
      </c>
      <c r="G59" s="32">
        <v>20622115800</v>
      </c>
      <c r="H59" s="32">
        <v>23234610762</v>
      </c>
      <c r="I59" s="32">
        <v>26188943134.860001</v>
      </c>
      <c r="J59" s="32">
        <v>29531130749.8218</v>
      </c>
      <c r="K59" s="32">
        <v>29531130749.8218</v>
      </c>
    </row>
    <row r="61" spans="1:11" x14ac:dyDescent="0.25">
      <c r="A61" s="35"/>
      <c r="B61" s="31" t="s">
        <v>69</v>
      </c>
      <c r="C61" s="31"/>
      <c r="D61" s="32">
        <f>50000000*6</f>
        <v>300000000</v>
      </c>
      <c r="E61" s="32">
        <f>50000000*6</f>
        <v>300000000</v>
      </c>
      <c r="F61" s="32">
        <f>60000000*6</f>
        <v>360000000</v>
      </c>
      <c r="G61" s="32">
        <f t="shared" ref="G61:H61" si="10">60000000*6</f>
        <v>360000000</v>
      </c>
      <c r="H61" s="32">
        <f t="shared" si="10"/>
        <v>360000000</v>
      </c>
      <c r="I61" s="32">
        <f>77500000*6</f>
        <v>465000000</v>
      </c>
      <c r="J61" s="32">
        <f t="shared" ref="J61:K61" si="11">77500000*6</f>
        <v>465000000</v>
      </c>
      <c r="K61" s="32">
        <f t="shared" si="11"/>
        <v>465000000</v>
      </c>
    </row>
    <row r="64" spans="1:11" x14ac:dyDescent="0.25">
      <c r="B64" s="1" t="s">
        <v>35</v>
      </c>
      <c r="C64" s="1">
        <v>0</v>
      </c>
      <c r="D64" s="1">
        <v>1</v>
      </c>
      <c r="E64" s="1">
        <v>2</v>
      </c>
      <c r="F64" s="1">
        <v>3</v>
      </c>
      <c r="G64" s="1">
        <v>4</v>
      </c>
      <c r="H64" s="1">
        <v>5</v>
      </c>
      <c r="I64" s="1">
        <v>6</v>
      </c>
      <c r="J64" s="1">
        <v>7</v>
      </c>
      <c r="K64" s="1">
        <v>8</v>
      </c>
    </row>
    <row r="65" spans="2:11" x14ac:dyDescent="0.25">
      <c r="B65" s="1" t="s">
        <v>57</v>
      </c>
      <c r="C65" s="1"/>
      <c r="D65" s="34">
        <v>15385000000</v>
      </c>
      <c r="E65" s="34">
        <v>16662600000</v>
      </c>
      <c r="F65" s="34">
        <v>18311004000</v>
      </c>
      <c r="G65" s="34">
        <v>20622115800</v>
      </c>
      <c r="H65" s="34">
        <v>23234610762</v>
      </c>
      <c r="I65" s="34">
        <v>26188943134.860001</v>
      </c>
      <c r="J65" s="34">
        <v>29531130749.8218</v>
      </c>
      <c r="K65" s="34">
        <v>29531130749.8218</v>
      </c>
    </row>
    <row r="66" spans="2:11" x14ac:dyDescent="0.25">
      <c r="B66" s="1" t="s">
        <v>58</v>
      </c>
      <c r="C66" s="1"/>
      <c r="D66" s="2">
        <v>8347500000</v>
      </c>
      <c r="E66" s="2">
        <v>9050400000</v>
      </c>
      <c r="F66" s="2">
        <v>9955048500</v>
      </c>
      <c r="G66" s="2">
        <v>11192504400</v>
      </c>
      <c r="H66" s="2">
        <v>12588701251.5</v>
      </c>
      <c r="I66" s="2">
        <v>14164593805.395</v>
      </c>
      <c r="J66" s="2">
        <v>15943972461.728849</v>
      </c>
      <c r="K66" s="2">
        <v>15943972461.728849</v>
      </c>
    </row>
    <row r="67" spans="2:11" x14ac:dyDescent="0.25">
      <c r="B67" s="36" t="s">
        <v>71</v>
      </c>
      <c r="C67" s="36"/>
      <c r="D67" s="37">
        <f>D65-D66</f>
        <v>7037500000</v>
      </c>
      <c r="E67" s="37">
        <f t="shared" ref="E67:K67" si="12">E65-E66</f>
        <v>7612200000</v>
      </c>
      <c r="F67" s="37">
        <f t="shared" si="12"/>
        <v>8355955500</v>
      </c>
      <c r="G67" s="37">
        <f t="shared" si="12"/>
        <v>9429611400</v>
      </c>
      <c r="H67" s="37">
        <f t="shared" si="12"/>
        <v>10645909510.5</v>
      </c>
      <c r="I67" s="37">
        <f t="shared" si="12"/>
        <v>12024349329.465</v>
      </c>
      <c r="J67" s="37">
        <f t="shared" si="12"/>
        <v>13587158288.092951</v>
      </c>
      <c r="K67" s="37">
        <f t="shared" si="12"/>
        <v>13587158288.092951</v>
      </c>
    </row>
    <row r="68" spans="2:11" x14ac:dyDescent="0.25">
      <c r="B68" s="1" t="s">
        <v>72</v>
      </c>
      <c r="C68" s="1"/>
      <c r="D68" s="2">
        <v>2100000000</v>
      </c>
      <c r="E68" s="2">
        <v>2100000000</v>
      </c>
      <c r="F68" s="2">
        <v>1800000000</v>
      </c>
      <c r="G68" s="2">
        <v>1800000000</v>
      </c>
      <c r="H68" s="2">
        <v>1800000000</v>
      </c>
      <c r="I68" s="2">
        <v>1800000000</v>
      </c>
      <c r="J68" s="2">
        <v>1800000000</v>
      </c>
      <c r="K68" s="2">
        <v>1800000000</v>
      </c>
    </row>
    <row r="69" spans="2:11" x14ac:dyDescent="0.25">
      <c r="B69" s="1" t="s">
        <v>69</v>
      </c>
      <c r="C69" s="1"/>
      <c r="D69" s="2">
        <v>300000000</v>
      </c>
      <c r="E69" s="2">
        <v>300000000</v>
      </c>
      <c r="F69" s="2">
        <v>360000000</v>
      </c>
      <c r="G69" s="2">
        <v>360000000</v>
      </c>
      <c r="H69" s="2">
        <v>360000000</v>
      </c>
      <c r="I69" s="2">
        <v>465000000</v>
      </c>
      <c r="J69" s="2">
        <v>465000000</v>
      </c>
      <c r="K69" s="2">
        <v>465000000</v>
      </c>
    </row>
    <row r="70" spans="2:11" x14ac:dyDescent="0.25">
      <c r="B70" s="1" t="s">
        <v>73</v>
      </c>
      <c r="C70" s="1"/>
      <c r="D70" s="2">
        <f t="array" ref="D70:K70">TRANSPOSE(G27:G35)</f>
        <v>390570177.59417617</v>
      </c>
      <c r="E70" s="2">
        <v>341748905.39490414</v>
      </c>
      <c r="F70" s="2">
        <v>292927633.1956321</v>
      </c>
      <c r="G70" s="2">
        <v>244106360.99636009</v>
      </c>
      <c r="H70" s="2">
        <v>195285088.79708809</v>
      </c>
      <c r="I70" s="2">
        <v>146463816.59781605</v>
      </c>
      <c r="J70" s="2">
        <v>97642544.398544043</v>
      </c>
      <c r="K70" s="2">
        <v>48821272.199272022</v>
      </c>
    </row>
    <row r="71" spans="2:11" x14ac:dyDescent="0.25">
      <c r="B71" s="1" t="s">
        <v>74</v>
      </c>
      <c r="C71" s="1"/>
      <c r="D71" s="2">
        <v>155166666.66666666</v>
      </c>
      <c r="E71" s="2">
        <v>155166666.66666666</v>
      </c>
      <c r="F71" s="2">
        <v>155166666.66666666</v>
      </c>
      <c r="G71" s="2">
        <v>155166666.66666666</v>
      </c>
      <c r="H71" s="2">
        <v>155166666.66666666</v>
      </c>
      <c r="I71" s="2">
        <v>155166666.66666666</v>
      </c>
      <c r="J71" s="2">
        <v>155166666.66666666</v>
      </c>
      <c r="K71" s="2">
        <v>155166666.66666666</v>
      </c>
    </row>
    <row r="72" spans="2:11" x14ac:dyDescent="0.25">
      <c r="B72" s="36" t="s">
        <v>75</v>
      </c>
      <c r="C72" s="36"/>
      <c r="D72" s="37">
        <f>D67-D68-D69-D70-D71</f>
        <v>4091763155.7391572</v>
      </c>
      <c r="E72" s="37">
        <f t="shared" ref="E72:K72" si="13">E67-E68-E69-E70-E71</f>
        <v>4715284427.9384289</v>
      </c>
      <c r="F72" s="37">
        <f t="shared" si="13"/>
        <v>5747861200.137701</v>
      </c>
      <c r="G72" s="37">
        <f t="shared" si="13"/>
        <v>6870338372.3369732</v>
      </c>
      <c r="H72" s="37">
        <f t="shared" si="13"/>
        <v>8135457755.0362453</v>
      </c>
      <c r="I72" s="37">
        <f t="shared" si="13"/>
        <v>9457718846.2005177</v>
      </c>
      <c r="J72" s="37">
        <f t="shared" si="13"/>
        <v>11069349077.02774</v>
      </c>
      <c r="K72" s="37">
        <f t="shared" si="13"/>
        <v>11118170349.227013</v>
      </c>
    </row>
    <row r="73" spans="2:11" x14ac:dyDescent="0.25">
      <c r="B73" s="1" t="s">
        <v>70</v>
      </c>
      <c r="C73" s="1"/>
      <c r="D73" s="12">
        <f>D72*0.25</f>
        <v>1022940788.9347893</v>
      </c>
      <c r="E73" s="12">
        <f t="shared" ref="E73:K73" si="14">E72*0.25</f>
        <v>1178821106.9846072</v>
      </c>
      <c r="F73" s="12">
        <f t="shared" si="14"/>
        <v>1436965300.0344253</v>
      </c>
      <c r="G73" s="12">
        <f t="shared" si="14"/>
        <v>1717584593.0842433</v>
      </c>
      <c r="H73" s="12">
        <f t="shared" si="14"/>
        <v>2033864438.7590613</v>
      </c>
      <c r="I73" s="12">
        <f t="shared" si="14"/>
        <v>2364429711.5501294</v>
      </c>
      <c r="J73" s="12">
        <f t="shared" si="14"/>
        <v>2767337269.2569351</v>
      </c>
      <c r="K73" s="12">
        <f t="shared" si="14"/>
        <v>2779542587.3067532</v>
      </c>
    </row>
    <row r="74" spans="2:11" x14ac:dyDescent="0.25">
      <c r="B74" s="36" t="s">
        <v>76</v>
      </c>
      <c r="C74" s="36"/>
      <c r="D74" s="37">
        <f>D72-D73</f>
        <v>3068822366.804368</v>
      </c>
      <c r="E74" s="37">
        <f t="shared" ref="E74:K74" si="15">E72-E73</f>
        <v>3536463320.9538217</v>
      </c>
      <c r="F74" s="37">
        <f t="shared" si="15"/>
        <v>4310895900.1032753</v>
      </c>
      <c r="G74" s="37">
        <f t="shared" si="15"/>
        <v>5152753779.2527294</v>
      </c>
      <c r="H74" s="37">
        <f t="shared" si="15"/>
        <v>6101593316.2771835</v>
      </c>
      <c r="I74" s="37">
        <f t="shared" si="15"/>
        <v>7093289134.6503887</v>
      </c>
      <c r="J74" s="37">
        <f t="shared" si="15"/>
        <v>8302011807.7708054</v>
      </c>
      <c r="K74" s="37">
        <f t="shared" si="15"/>
        <v>8338627761.9202595</v>
      </c>
    </row>
    <row r="75" spans="2:11" x14ac:dyDescent="0.25">
      <c r="B75" s="1" t="s">
        <v>74</v>
      </c>
      <c r="C75" s="1"/>
      <c r="D75" s="2">
        <v>155166666.66666666</v>
      </c>
      <c r="E75" s="2">
        <v>155166666.66666666</v>
      </c>
      <c r="F75" s="2">
        <v>155166666.66666666</v>
      </c>
      <c r="G75" s="2">
        <v>155166666.66666666</v>
      </c>
      <c r="H75" s="2">
        <v>155166666.66666666</v>
      </c>
      <c r="I75" s="2">
        <v>155166666.66666666</v>
      </c>
      <c r="J75" s="2">
        <v>155166666.66666666</v>
      </c>
      <c r="K75" s="2">
        <v>155166666.66666666</v>
      </c>
    </row>
    <row r="76" spans="2:11" x14ac:dyDescent="0.25">
      <c r="B76" s="38" t="s">
        <v>78</v>
      </c>
      <c r="C76" s="2">
        <v>2445750000</v>
      </c>
      <c r="D76" s="2"/>
      <c r="E76" s="1"/>
      <c r="F76" s="1"/>
      <c r="G76" s="1"/>
      <c r="H76" s="1"/>
      <c r="I76" s="1"/>
      <c r="J76" s="1"/>
      <c r="K76" s="1"/>
    </row>
    <row r="77" spans="2:11" x14ac:dyDescent="0.25">
      <c r="B77" s="1" t="s">
        <v>77</v>
      </c>
      <c r="C77" s="2">
        <v>5435000000</v>
      </c>
      <c r="D77" s="1"/>
      <c r="E77" s="1"/>
      <c r="F77" s="1"/>
      <c r="G77" s="1"/>
      <c r="H77" s="1"/>
      <c r="I77" s="1"/>
      <c r="J77" s="1"/>
      <c r="K77" s="1"/>
    </row>
    <row r="78" spans="2:11" x14ac:dyDescent="0.25">
      <c r="B78" s="1" t="s">
        <v>21</v>
      </c>
      <c r="C78" s="1"/>
      <c r="D78" s="2">
        <f t="array" ref="D78:K78">TRANSPOSE(H27:H34)</f>
        <v>305718750</v>
      </c>
      <c r="E78" s="2">
        <v>305718750</v>
      </c>
      <c r="F78" s="2">
        <v>305718750</v>
      </c>
      <c r="G78" s="2">
        <v>305718750</v>
      </c>
      <c r="H78" s="2">
        <v>305718750</v>
      </c>
      <c r="I78" s="2">
        <v>305718750</v>
      </c>
      <c r="J78" s="2">
        <v>305718750</v>
      </c>
      <c r="K78" s="2">
        <v>305718750</v>
      </c>
    </row>
    <row r="79" spans="2:11" x14ac:dyDescent="0.25">
      <c r="B79" s="7" t="s">
        <v>79</v>
      </c>
      <c r="C79" s="39">
        <f>C74+C75+C76-C77-C78</f>
        <v>-2989250000</v>
      </c>
      <c r="D79" s="39">
        <f t="shared" ref="D79:J79" si="16">D74+D75+D76-D77-D78</f>
        <v>2918270283.4710345</v>
      </c>
      <c r="E79" s="39">
        <f t="shared" si="16"/>
        <v>3385911237.6204882</v>
      </c>
      <c r="F79" s="39">
        <f t="shared" si="16"/>
        <v>4160343816.7699423</v>
      </c>
      <c r="G79" s="39">
        <f t="shared" si="16"/>
        <v>5002201695.9193964</v>
      </c>
      <c r="H79" s="39">
        <f t="shared" si="16"/>
        <v>5951041232.9438505</v>
      </c>
      <c r="I79" s="39">
        <f t="shared" si="16"/>
        <v>6942737051.3170557</v>
      </c>
      <c r="J79" s="39">
        <f t="shared" si="16"/>
        <v>8151459724.4374723</v>
      </c>
      <c r="K79" s="39">
        <f>K74+K75+K76-K77-K78</f>
        <v>8188075678.5869265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7B4BD-9167-45DB-8F91-129C0CAB0773}">
  <dimension ref="A37:K84"/>
  <sheetViews>
    <sheetView topLeftCell="A34" workbookViewId="0">
      <selection activeCell="C51" sqref="C51"/>
    </sheetView>
  </sheetViews>
  <sheetFormatPr baseColWidth="10" defaultRowHeight="15" x14ac:dyDescent="0.25"/>
  <cols>
    <col min="2" max="2" width="17" bestFit="1" customWidth="1"/>
    <col min="3" max="3" width="20.28515625" bestFit="1" customWidth="1"/>
    <col min="4" max="4" width="14.28515625" bestFit="1" customWidth="1"/>
    <col min="7" max="7" width="19.5703125" bestFit="1" customWidth="1"/>
    <col min="8" max="8" width="17.85546875" bestFit="1" customWidth="1"/>
    <col min="9" max="9" width="18.5703125" bestFit="1" customWidth="1"/>
    <col min="10" max="10" width="17.85546875" bestFit="1" customWidth="1"/>
    <col min="11" max="11" width="19.5703125" bestFit="1" customWidth="1"/>
  </cols>
  <sheetData>
    <row r="37" spans="1:11" x14ac:dyDescent="0.25">
      <c r="B37" s="41" t="s">
        <v>0</v>
      </c>
      <c r="C37" s="41" t="s">
        <v>5</v>
      </c>
      <c r="D37" s="41" t="s">
        <v>80</v>
      </c>
    </row>
    <row r="38" spans="1:11" x14ac:dyDescent="0.25">
      <c r="B38" s="1" t="s">
        <v>81</v>
      </c>
      <c r="C38" s="40">
        <v>2550000000</v>
      </c>
      <c r="D38" s="1"/>
    </row>
    <row r="39" spans="1:11" x14ac:dyDescent="0.25">
      <c r="B39" s="1" t="s">
        <v>82</v>
      </c>
      <c r="C39" s="40">
        <v>705000000</v>
      </c>
      <c r="D39" s="1">
        <v>15</v>
      </c>
    </row>
    <row r="40" spans="1:11" x14ac:dyDescent="0.25">
      <c r="B40" s="1" t="s">
        <v>83</v>
      </c>
      <c r="C40" s="40">
        <v>1500000000</v>
      </c>
      <c r="D40" s="1">
        <v>10</v>
      </c>
    </row>
    <row r="41" spans="1:11" x14ac:dyDescent="0.25">
      <c r="B41" s="1" t="s">
        <v>84</v>
      </c>
      <c r="C41" s="40">
        <v>680000000</v>
      </c>
      <c r="D41" s="1">
        <v>6</v>
      </c>
    </row>
    <row r="42" spans="1:11" x14ac:dyDescent="0.25">
      <c r="B42" s="1" t="s">
        <v>86</v>
      </c>
      <c r="C42" s="42">
        <f>SUM(C38:C41)</f>
        <v>5435000000</v>
      </c>
    </row>
    <row r="43" spans="1:11" x14ac:dyDescent="0.25">
      <c r="B43" s="41" t="s">
        <v>85</v>
      </c>
      <c r="C43" s="12">
        <f>C42*0.45</f>
        <v>2445750000</v>
      </c>
    </row>
    <row r="45" spans="1:11" x14ac:dyDescent="0.25">
      <c r="F45" s="58" t="s">
        <v>94</v>
      </c>
      <c r="G45" s="58"/>
      <c r="H45" s="58"/>
      <c r="I45" s="58"/>
      <c r="J45" s="58"/>
      <c r="K45" s="58"/>
    </row>
    <row r="46" spans="1:11" x14ac:dyDescent="0.25">
      <c r="A46" t="s">
        <v>7</v>
      </c>
      <c r="B46" s="1" t="s">
        <v>87</v>
      </c>
      <c r="C46" s="3">
        <v>7.4999999999999997E-2</v>
      </c>
      <c r="D46" s="1" t="s">
        <v>9</v>
      </c>
      <c r="F46" s="1" t="s">
        <v>35</v>
      </c>
      <c r="G46" s="1" t="s">
        <v>89</v>
      </c>
      <c r="H46" s="1" t="s">
        <v>90</v>
      </c>
      <c r="I46" s="1" t="s">
        <v>91</v>
      </c>
      <c r="J46" s="1" t="s">
        <v>92</v>
      </c>
      <c r="K46" s="1" t="s">
        <v>93</v>
      </c>
    </row>
    <row r="47" spans="1:11" x14ac:dyDescent="0.25">
      <c r="B47" s="1" t="s">
        <v>87</v>
      </c>
      <c r="C47" s="4">
        <f>C46*4</f>
        <v>0.3</v>
      </c>
      <c r="D47" s="1" t="s">
        <v>13</v>
      </c>
      <c r="F47" s="1">
        <v>0</v>
      </c>
      <c r="G47" s="45"/>
      <c r="H47" s="45"/>
      <c r="I47" s="45"/>
      <c r="J47" s="45"/>
      <c r="K47" s="45">
        <f>$C$43</f>
        <v>2445750000</v>
      </c>
    </row>
    <row r="48" spans="1:11" x14ac:dyDescent="0.25">
      <c r="B48" s="1" t="s">
        <v>10</v>
      </c>
      <c r="C48" s="1">
        <v>12</v>
      </c>
      <c r="D48" s="1" t="s">
        <v>11</v>
      </c>
      <c r="F48" s="1">
        <v>1</v>
      </c>
      <c r="G48" s="45">
        <f>K47</f>
        <v>2445750000</v>
      </c>
      <c r="H48" s="45">
        <f>I48+J48</f>
        <v>696288927.59417617</v>
      </c>
      <c r="I48" s="45">
        <f>G48*$C$51</f>
        <v>390570177.59417617</v>
      </c>
      <c r="J48" s="45">
        <f>$K$47/$F$55</f>
        <v>305718750</v>
      </c>
      <c r="K48" s="45">
        <f>G48-J48</f>
        <v>2140031250</v>
      </c>
    </row>
    <row r="49" spans="1:11" x14ac:dyDescent="0.25">
      <c r="B49" s="1" t="s">
        <v>88</v>
      </c>
      <c r="C49" s="4">
        <f>POWER(1+(C47/C48),C48)-1</f>
        <v>0.34488882424629752</v>
      </c>
      <c r="D49" s="1" t="s">
        <v>13</v>
      </c>
      <c r="F49" s="1">
        <v>2</v>
      </c>
      <c r="G49" s="45">
        <f t="shared" ref="G49:G55" si="0">K48</f>
        <v>2140031250</v>
      </c>
      <c r="H49" s="45">
        <f t="shared" ref="H49:H55" si="1">I49+J49</f>
        <v>647467655.39490414</v>
      </c>
      <c r="I49" s="45">
        <f t="shared" ref="I49:I55" si="2">G49*$C$51</f>
        <v>341748905.39490414</v>
      </c>
      <c r="J49" s="45">
        <f>$K$47/$F$55</f>
        <v>305718750</v>
      </c>
      <c r="K49" s="45">
        <f t="shared" ref="K49:K55" si="3">G49-J49</f>
        <v>1834312500</v>
      </c>
    </row>
    <row r="50" spans="1:11" x14ac:dyDescent="0.25">
      <c r="B50" s="1" t="s">
        <v>10</v>
      </c>
      <c r="C50" s="1">
        <v>2</v>
      </c>
      <c r="D50" s="1" t="s">
        <v>14</v>
      </c>
      <c r="F50" s="1">
        <v>3</v>
      </c>
      <c r="G50" s="45">
        <f t="shared" si="0"/>
        <v>1834312500</v>
      </c>
      <c r="H50" s="45">
        <f t="shared" si="1"/>
        <v>598646383.1956321</v>
      </c>
      <c r="I50" s="45">
        <f t="shared" si="2"/>
        <v>292927633.1956321</v>
      </c>
      <c r="J50" s="45">
        <f t="shared" ref="J50:J55" si="4">$K$47/$F$55</f>
        <v>305718750</v>
      </c>
      <c r="K50" s="45">
        <f t="shared" si="3"/>
        <v>1528593750</v>
      </c>
    </row>
    <row r="51" spans="1:11" x14ac:dyDescent="0.25">
      <c r="B51" s="43" t="s">
        <v>88</v>
      </c>
      <c r="C51" s="44">
        <f>POWER(1+C49,1/C50)-1</f>
        <v>0.15969341821289018</v>
      </c>
      <c r="D51" s="43" t="s">
        <v>14</v>
      </c>
      <c r="F51" s="1">
        <v>4</v>
      </c>
      <c r="G51" s="45">
        <f t="shared" si="0"/>
        <v>1528593750</v>
      </c>
      <c r="H51" s="45">
        <f t="shared" si="1"/>
        <v>549825110.99636006</v>
      </c>
      <c r="I51" s="45">
        <f t="shared" si="2"/>
        <v>244106360.99636009</v>
      </c>
      <c r="J51" s="45">
        <f t="shared" si="4"/>
        <v>305718750</v>
      </c>
      <c r="K51" s="45">
        <f t="shared" si="3"/>
        <v>1222875000</v>
      </c>
    </row>
    <row r="52" spans="1:11" x14ac:dyDescent="0.25">
      <c r="B52" s="1" t="s">
        <v>15</v>
      </c>
      <c r="C52" s="1">
        <v>8</v>
      </c>
      <c r="D52" s="1" t="s">
        <v>16</v>
      </c>
      <c r="F52" s="1">
        <v>5</v>
      </c>
      <c r="G52" s="45">
        <f t="shared" si="0"/>
        <v>1222875000</v>
      </c>
      <c r="H52" s="45">
        <f t="shared" si="1"/>
        <v>501003838.79708809</v>
      </c>
      <c r="I52" s="45">
        <f t="shared" si="2"/>
        <v>195285088.79708809</v>
      </c>
      <c r="J52" s="45">
        <f t="shared" si="4"/>
        <v>305718750</v>
      </c>
      <c r="K52" s="45">
        <f t="shared" si="3"/>
        <v>917156250</v>
      </c>
    </row>
    <row r="53" spans="1:11" x14ac:dyDescent="0.25">
      <c r="F53" s="1">
        <v>6</v>
      </c>
      <c r="G53" s="45">
        <f t="shared" si="0"/>
        <v>917156250</v>
      </c>
      <c r="H53" s="45">
        <f t="shared" si="1"/>
        <v>452182566.59781605</v>
      </c>
      <c r="I53" s="45">
        <f t="shared" si="2"/>
        <v>146463816.59781605</v>
      </c>
      <c r="J53" s="45">
        <f t="shared" si="4"/>
        <v>305718750</v>
      </c>
      <c r="K53" s="45">
        <f t="shared" si="3"/>
        <v>611437500</v>
      </c>
    </row>
    <row r="54" spans="1:11" x14ac:dyDescent="0.25">
      <c r="F54" s="1">
        <v>7</v>
      </c>
      <c r="G54" s="45">
        <f t="shared" si="0"/>
        <v>611437500</v>
      </c>
      <c r="H54" s="45">
        <f t="shared" si="1"/>
        <v>403361294.39854407</v>
      </c>
      <c r="I54" s="45">
        <f t="shared" si="2"/>
        <v>97642544.398544043</v>
      </c>
      <c r="J54" s="45">
        <f t="shared" si="4"/>
        <v>305718750</v>
      </c>
      <c r="K54" s="45">
        <f t="shared" si="3"/>
        <v>305718750</v>
      </c>
    </row>
    <row r="55" spans="1:11" x14ac:dyDescent="0.25">
      <c r="F55" s="1">
        <v>8</v>
      </c>
      <c r="G55" s="45">
        <f t="shared" si="0"/>
        <v>305718750</v>
      </c>
      <c r="H55" s="45">
        <f t="shared" si="1"/>
        <v>354540022.19927204</v>
      </c>
      <c r="I55" s="45">
        <f t="shared" si="2"/>
        <v>48821272.199272022</v>
      </c>
      <c r="J55" s="45">
        <f t="shared" si="4"/>
        <v>305718750</v>
      </c>
      <c r="K55" s="45">
        <f t="shared" si="3"/>
        <v>0</v>
      </c>
    </row>
    <row r="56" spans="1:11" x14ac:dyDescent="0.25">
      <c r="H56" s="52">
        <f>SUM(H47:H55)</f>
        <v>4203315799.1737928</v>
      </c>
      <c r="I56" s="52">
        <f>SUM(I47:I55)</f>
        <v>1757565799.1737926</v>
      </c>
    </row>
    <row r="58" spans="1:11" x14ac:dyDescent="0.25">
      <c r="F58" s="58" t="s">
        <v>95</v>
      </c>
      <c r="G58" s="58"/>
      <c r="H58" s="58"/>
      <c r="I58" s="58"/>
      <c r="J58" s="58"/>
      <c r="K58" s="58"/>
    </row>
    <row r="59" spans="1:11" x14ac:dyDescent="0.25">
      <c r="A59" t="s">
        <v>26</v>
      </c>
      <c r="B59" s="1" t="s">
        <v>87</v>
      </c>
      <c r="C59" s="3">
        <v>0.20499999999999999</v>
      </c>
      <c r="D59" s="1" t="s">
        <v>14</v>
      </c>
      <c r="F59" s="1" t="s">
        <v>35</v>
      </c>
      <c r="G59" s="1" t="s">
        <v>89</v>
      </c>
      <c r="H59" s="1" t="s">
        <v>90</v>
      </c>
      <c r="I59" s="1" t="s">
        <v>91</v>
      </c>
      <c r="J59" s="1" t="s">
        <v>92</v>
      </c>
      <c r="K59" s="1" t="s">
        <v>93</v>
      </c>
    </row>
    <row r="60" spans="1:11" x14ac:dyDescent="0.25">
      <c r="B60" s="1" t="s">
        <v>87</v>
      </c>
      <c r="C60" s="4">
        <f>C59*2</f>
        <v>0.41</v>
      </c>
      <c r="D60" s="1" t="s">
        <v>13</v>
      </c>
      <c r="F60" s="1">
        <v>0</v>
      </c>
      <c r="G60" s="1"/>
      <c r="H60" s="1"/>
      <c r="I60" s="1"/>
      <c r="J60" s="1"/>
      <c r="K60" s="46">
        <f>K47</f>
        <v>2445750000</v>
      </c>
    </row>
    <row r="61" spans="1:11" x14ac:dyDescent="0.25">
      <c r="B61" s="1" t="s">
        <v>10</v>
      </c>
      <c r="C61" s="1">
        <v>4</v>
      </c>
      <c r="D61" s="1" t="s">
        <v>9</v>
      </c>
      <c r="F61" s="1">
        <v>1</v>
      </c>
      <c r="G61" s="46">
        <f>K60</f>
        <v>2445750000</v>
      </c>
      <c r="H61" s="47">
        <f>PMT($C$64,$F$68,-$K$60)</f>
        <v>667069790.76819599</v>
      </c>
      <c r="I61" s="12">
        <f>G61*$C$64</f>
        <v>527074410.9375</v>
      </c>
      <c r="J61" s="47">
        <f>H61-I61</f>
        <v>139995379.83069599</v>
      </c>
      <c r="K61" s="48">
        <f>G61-J61</f>
        <v>2305754620.1693039</v>
      </c>
    </row>
    <row r="62" spans="1:11" x14ac:dyDescent="0.25">
      <c r="B62" s="1" t="s">
        <v>88</v>
      </c>
      <c r="C62" s="4">
        <f>POWER(1+(C60/C61),C61)-1</f>
        <v>0.47745544378906257</v>
      </c>
      <c r="D62" s="1" t="s">
        <v>13</v>
      </c>
      <c r="F62" s="1">
        <v>2</v>
      </c>
      <c r="G62" s="46">
        <f t="shared" ref="G62:G68" si="5">K61</f>
        <v>2305754620.1693039</v>
      </c>
      <c r="H62" s="47">
        <f t="shared" ref="H62:H67" si="6">PMT($C$64,$F$68,-$K$60)</f>
        <v>667069790.76819599</v>
      </c>
      <c r="I62" s="12">
        <f t="shared" ref="I62:I68" si="7">G62*$C$64</f>
        <v>496904531.6128611</v>
      </c>
      <c r="J62" s="47">
        <f t="shared" ref="J62:J68" si="8">H62-I62</f>
        <v>170165259.15533489</v>
      </c>
      <c r="K62" s="48">
        <f t="shared" ref="K62:K68" si="9">G62-J62</f>
        <v>2135589361.0139689</v>
      </c>
    </row>
    <row r="63" spans="1:11" x14ac:dyDescent="0.25">
      <c r="B63" s="1" t="s">
        <v>10</v>
      </c>
      <c r="C63" s="1">
        <v>2</v>
      </c>
      <c r="D63" s="1" t="s">
        <v>14</v>
      </c>
      <c r="F63" s="1">
        <v>3</v>
      </c>
      <c r="G63" s="46">
        <f t="shared" si="5"/>
        <v>2135589361.0139689</v>
      </c>
      <c r="H63" s="47">
        <f t="shared" si="6"/>
        <v>667069790.76819599</v>
      </c>
      <c r="I63" s="12">
        <f t="shared" si="7"/>
        <v>460232854.73201668</v>
      </c>
      <c r="J63" s="47">
        <f t="shared" si="8"/>
        <v>206836936.0361793</v>
      </c>
      <c r="K63" s="48">
        <f t="shared" si="9"/>
        <v>1928752424.9777896</v>
      </c>
    </row>
    <row r="64" spans="1:11" x14ac:dyDescent="0.25">
      <c r="B64" s="43" t="s">
        <v>88</v>
      </c>
      <c r="C64" s="44">
        <f>POWER(1+C62,1/C63)-1</f>
        <v>0.21550625000000001</v>
      </c>
      <c r="D64" s="43" t="s">
        <v>14</v>
      </c>
      <c r="F64" s="1">
        <v>4</v>
      </c>
      <c r="G64" s="46">
        <f t="shared" si="5"/>
        <v>1928752424.9777896</v>
      </c>
      <c r="H64" s="47">
        <f t="shared" si="6"/>
        <v>667069790.76819599</v>
      </c>
      <c r="I64" s="12">
        <f t="shared" si="7"/>
        <v>415658202.28536981</v>
      </c>
      <c r="J64" s="47">
        <f t="shared" si="8"/>
        <v>251411588.48282617</v>
      </c>
      <c r="K64" s="48">
        <f t="shared" si="9"/>
        <v>1677340836.4949634</v>
      </c>
    </row>
    <row r="65" spans="1:11" x14ac:dyDescent="0.25">
      <c r="B65" s="1" t="s">
        <v>15</v>
      </c>
      <c r="C65" s="1">
        <v>8</v>
      </c>
      <c r="D65" s="1" t="s">
        <v>14</v>
      </c>
      <c r="F65" s="1">
        <v>5</v>
      </c>
      <c r="G65" s="46">
        <f t="shared" si="5"/>
        <v>1677340836.4949634</v>
      </c>
      <c r="H65" s="47">
        <f t="shared" si="6"/>
        <v>667069790.76819599</v>
      </c>
      <c r="I65" s="12">
        <f t="shared" si="7"/>
        <v>361477433.64489275</v>
      </c>
      <c r="J65" s="47">
        <f t="shared" si="8"/>
        <v>305592357.12330323</v>
      </c>
      <c r="K65" s="48">
        <f t="shared" si="9"/>
        <v>1371748479.3716602</v>
      </c>
    </row>
    <row r="66" spans="1:11" x14ac:dyDescent="0.25">
      <c r="F66" s="1">
        <v>6</v>
      </c>
      <c r="G66" s="46">
        <f t="shared" si="5"/>
        <v>1371748479.3716602</v>
      </c>
      <c r="H66" s="47">
        <f t="shared" si="6"/>
        <v>667069790.76819599</v>
      </c>
      <c r="I66" s="12">
        <f t="shared" si="7"/>
        <v>295620370.73258889</v>
      </c>
      <c r="J66" s="47">
        <f t="shared" si="8"/>
        <v>371449420.0356071</v>
      </c>
      <c r="K66" s="48">
        <f t="shared" si="9"/>
        <v>1000299059.3360531</v>
      </c>
    </row>
    <row r="67" spans="1:11" x14ac:dyDescent="0.25">
      <c r="F67" s="1">
        <v>7</v>
      </c>
      <c r="G67" s="46">
        <f t="shared" si="5"/>
        <v>1000299059.3360531</v>
      </c>
      <c r="H67" s="47">
        <f t="shared" si="6"/>
        <v>667069790.76819599</v>
      </c>
      <c r="I67" s="12">
        <f t="shared" si="7"/>
        <v>215570699.15604031</v>
      </c>
      <c r="J67" s="47">
        <f t="shared" si="8"/>
        <v>451499091.61215568</v>
      </c>
      <c r="K67" s="48">
        <f t="shared" si="9"/>
        <v>548799967.72389746</v>
      </c>
    </row>
    <row r="68" spans="1:11" x14ac:dyDescent="0.25">
      <c r="F68" s="1">
        <v>8</v>
      </c>
      <c r="G68" s="46">
        <f t="shared" si="5"/>
        <v>548799967.72389746</v>
      </c>
      <c r="H68" s="47">
        <f>PMT($C$64,$F$68,-$K$60)</f>
        <v>667069790.76819599</v>
      </c>
      <c r="I68" s="12">
        <f t="shared" si="7"/>
        <v>118269823.04429819</v>
      </c>
      <c r="J68" s="47">
        <f t="shared" si="8"/>
        <v>548799967.72389781</v>
      </c>
      <c r="K68" s="48">
        <f t="shared" si="9"/>
        <v>0</v>
      </c>
    </row>
    <row r="69" spans="1:11" x14ac:dyDescent="0.25">
      <c r="H69" s="51">
        <f>SUM(H61:H68)</f>
        <v>5336558326.1455679</v>
      </c>
      <c r="I69" s="51">
        <f>SUM(I61:I68)</f>
        <v>2890808326.1455674</v>
      </c>
    </row>
    <row r="72" spans="1:11" x14ac:dyDescent="0.25">
      <c r="A72" t="s">
        <v>96</v>
      </c>
      <c r="B72" s="1" t="s">
        <v>87</v>
      </c>
      <c r="C72" s="3">
        <v>4.2000000000000003E-2</v>
      </c>
      <c r="D72" s="1" t="s">
        <v>11</v>
      </c>
      <c r="F72" s="1" t="s">
        <v>35</v>
      </c>
      <c r="G72" s="1" t="s">
        <v>89</v>
      </c>
      <c r="H72" s="1" t="s">
        <v>90</v>
      </c>
      <c r="I72" s="1" t="s">
        <v>91</v>
      </c>
      <c r="J72" s="1" t="s">
        <v>92</v>
      </c>
      <c r="K72" s="1" t="s">
        <v>93</v>
      </c>
    </row>
    <row r="73" spans="1:11" x14ac:dyDescent="0.25">
      <c r="B73" s="1" t="s">
        <v>87</v>
      </c>
      <c r="C73" s="4">
        <f>C72*12</f>
        <v>0.504</v>
      </c>
      <c r="D73" s="1" t="s">
        <v>13</v>
      </c>
      <c r="F73" s="1">
        <v>0</v>
      </c>
      <c r="G73" s="2"/>
      <c r="H73" s="2"/>
      <c r="I73" s="2"/>
      <c r="J73" s="2"/>
      <c r="K73" s="2">
        <f>C43</f>
        <v>2445750000</v>
      </c>
    </row>
    <row r="74" spans="1:11" x14ac:dyDescent="0.25">
      <c r="B74" s="1" t="s">
        <v>97</v>
      </c>
      <c r="C74" s="4">
        <f>EXP(C73)-1</f>
        <v>0.65532936315705492</v>
      </c>
      <c r="D74" s="1" t="s">
        <v>13</v>
      </c>
      <c r="F74" s="1">
        <v>1</v>
      </c>
      <c r="G74" s="2">
        <f>K73</f>
        <v>2445750000</v>
      </c>
      <c r="H74" s="2">
        <f>I74+J74</f>
        <v>700942258.189399</v>
      </c>
      <c r="I74" s="2">
        <f>G74*$C$76</f>
        <v>700942258.189399</v>
      </c>
      <c r="J74" s="2"/>
      <c r="K74" s="2">
        <f>G74-J74</f>
        <v>2445750000</v>
      </c>
    </row>
    <row r="75" spans="1:11" x14ac:dyDescent="0.25">
      <c r="B75" s="1" t="s">
        <v>10</v>
      </c>
      <c r="C75" s="49">
        <v>2</v>
      </c>
      <c r="D75" s="1" t="s">
        <v>14</v>
      </c>
      <c r="F75" s="1">
        <v>2</v>
      </c>
      <c r="G75" s="2">
        <f t="shared" ref="G75:G81" si="10">K74</f>
        <v>2445750000</v>
      </c>
      <c r="H75" s="2">
        <f t="shared" ref="H75:H81" si="11">I75+J75</f>
        <v>700942258.189399</v>
      </c>
      <c r="I75" s="2">
        <f t="shared" ref="I75:I81" si="12">G75*$C$76</f>
        <v>700942258.189399</v>
      </c>
      <c r="J75" s="2"/>
      <c r="K75" s="2">
        <f t="shared" ref="K75:K81" si="13">G75-J75</f>
        <v>2445750000</v>
      </c>
    </row>
    <row r="76" spans="1:11" x14ac:dyDescent="0.25">
      <c r="B76" s="43" t="s">
        <v>88</v>
      </c>
      <c r="C76" s="44">
        <f>POWER(1+C74,1/C75)-1</f>
        <v>0.28659603728484062</v>
      </c>
      <c r="D76" s="43" t="s">
        <v>14</v>
      </c>
      <c r="F76" s="1">
        <v>3</v>
      </c>
      <c r="G76" s="2">
        <f t="shared" si="10"/>
        <v>2445750000</v>
      </c>
      <c r="H76" s="2">
        <f t="shared" si="11"/>
        <v>700942258.189399</v>
      </c>
      <c r="I76" s="2">
        <f t="shared" si="12"/>
        <v>700942258.189399</v>
      </c>
      <c r="J76" s="2"/>
      <c r="K76" s="2">
        <f t="shared" si="13"/>
        <v>2445750000</v>
      </c>
    </row>
    <row r="77" spans="1:11" x14ac:dyDescent="0.25">
      <c r="B77" s="1" t="s">
        <v>15</v>
      </c>
      <c r="C77" s="1">
        <v>8</v>
      </c>
      <c r="D77" s="1" t="s">
        <v>16</v>
      </c>
      <c r="F77" s="1">
        <v>4</v>
      </c>
      <c r="G77" s="2">
        <f t="shared" si="10"/>
        <v>2445750000</v>
      </c>
      <c r="H77" s="2">
        <f t="shared" si="11"/>
        <v>700942258.189399</v>
      </c>
      <c r="I77" s="2">
        <f t="shared" si="12"/>
        <v>700942258.189399</v>
      </c>
      <c r="J77" s="2"/>
      <c r="K77" s="2">
        <f t="shared" si="13"/>
        <v>2445750000</v>
      </c>
    </row>
    <row r="78" spans="1:11" x14ac:dyDescent="0.25">
      <c r="F78" s="1">
        <v>5</v>
      </c>
      <c r="G78" s="2">
        <f t="shared" si="10"/>
        <v>2445750000</v>
      </c>
      <c r="H78" s="2">
        <f t="shared" si="11"/>
        <v>700942258.189399</v>
      </c>
      <c r="I78" s="2">
        <f t="shared" si="12"/>
        <v>700942258.189399</v>
      </c>
      <c r="J78" s="2"/>
      <c r="K78" s="2">
        <f t="shared" si="13"/>
        <v>2445750000</v>
      </c>
    </row>
    <row r="79" spans="1:11" x14ac:dyDescent="0.25">
      <c r="F79" s="1">
        <v>6</v>
      </c>
      <c r="G79" s="2">
        <f t="shared" si="10"/>
        <v>2445750000</v>
      </c>
      <c r="H79" s="2">
        <f t="shared" si="11"/>
        <v>700942258.189399</v>
      </c>
      <c r="I79" s="2">
        <f t="shared" si="12"/>
        <v>700942258.189399</v>
      </c>
      <c r="J79" s="2"/>
      <c r="K79" s="2">
        <f t="shared" si="13"/>
        <v>2445750000</v>
      </c>
    </row>
    <row r="80" spans="1:11" x14ac:dyDescent="0.25">
      <c r="F80" s="1">
        <v>7</v>
      </c>
      <c r="G80" s="2">
        <f t="shared" si="10"/>
        <v>2445750000</v>
      </c>
      <c r="H80" s="2">
        <f t="shared" si="11"/>
        <v>700942258.189399</v>
      </c>
      <c r="I80" s="2">
        <f t="shared" si="12"/>
        <v>700942258.189399</v>
      </c>
      <c r="J80" s="2"/>
      <c r="K80" s="2">
        <f t="shared" si="13"/>
        <v>2445750000</v>
      </c>
    </row>
    <row r="81" spans="6:11" x14ac:dyDescent="0.25">
      <c r="F81" s="1">
        <v>8</v>
      </c>
      <c r="G81" s="2">
        <f t="shared" si="10"/>
        <v>2445750000</v>
      </c>
      <c r="H81" s="2">
        <f t="shared" si="11"/>
        <v>3146692258.1893988</v>
      </c>
      <c r="I81" s="2">
        <f t="shared" si="12"/>
        <v>700942258.189399</v>
      </c>
      <c r="J81" s="2">
        <f>K73</f>
        <v>2445750000</v>
      </c>
      <c r="K81" s="2">
        <f t="shared" si="13"/>
        <v>0</v>
      </c>
    </row>
    <row r="82" spans="6:11" x14ac:dyDescent="0.25">
      <c r="H82" s="18">
        <f>SUM(H74:H81)</f>
        <v>8053288065.5151911</v>
      </c>
      <c r="I82" s="18">
        <f>SUM(I74:I81)</f>
        <v>5607538065.5151911</v>
      </c>
    </row>
    <row r="84" spans="6:11" x14ac:dyDescent="0.25">
      <c r="H84" s="50"/>
    </row>
  </sheetData>
  <mergeCells count="2">
    <mergeCell ref="F45:K45"/>
    <mergeCell ref="F58:K58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01954-BD8F-49C6-89F1-B2A6F67C33A1}">
  <dimension ref="A12:J32"/>
  <sheetViews>
    <sheetView topLeftCell="A10" workbookViewId="0">
      <selection activeCell="E35" sqref="E35"/>
    </sheetView>
  </sheetViews>
  <sheetFormatPr baseColWidth="10" defaultRowHeight="15" x14ac:dyDescent="0.25"/>
  <cols>
    <col min="1" max="1" width="13.28515625" bestFit="1" customWidth="1"/>
    <col min="2" max="2" width="19" bestFit="1" customWidth="1"/>
    <col min="3" max="3" width="18.140625" bestFit="1" customWidth="1"/>
    <col min="4" max="10" width="17.85546875" bestFit="1" customWidth="1"/>
  </cols>
  <sheetData>
    <row r="12" spans="1:10" x14ac:dyDescent="0.25">
      <c r="A12" s="1" t="s">
        <v>45</v>
      </c>
    </row>
    <row r="13" spans="1:10" x14ac:dyDescent="0.25">
      <c r="A13" s="1" t="s">
        <v>35</v>
      </c>
      <c r="B13" s="1" t="s">
        <v>98</v>
      </c>
      <c r="C13" s="1" t="s">
        <v>100</v>
      </c>
      <c r="D13" s="1" t="s">
        <v>101</v>
      </c>
      <c r="E13" s="1" t="s">
        <v>102</v>
      </c>
      <c r="F13" s="1" t="s">
        <v>103</v>
      </c>
      <c r="G13" s="1" t="s">
        <v>104</v>
      </c>
      <c r="H13" s="1" t="s">
        <v>105</v>
      </c>
      <c r="I13" s="1" t="s">
        <v>106</v>
      </c>
      <c r="J13" s="1" t="s">
        <v>107</v>
      </c>
    </row>
    <row r="14" spans="1:10" x14ac:dyDescent="0.25">
      <c r="A14" s="1" t="s">
        <v>33</v>
      </c>
      <c r="B14" s="21">
        <v>1500000</v>
      </c>
      <c r="C14" s="21">
        <f>B14*1.04</f>
        <v>1560000</v>
      </c>
      <c r="D14" s="21">
        <f>C14*1.1</f>
        <v>1716000.0000000002</v>
      </c>
      <c r="E14" s="21">
        <f>D14*1.12</f>
        <v>1921920.0000000005</v>
      </c>
      <c r="F14" s="21">
        <f>E14*1.13</f>
        <v>2171769.6</v>
      </c>
      <c r="G14" s="21">
        <f>F14*1.13</f>
        <v>2454099.648</v>
      </c>
      <c r="H14" s="21">
        <f t="shared" ref="H14:I14" si="0">G14*1.13</f>
        <v>2773132.6022399999</v>
      </c>
      <c r="I14" s="21">
        <f t="shared" si="0"/>
        <v>3133639.8405311997</v>
      </c>
      <c r="J14" s="21">
        <f>I14</f>
        <v>3133639.8405311997</v>
      </c>
    </row>
    <row r="15" spans="1:10" x14ac:dyDescent="0.25">
      <c r="A15" s="1" t="s">
        <v>108</v>
      </c>
      <c r="B15" s="21">
        <f>B14*0.1</f>
        <v>150000</v>
      </c>
      <c r="C15" s="21">
        <f t="shared" ref="C15:J15" si="1">C14*0.1</f>
        <v>156000</v>
      </c>
      <c r="D15" s="21">
        <f t="shared" si="1"/>
        <v>171600.00000000003</v>
      </c>
      <c r="E15" s="21">
        <f t="shared" si="1"/>
        <v>192192.00000000006</v>
      </c>
      <c r="F15" s="21">
        <f t="shared" si="1"/>
        <v>217176.96000000002</v>
      </c>
      <c r="G15" s="21">
        <f t="shared" si="1"/>
        <v>245409.96480000002</v>
      </c>
      <c r="H15" s="21">
        <f t="shared" si="1"/>
        <v>277313.26022400003</v>
      </c>
      <c r="I15" s="21">
        <f t="shared" si="1"/>
        <v>313363.98405311996</v>
      </c>
      <c r="J15" s="21">
        <f t="shared" si="1"/>
        <v>313363.98405311996</v>
      </c>
    </row>
    <row r="16" spans="1:10" x14ac:dyDescent="0.25">
      <c r="A16" s="53" t="s">
        <v>99</v>
      </c>
      <c r="B16" s="54">
        <f>B15*15000</f>
        <v>2250000000</v>
      </c>
      <c r="C16" s="54">
        <f t="shared" ref="C16:J16" si="2">C15*15000</f>
        <v>2340000000</v>
      </c>
      <c r="D16" s="54">
        <f t="shared" si="2"/>
        <v>2574000000.0000005</v>
      </c>
      <c r="E16" s="54">
        <f t="shared" si="2"/>
        <v>2882880000.000001</v>
      </c>
      <c r="F16" s="54">
        <f t="shared" si="2"/>
        <v>3257654400.0000005</v>
      </c>
      <c r="G16" s="54">
        <f t="shared" si="2"/>
        <v>3681149472.0000005</v>
      </c>
      <c r="H16" s="54">
        <f t="shared" si="2"/>
        <v>4159698903.3600006</v>
      </c>
      <c r="I16" s="54">
        <f t="shared" si="2"/>
        <v>4700459760.7967997</v>
      </c>
      <c r="J16" s="54">
        <f t="shared" si="2"/>
        <v>4700459760.7967997</v>
      </c>
    </row>
    <row r="19" spans="1:10" x14ac:dyDescent="0.25">
      <c r="A19" s="1" t="s">
        <v>46</v>
      </c>
    </row>
    <row r="20" spans="1:10" x14ac:dyDescent="0.25">
      <c r="A20" s="1" t="s">
        <v>35</v>
      </c>
      <c r="B20" s="1" t="s">
        <v>98</v>
      </c>
      <c r="C20" s="1" t="s">
        <v>100</v>
      </c>
      <c r="D20" s="1" t="s">
        <v>101</v>
      </c>
      <c r="E20" s="1" t="s">
        <v>102</v>
      </c>
      <c r="F20" s="1" t="s">
        <v>103</v>
      </c>
      <c r="G20" s="1" t="s">
        <v>104</v>
      </c>
      <c r="H20" s="1" t="s">
        <v>105</v>
      </c>
      <c r="I20" s="1" t="s">
        <v>106</v>
      </c>
      <c r="J20" s="1" t="s">
        <v>107</v>
      </c>
    </row>
    <row r="21" spans="1:10" x14ac:dyDescent="0.25">
      <c r="A21" s="1" t="s">
        <v>33</v>
      </c>
      <c r="B21" s="21">
        <v>2500000</v>
      </c>
      <c r="C21" s="21">
        <f>B21*1.06</f>
        <v>2650000</v>
      </c>
      <c r="D21" s="21">
        <f>C21*1.08</f>
        <v>2862000</v>
      </c>
      <c r="E21" s="21">
        <f>D21*1.1</f>
        <v>3148200.0000000005</v>
      </c>
      <c r="F21" s="21">
        <f>E21*1.15</f>
        <v>3620430.0000000005</v>
      </c>
      <c r="G21" s="21">
        <f t="shared" ref="G21:I21" si="3">F21*1.15</f>
        <v>4163494.5</v>
      </c>
      <c r="H21" s="21">
        <f t="shared" si="3"/>
        <v>4788018.6749999998</v>
      </c>
      <c r="I21" s="21">
        <f t="shared" si="3"/>
        <v>5506221.4762499994</v>
      </c>
      <c r="J21" s="21">
        <f>I21</f>
        <v>5506221.4762499994</v>
      </c>
    </row>
    <row r="22" spans="1:10" x14ac:dyDescent="0.25">
      <c r="A22" s="1" t="s">
        <v>108</v>
      </c>
      <c r="B22" s="21">
        <f>B21*0.1</f>
        <v>250000</v>
      </c>
      <c r="C22" s="21">
        <f t="shared" ref="C22:J22" si="4">C21*0.1</f>
        <v>265000</v>
      </c>
      <c r="D22" s="21">
        <f t="shared" si="4"/>
        <v>286200</v>
      </c>
      <c r="E22" s="21">
        <f t="shared" si="4"/>
        <v>314820.00000000006</v>
      </c>
      <c r="F22" s="21">
        <f t="shared" si="4"/>
        <v>362043.00000000006</v>
      </c>
      <c r="G22" s="21">
        <f t="shared" si="4"/>
        <v>416349.45</v>
      </c>
      <c r="H22" s="21">
        <f t="shared" si="4"/>
        <v>478801.86749999999</v>
      </c>
      <c r="I22" s="21">
        <f t="shared" si="4"/>
        <v>550622.14762499998</v>
      </c>
      <c r="J22" s="21">
        <f t="shared" si="4"/>
        <v>550622.14762499998</v>
      </c>
    </row>
    <row r="23" spans="1:10" x14ac:dyDescent="0.25">
      <c r="A23" s="53" t="s">
        <v>99</v>
      </c>
      <c r="B23" s="54">
        <f>B22*25000</f>
        <v>6250000000</v>
      </c>
      <c r="C23" s="54">
        <f t="shared" ref="C23:J23" si="5">C22*25000</f>
        <v>6625000000</v>
      </c>
      <c r="D23" s="54">
        <f t="shared" si="5"/>
        <v>7155000000</v>
      </c>
      <c r="E23" s="54">
        <f t="shared" si="5"/>
        <v>7870500000.0000019</v>
      </c>
      <c r="F23" s="54">
        <f t="shared" si="5"/>
        <v>9051075000.0000019</v>
      </c>
      <c r="G23" s="54">
        <f t="shared" si="5"/>
        <v>10408736250</v>
      </c>
      <c r="H23" s="54">
        <f t="shared" si="5"/>
        <v>11970046687.5</v>
      </c>
      <c r="I23" s="54">
        <f t="shared" si="5"/>
        <v>13765553690.625</v>
      </c>
      <c r="J23" s="54">
        <f t="shared" si="5"/>
        <v>13765553690.625</v>
      </c>
    </row>
    <row r="26" spans="1:10" x14ac:dyDescent="0.25">
      <c r="A26" s="1" t="s">
        <v>47</v>
      </c>
    </row>
    <row r="27" spans="1:10" x14ac:dyDescent="0.25">
      <c r="A27" s="1" t="s">
        <v>35</v>
      </c>
      <c r="B27" s="1" t="s">
        <v>98</v>
      </c>
      <c r="C27" s="1" t="s">
        <v>100</v>
      </c>
      <c r="D27" s="1" t="s">
        <v>101</v>
      </c>
      <c r="E27" s="1" t="s">
        <v>102</v>
      </c>
      <c r="F27" s="1" t="s">
        <v>103</v>
      </c>
      <c r="G27" s="1" t="s">
        <v>104</v>
      </c>
      <c r="H27" s="1" t="s">
        <v>105</v>
      </c>
      <c r="I27" s="1" t="s">
        <v>106</v>
      </c>
      <c r="J27" s="1" t="s">
        <v>107</v>
      </c>
    </row>
    <row r="28" spans="1:10" x14ac:dyDescent="0.25">
      <c r="A28" s="1" t="s">
        <v>33</v>
      </c>
      <c r="B28" s="21">
        <v>3000000</v>
      </c>
      <c r="C28" s="21">
        <f>B28*1.07</f>
        <v>3210000</v>
      </c>
      <c r="D28" s="21">
        <f>C28*1.08</f>
        <v>3466800</v>
      </c>
      <c r="E28" s="21">
        <f>D28*1.09</f>
        <v>3778812.0000000005</v>
      </c>
      <c r="F28" s="21">
        <f>E28*1.1</f>
        <v>4156693.2000000007</v>
      </c>
      <c r="G28" s="21">
        <f t="shared" ref="G28:I28" si="6">F28*1.1</f>
        <v>4572362.5200000014</v>
      </c>
      <c r="H28" s="21">
        <f t="shared" si="6"/>
        <v>5029598.7720000017</v>
      </c>
      <c r="I28" s="21">
        <f t="shared" si="6"/>
        <v>5532558.6492000027</v>
      </c>
      <c r="J28" s="21">
        <f>I28</f>
        <v>5532558.6492000027</v>
      </c>
    </row>
    <row r="29" spans="1:10" x14ac:dyDescent="0.25">
      <c r="A29" s="1" t="s">
        <v>108</v>
      </c>
      <c r="B29" s="21">
        <f>B28*0.1</f>
        <v>300000</v>
      </c>
      <c r="C29" s="21">
        <f t="shared" ref="C29:I29" si="7">C28*0.1</f>
        <v>321000</v>
      </c>
      <c r="D29" s="21">
        <f t="shared" si="7"/>
        <v>346680</v>
      </c>
      <c r="E29" s="21">
        <f t="shared" si="7"/>
        <v>377881.20000000007</v>
      </c>
      <c r="F29" s="21">
        <f t="shared" si="7"/>
        <v>415669.32000000007</v>
      </c>
      <c r="G29" s="21">
        <f t="shared" si="7"/>
        <v>457236.25200000015</v>
      </c>
      <c r="H29" s="21">
        <f t="shared" si="7"/>
        <v>502959.87720000022</v>
      </c>
      <c r="I29" s="21">
        <f t="shared" si="7"/>
        <v>553255.86492000031</v>
      </c>
      <c r="J29" s="21">
        <f>J28*0.1</f>
        <v>553255.86492000031</v>
      </c>
    </row>
    <row r="30" spans="1:10" x14ac:dyDescent="0.25">
      <c r="A30" s="53" t="s">
        <v>99</v>
      </c>
      <c r="B30" s="54">
        <f>B29*20000</f>
        <v>6000000000</v>
      </c>
      <c r="C30" s="54">
        <f t="shared" ref="C30:J30" si="8">C29*20000</f>
        <v>6420000000</v>
      </c>
      <c r="D30" s="54">
        <f t="shared" si="8"/>
        <v>6933600000</v>
      </c>
      <c r="E30" s="54">
        <f t="shared" si="8"/>
        <v>7557624000.000001</v>
      </c>
      <c r="F30" s="54">
        <f t="shared" si="8"/>
        <v>8313386400.000001</v>
      </c>
      <c r="G30" s="54">
        <f t="shared" si="8"/>
        <v>9144725040.0000038</v>
      </c>
      <c r="H30" s="54">
        <f t="shared" si="8"/>
        <v>10059197544.000004</v>
      </c>
      <c r="I30" s="54">
        <f t="shared" si="8"/>
        <v>11065117298.400005</v>
      </c>
      <c r="J30" s="54">
        <f t="shared" si="8"/>
        <v>11065117298.400005</v>
      </c>
    </row>
    <row r="32" spans="1:10" x14ac:dyDescent="0.25">
      <c r="A32" s="55" t="s">
        <v>109</v>
      </c>
      <c r="B32" s="56"/>
      <c r="C32" s="56">
        <f t="shared" ref="C32:J32" si="9">C16+C23+C30</f>
        <v>15385000000</v>
      </c>
      <c r="D32" s="56">
        <f t="shared" si="9"/>
        <v>16662600000</v>
      </c>
      <c r="E32" s="56">
        <f t="shared" si="9"/>
        <v>18311004000.000004</v>
      </c>
      <c r="F32" s="56">
        <f t="shared" si="9"/>
        <v>20622115800.000004</v>
      </c>
      <c r="G32" s="56">
        <f t="shared" si="9"/>
        <v>23234610762.000004</v>
      </c>
      <c r="H32" s="56">
        <f t="shared" si="9"/>
        <v>26188943134.860004</v>
      </c>
      <c r="I32" s="56">
        <f t="shared" si="9"/>
        <v>29531130749.821804</v>
      </c>
      <c r="J32" s="56">
        <f t="shared" si="9"/>
        <v>29531130749.821804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6A315-7F83-4487-B764-C47FA624E91E}">
  <dimension ref="A1"/>
  <sheetViews>
    <sheetView topLeftCell="A13" workbookViewId="0">
      <selection activeCell="M42" sqref="M4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BCDB2-4C63-4980-9FF2-1F715AB36C4E}">
  <dimension ref="B3:R37"/>
  <sheetViews>
    <sheetView tabSelected="1" workbookViewId="0">
      <selection activeCell="J16" sqref="J16"/>
    </sheetView>
  </sheetViews>
  <sheetFormatPr baseColWidth="10" defaultRowHeight="15" x14ac:dyDescent="0.25"/>
  <cols>
    <col min="2" max="2" width="12.28515625" bestFit="1" customWidth="1"/>
    <col min="9" max="9" width="17.85546875" bestFit="1" customWidth="1"/>
    <col min="10" max="10" width="15.85546875" bestFit="1" customWidth="1"/>
    <col min="11" max="18" width="14.85546875" bestFit="1" customWidth="1"/>
  </cols>
  <sheetData>
    <row r="3" spans="9:18" x14ac:dyDescent="0.25">
      <c r="I3" s="59" t="s">
        <v>110</v>
      </c>
      <c r="J3" s="59">
        <v>0</v>
      </c>
      <c r="K3" s="59">
        <v>1</v>
      </c>
      <c r="L3" s="59">
        <v>2</v>
      </c>
      <c r="M3" s="59">
        <v>3</v>
      </c>
      <c r="N3" s="59">
        <v>4</v>
      </c>
      <c r="O3" s="59">
        <v>5</v>
      </c>
      <c r="P3" s="59">
        <v>6</v>
      </c>
      <c r="Q3" s="59">
        <v>7</v>
      </c>
      <c r="R3" s="59">
        <v>8</v>
      </c>
    </row>
    <row r="4" spans="9:18" x14ac:dyDescent="0.25">
      <c r="I4" s="1" t="s">
        <v>111</v>
      </c>
      <c r="J4" s="1"/>
      <c r="K4" s="40">
        <v>-1300000</v>
      </c>
      <c r="L4" s="40">
        <v>-1300000</v>
      </c>
      <c r="M4" s="40">
        <v>-1300000</v>
      </c>
      <c r="N4" s="40">
        <v>-1300000</v>
      </c>
      <c r="O4" s="40">
        <v>-1300000</v>
      </c>
      <c r="P4" s="40">
        <v>-1300000</v>
      </c>
      <c r="Q4" s="40">
        <v>-1300000</v>
      </c>
      <c r="R4" s="40">
        <v>-1300000</v>
      </c>
    </row>
    <row r="5" spans="9:18" x14ac:dyDescent="0.25">
      <c r="I5" s="1" t="s">
        <v>112</v>
      </c>
      <c r="J5" s="1"/>
      <c r="K5" s="1"/>
      <c r="L5" s="1"/>
      <c r="M5" s="1"/>
      <c r="N5" s="1"/>
      <c r="O5" s="1"/>
      <c r="P5" s="1"/>
      <c r="Q5" s="1"/>
      <c r="R5" s="2">
        <v>0</v>
      </c>
    </row>
    <row r="6" spans="9:18" x14ac:dyDescent="0.25">
      <c r="I6" s="61" t="s">
        <v>113</v>
      </c>
      <c r="J6" s="62">
        <v>-20000000</v>
      </c>
    </row>
    <row r="7" spans="9:18" x14ac:dyDescent="0.25">
      <c r="I7" s="63" t="s">
        <v>116</v>
      </c>
      <c r="J7" s="40">
        <f>SUM(J4:J6)</f>
        <v>-20000000</v>
      </c>
      <c r="K7" s="40">
        <f t="shared" ref="K7:R7" si="0">SUM(K4:K6)</f>
        <v>-1300000</v>
      </c>
      <c r="L7" s="40">
        <f t="shared" si="0"/>
        <v>-1300000</v>
      </c>
      <c r="M7" s="40">
        <f t="shared" si="0"/>
        <v>-1300000</v>
      </c>
      <c r="N7" s="40">
        <f t="shared" si="0"/>
        <v>-1300000</v>
      </c>
      <c r="O7" s="40">
        <f t="shared" si="0"/>
        <v>-1300000</v>
      </c>
      <c r="P7" s="40">
        <f t="shared" si="0"/>
        <v>-1300000</v>
      </c>
      <c r="Q7" s="40">
        <f t="shared" si="0"/>
        <v>-1300000</v>
      </c>
      <c r="R7" s="40">
        <f t="shared" si="0"/>
        <v>-1300000</v>
      </c>
    </row>
    <row r="8" spans="9:18" x14ac:dyDescent="0.25">
      <c r="I8" s="60"/>
      <c r="J8" s="64"/>
      <c r="K8" s="64"/>
      <c r="L8" s="64"/>
      <c r="M8" s="64"/>
      <c r="N8" s="64"/>
      <c r="O8" s="64"/>
      <c r="P8" s="64"/>
      <c r="Q8" s="64"/>
      <c r="R8" s="64"/>
    </row>
    <row r="9" spans="9:18" x14ac:dyDescent="0.25">
      <c r="I9" s="59" t="s">
        <v>114</v>
      </c>
      <c r="J9" s="12">
        <f>NPV($C$37,K7:R7)+J7</f>
        <v>-25671316.922175799</v>
      </c>
    </row>
    <row r="10" spans="9:18" x14ac:dyDescent="0.25">
      <c r="I10" s="59" t="s">
        <v>115</v>
      </c>
      <c r="J10" s="67">
        <f>PMT($C$37,R3,J9)</f>
        <v>5884473.1226949506</v>
      </c>
    </row>
    <row r="13" spans="9:18" x14ac:dyDescent="0.25">
      <c r="I13" s="59" t="s">
        <v>118</v>
      </c>
      <c r="J13" s="59">
        <v>0</v>
      </c>
      <c r="K13" s="59">
        <v>1</v>
      </c>
      <c r="L13" s="59">
        <v>2</v>
      </c>
      <c r="M13" s="59">
        <v>3</v>
      </c>
      <c r="N13" s="59">
        <v>4</v>
      </c>
      <c r="O13" s="59">
        <v>5</v>
      </c>
      <c r="P13" s="59">
        <v>6</v>
      </c>
      <c r="Q13" s="59">
        <v>7</v>
      </c>
      <c r="R13" s="59">
        <v>8</v>
      </c>
    </row>
    <row r="14" spans="9:18" x14ac:dyDescent="0.25">
      <c r="I14" s="1" t="s">
        <v>77</v>
      </c>
      <c r="J14" s="40">
        <v>-10000000</v>
      </c>
      <c r="K14" s="1"/>
      <c r="L14" s="1"/>
      <c r="M14" s="1"/>
      <c r="N14" s="1"/>
      <c r="O14" s="1"/>
      <c r="P14" s="1"/>
      <c r="Q14" s="1"/>
      <c r="R14" s="1"/>
    </row>
    <row r="15" spans="9:18" x14ac:dyDescent="0.25">
      <c r="I15" s="1" t="s">
        <v>112</v>
      </c>
      <c r="J15" s="1"/>
      <c r="K15" s="1"/>
      <c r="L15" s="1"/>
      <c r="M15" s="1"/>
      <c r="N15" s="1"/>
      <c r="O15" s="1"/>
      <c r="P15" s="1"/>
      <c r="Q15" s="1"/>
      <c r="R15" s="40">
        <v>2500000</v>
      </c>
    </row>
    <row r="16" spans="9:18" x14ac:dyDescent="0.25">
      <c r="I16" s="1" t="s">
        <v>111</v>
      </c>
      <c r="J16" s="1"/>
      <c r="K16" s="40">
        <v>-200000</v>
      </c>
      <c r="L16" s="40">
        <v>-200000</v>
      </c>
      <c r="M16" s="40">
        <v>-200000</v>
      </c>
      <c r="N16" s="40">
        <v>-200000</v>
      </c>
      <c r="O16" s="40">
        <v>-200000</v>
      </c>
      <c r="P16" s="40">
        <v>-200000</v>
      </c>
      <c r="Q16" s="40">
        <v>-200000</v>
      </c>
      <c r="R16" s="40">
        <v>-200000</v>
      </c>
    </row>
    <row r="17" spans="9:18" x14ac:dyDescent="0.25">
      <c r="I17" s="1" t="s">
        <v>116</v>
      </c>
      <c r="J17" s="42">
        <f>SUM(J14:J16)</f>
        <v>-10000000</v>
      </c>
      <c r="K17" s="42">
        <f t="shared" ref="K17:R17" si="1">SUM(K14:K16)</f>
        <v>-200000</v>
      </c>
      <c r="L17" s="42">
        <f t="shared" si="1"/>
        <v>-200000</v>
      </c>
      <c r="M17" s="42">
        <f t="shared" si="1"/>
        <v>-200000</v>
      </c>
      <c r="N17" s="42">
        <f t="shared" si="1"/>
        <v>-200000</v>
      </c>
      <c r="O17" s="42">
        <f t="shared" si="1"/>
        <v>-200000</v>
      </c>
      <c r="P17" s="42">
        <f t="shared" si="1"/>
        <v>-200000</v>
      </c>
      <c r="Q17" s="42">
        <f t="shared" si="1"/>
        <v>-200000</v>
      </c>
      <c r="R17" s="42">
        <f t="shared" si="1"/>
        <v>2300000</v>
      </c>
    </row>
    <row r="19" spans="9:18" x14ac:dyDescent="0.25">
      <c r="I19" s="59" t="s">
        <v>114</v>
      </c>
      <c r="J19" s="12">
        <f>NPV($C$37,K17:R17)+J17</f>
        <v>-10102811.802490992</v>
      </c>
    </row>
    <row r="20" spans="9:18" x14ac:dyDescent="0.25">
      <c r="I20" s="59" t="s">
        <v>115</v>
      </c>
      <c r="J20" s="66">
        <f>PMT($C$37,R13,J19)</f>
        <v>2315803.4586082641</v>
      </c>
    </row>
    <row r="34" spans="2:4" x14ac:dyDescent="0.25">
      <c r="B34" s="1" t="s">
        <v>87</v>
      </c>
      <c r="C34" s="3">
        <v>7.4999999999999997E-2</v>
      </c>
      <c r="D34" s="1" t="s">
        <v>14</v>
      </c>
    </row>
    <row r="35" spans="2:4" x14ac:dyDescent="0.25">
      <c r="B35" s="1" t="s">
        <v>87</v>
      </c>
      <c r="C35" s="3">
        <f>C34*2</f>
        <v>0.15</v>
      </c>
      <c r="D35" s="1" t="s">
        <v>13</v>
      </c>
    </row>
    <row r="36" spans="2:4" x14ac:dyDescent="0.25">
      <c r="B36" s="1" t="s">
        <v>117</v>
      </c>
      <c r="C36" s="1">
        <v>4</v>
      </c>
      <c r="D36" s="1" t="s">
        <v>9</v>
      </c>
    </row>
    <row r="37" spans="2:4" x14ac:dyDescent="0.25">
      <c r="B37" s="59" t="s">
        <v>88</v>
      </c>
      <c r="C37" s="65">
        <f>POWER(1+(C35/C36),C36)-1</f>
        <v>0.15865041503906308</v>
      </c>
      <c r="D37" s="59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Parte1</vt:lpstr>
      <vt:lpstr>Parte2</vt:lpstr>
      <vt:lpstr>Parte3</vt:lpstr>
      <vt:lpstr>Parte 1.1</vt:lpstr>
      <vt:lpstr>Parte 2.2</vt:lpstr>
      <vt:lpstr>Parte 3.3</vt:lpstr>
      <vt:lpstr>PGU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alexdream21 maldonado</dc:creator>
  <cp:lastModifiedBy>alexdream21 maldonado</cp:lastModifiedBy>
  <dcterms:created xsi:type="dcterms:W3CDTF">2015-06-05T18:19:34Z</dcterms:created>
  <dcterms:modified xsi:type="dcterms:W3CDTF">2022-12-19T17:29:29Z</dcterms:modified>
</cp:coreProperties>
</file>