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Universidad\U 2022-2\ingeco\PP1\ayudantia4\"/>
    </mc:Choice>
  </mc:AlternateContent>
  <xr:revisionPtr revIDLastSave="0" documentId="13_ncr:1_{53DD433B-57D7-4B38-902F-3AE65742296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JERCICIO1" sheetId="1" r:id="rId1"/>
    <sheet name="EJERCICIO2" sheetId="3" r:id="rId2"/>
    <sheet name="EJERCICIO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3" l="1"/>
  <c r="L39" i="3"/>
  <c r="M46" i="3"/>
  <c r="N46" i="3" s="1"/>
  <c r="O46" i="3" s="1"/>
  <c r="L46" i="3"/>
  <c r="K46" i="3"/>
  <c r="K45" i="3"/>
  <c r="K44" i="3"/>
  <c r="M42" i="3"/>
  <c r="N42" i="3"/>
  <c r="O42" i="3"/>
  <c r="K42" i="3"/>
  <c r="K41" i="3"/>
  <c r="K40" i="3"/>
  <c r="K22" i="3"/>
  <c r="K24" i="3"/>
  <c r="O33" i="3" s="1"/>
  <c r="O38" i="3" s="1"/>
  <c r="O32" i="3"/>
  <c r="N32" i="3"/>
  <c r="M32" i="3"/>
  <c r="L32" i="3"/>
  <c r="H35" i="3"/>
  <c r="O31" i="3"/>
  <c r="N31" i="3"/>
  <c r="M31" i="3"/>
  <c r="L31" i="3"/>
  <c r="H32" i="3"/>
  <c r="H31" i="3"/>
  <c r="M26" i="3"/>
  <c r="O14" i="3"/>
  <c r="K15" i="3" s="1"/>
  <c r="K9" i="3"/>
  <c r="L33" i="3" l="1"/>
  <c r="L38" i="3" s="1"/>
  <c r="N33" i="3"/>
  <c r="N38" i="3" s="1"/>
  <c r="M33" i="3"/>
  <c r="M38" i="3" s="1"/>
  <c r="L18" i="3"/>
  <c r="L15" i="3"/>
  <c r="L17" i="3"/>
  <c r="L16" i="3"/>
  <c r="M15" i="3"/>
  <c r="L34" i="3" s="1"/>
  <c r="N15" i="3" l="1"/>
  <c r="L19" i="3"/>
  <c r="O15" i="3" l="1"/>
  <c r="K16" i="3" l="1"/>
  <c r="M16" i="3"/>
  <c r="M34" i="3" s="1"/>
  <c r="N16" i="3" l="1"/>
  <c r="M39" i="3" s="1"/>
  <c r="O16" i="3" l="1"/>
  <c r="M17" i="3" l="1"/>
  <c r="N34" i="3" s="1"/>
  <c r="K17" i="3"/>
  <c r="N17" i="3" l="1"/>
  <c r="N39" i="3" s="1"/>
  <c r="K18" i="2"/>
  <c r="K17" i="2"/>
  <c r="L15" i="2"/>
  <c r="M15" i="2"/>
  <c r="N15" i="2"/>
  <c r="O15" i="2"/>
  <c r="P15" i="2"/>
  <c r="Q15" i="2"/>
  <c r="K15" i="2"/>
  <c r="M13" i="2"/>
  <c r="N13" i="2"/>
  <c r="O13" i="2"/>
  <c r="P13" i="2"/>
  <c r="Q13" i="2"/>
  <c r="L13" i="2"/>
  <c r="M12" i="2"/>
  <c r="N12" i="2"/>
  <c r="O12" i="2"/>
  <c r="P12" i="2"/>
  <c r="Q12" i="2"/>
  <c r="L12" i="2"/>
  <c r="M11" i="2"/>
  <c r="N11" i="2"/>
  <c r="O11" i="2"/>
  <c r="P11" i="2"/>
  <c r="Q11" i="2"/>
  <c r="L11" i="2"/>
  <c r="Q8" i="2"/>
  <c r="P8" i="2"/>
  <c r="M8" i="2"/>
  <c r="N8" i="2"/>
  <c r="O8" i="2"/>
  <c r="L8" i="2"/>
  <c r="N20" i="1"/>
  <c r="N19" i="1"/>
  <c r="O18" i="1"/>
  <c r="P18" i="1"/>
  <c r="Q18" i="1"/>
  <c r="R18" i="1"/>
  <c r="S18" i="1"/>
  <c r="T18" i="1"/>
  <c r="N18" i="1"/>
  <c r="N17" i="1"/>
  <c r="O16" i="1"/>
  <c r="P16" i="1"/>
  <c r="Q16" i="1"/>
  <c r="R16" i="1"/>
  <c r="S16" i="1"/>
  <c r="T16" i="1"/>
  <c r="P15" i="1"/>
  <c r="Q15" i="1"/>
  <c r="R15" i="1"/>
  <c r="S15" i="1"/>
  <c r="T15" i="1"/>
  <c r="O15" i="1"/>
  <c r="P14" i="1"/>
  <c r="Q14" i="1"/>
  <c r="R14" i="1"/>
  <c r="S14" i="1"/>
  <c r="T14" i="1"/>
  <c r="O14" i="1"/>
  <c r="R11" i="1"/>
  <c r="S11" i="1"/>
  <c r="T11" i="1"/>
  <c r="Q11" i="1"/>
  <c r="P11" i="1"/>
  <c r="O11" i="1"/>
  <c r="P10" i="1"/>
  <c r="P12" i="1" s="1"/>
  <c r="Q10" i="1"/>
  <c r="Q12" i="1" s="1"/>
  <c r="R10" i="1"/>
  <c r="R12" i="1" s="1"/>
  <c r="S10" i="1"/>
  <c r="S12" i="1" s="1"/>
  <c r="T10" i="1"/>
  <c r="T12" i="1" s="1"/>
  <c r="O10" i="1"/>
  <c r="O12" i="1" s="1"/>
  <c r="O17" i="3" l="1"/>
  <c r="K18" i="3" l="1"/>
  <c r="M18" i="3"/>
  <c r="O34" i="3" s="1"/>
  <c r="N18" i="3" l="1"/>
  <c r="M19" i="3"/>
  <c r="O18" i="3"/>
  <c r="M29" i="3"/>
  <c r="N29" i="3"/>
  <c r="L29" i="3"/>
  <c r="O29" i="3"/>
  <c r="N30" i="3" l="1"/>
  <c r="N35" i="3"/>
  <c r="M30" i="3"/>
  <c r="M35" i="3"/>
  <c r="N19" i="3"/>
  <c r="O39" i="3"/>
  <c r="L30" i="3"/>
  <c r="L35" i="3" s="1"/>
  <c r="M36" i="3"/>
  <c r="M37" i="3"/>
  <c r="O30" i="3"/>
  <c r="O35" i="3" s="1"/>
  <c r="L36" i="3" l="1"/>
  <c r="L37" i="3" s="1"/>
  <c r="O36" i="3"/>
  <c r="O37" i="3" s="1"/>
  <c r="N36" i="3"/>
  <c r="N37" i="3" s="1"/>
</calcChain>
</file>

<file path=xl/sharedStrings.xml><?xml version="1.0" encoding="utf-8"?>
<sst xmlns="http://schemas.openxmlformats.org/spreadsheetml/2006/main" count="94" uniqueCount="53">
  <si>
    <t>inversion</t>
  </si>
  <si>
    <t>TREMA</t>
  </si>
  <si>
    <t>valor</t>
  </si>
  <si>
    <t>periodo</t>
  </si>
  <si>
    <t>ingreso</t>
  </si>
  <si>
    <t>monto</t>
  </si>
  <si>
    <t>CV</t>
  </si>
  <si>
    <t>margen</t>
  </si>
  <si>
    <t>UAI</t>
  </si>
  <si>
    <t>CF</t>
  </si>
  <si>
    <t>IVA</t>
  </si>
  <si>
    <t>UDI</t>
  </si>
  <si>
    <t>caja</t>
  </si>
  <si>
    <t>VAN</t>
  </si>
  <si>
    <t>&gt;0</t>
  </si>
  <si>
    <t>rentable</t>
  </si>
  <si>
    <t>TIR</t>
  </si>
  <si>
    <t>&gt;10%</t>
  </si>
  <si>
    <t>horizonte</t>
  </si>
  <si>
    <t>6 años</t>
  </si>
  <si>
    <t>Periodo</t>
  </si>
  <si>
    <t>ingresos</t>
  </si>
  <si>
    <t>Remunera.</t>
  </si>
  <si>
    <t>impuesto</t>
  </si>
  <si>
    <t>&gt;20%</t>
  </si>
  <si>
    <t>credito</t>
  </si>
  <si>
    <t>años</t>
  </si>
  <si>
    <t xml:space="preserve">cuota </t>
  </si>
  <si>
    <t>constante</t>
  </si>
  <si>
    <t>tasa</t>
  </si>
  <si>
    <t>anual</t>
  </si>
  <si>
    <t>T.nominal</t>
  </si>
  <si>
    <t>n°capitaliz.</t>
  </si>
  <si>
    <t>bimensual</t>
  </si>
  <si>
    <t>T.efectiva</t>
  </si>
  <si>
    <t>balance inicial</t>
  </si>
  <si>
    <t>cuota</t>
  </si>
  <si>
    <t>interes</t>
  </si>
  <si>
    <t>amortizacion</t>
  </si>
  <si>
    <t>balance final</t>
  </si>
  <si>
    <t>Cuota cte</t>
  </si>
  <si>
    <t>usd</t>
  </si>
  <si>
    <t>maquinaria</t>
  </si>
  <si>
    <t>8 años</t>
  </si>
  <si>
    <t>vida util</t>
  </si>
  <si>
    <t>mensual</t>
  </si>
  <si>
    <t>gasto Administr.</t>
  </si>
  <si>
    <t>maquinaria manten.</t>
  </si>
  <si>
    <t>depreciacion</t>
  </si>
  <si>
    <t>clp</t>
  </si>
  <si>
    <t>inversion total</t>
  </si>
  <si>
    <t>flujo</t>
  </si>
  <si>
    <t>PayBack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</si>
</sst>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_(&quot;$&quot;* #,##0.0_);_(&quot;$&quot;* \(#,##0.0\);_(&quot;$&quot;* &quot;-&quot;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165" fontId="0" fillId="0" borderId="1" xfId="0" applyNumberFormat="1" applyBorder="1"/>
    <xf numFmtId="44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/>
    <xf numFmtId="44" fontId="0" fillId="2" borderId="1" xfId="0" applyNumberFormat="1" applyFill="1" applyBorder="1"/>
    <xf numFmtId="165" fontId="0" fillId="2" borderId="1" xfId="0" applyNumberFormat="1" applyFill="1" applyBorder="1"/>
    <xf numFmtId="0" fontId="0" fillId="3" borderId="1" xfId="0" applyFill="1" applyBorder="1"/>
    <xf numFmtId="9" fontId="0" fillId="0" borderId="1" xfId="0" applyNumberFormat="1" applyBorder="1"/>
    <xf numFmtId="0" fontId="0" fillId="4" borderId="1" xfId="0" applyFill="1" applyBorder="1"/>
    <xf numFmtId="44" fontId="0" fillId="4" borderId="1" xfId="0" applyNumberFormat="1" applyFill="1" applyBorder="1"/>
    <xf numFmtId="164" fontId="0" fillId="0" borderId="1" xfId="1" applyNumberFormat="1" applyFont="1" applyBorder="1"/>
    <xf numFmtId="44" fontId="0" fillId="0" borderId="1" xfId="1" applyFont="1" applyBorder="1"/>
    <xf numFmtId="164" fontId="0" fillId="5" borderId="1" xfId="1" applyNumberFormat="1" applyFont="1" applyFill="1" applyBorder="1"/>
    <xf numFmtId="44" fontId="0" fillId="5" borderId="1" xfId="1" applyFont="1" applyFill="1" applyBorder="1"/>
    <xf numFmtId="9" fontId="0" fillId="5" borderId="1" xfId="0" applyNumberFormat="1" applyFill="1" applyBorder="1"/>
    <xf numFmtId="165" fontId="0" fillId="0" borderId="1" xfId="1" applyNumberFormat="1" applyFont="1" applyBorder="1"/>
    <xf numFmtId="44" fontId="0" fillId="6" borderId="1" xfId="1" applyFont="1" applyFill="1" applyBorder="1"/>
    <xf numFmtId="44" fontId="0" fillId="6" borderId="1" xfId="0" applyNumberFormat="1" applyFill="1" applyBorder="1"/>
    <xf numFmtId="44" fontId="0" fillId="7" borderId="1" xfId="0" applyNumberFormat="1" applyFill="1" applyBorder="1"/>
    <xf numFmtId="9" fontId="0" fillId="7" borderId="1" xfId="0" applyNumberFormat="1" applyFill="1" applyBorder="1"/>
    <xf numFmtId="0" fontId="0" fillId="7" borderId="1" xfId="0" applyFill="1" applyBorder="1"/>
    <xf numFmtId="0" fontId="0" fillId="8" borderId="1" xfId="1" applyNumberFormat="1" applyFont="1" applyFill="1" applyBorder="1"/>
    <xf numFmtId="164" fontId="0" fillId="9" borderId="1" xfId="1" applyNumberFormat="1" applyFont="1" applyFill="1" applyBorder="1"/>
    <xf numFmtId="0" fontId="0" fillId="9" borderId="1" xfId="0" applyFill="1" applyBorder="1"/>
    <xf numFmtId="9" fontId="0" fillId="9" borderId="1" xfId="0" applyNumberFormat="1" applyFill="1" applyBorder="1"/>
    <xf numFmtId="44" fontId="0" fillId="0" borderId="0" xfId="1" applyFont="1"/>
    <xf numFmtId="10" fontId="0" fillId="0" borderId="1" xfId="2" applyNumberFormat="1" applyFont="1" applyBorder="1"/>
    <xf numFmtId="0" fontId="0" fillId="0" borderId="1" xfId="0" applyFill="1" applyBorder="1"/>
    <xf numFmtId="0" fontId="0" fillId="8" borderId="1" xfId="0" applyFill="1" applyBorder="1"/>
    <xf numFmtId="44" fontId="0" fillId="9" borderId="1" xfId="1" applyFont="1" applyFill="1" applyBorder="1"/>
    <xf numFmtId="8" fontId="0" fillId="9" borderId="1" xfId="1" applyNumberFormat="1" applyFont="1" applyFill="1" applyBorder="1"/>
    <xf numFmtId="8" fontId="0" fillId="9" borderId="1" xfId="0" applyNumberFormat="1" applyFill="1" applyBorder="1"/>
    <xf numFmtId="8" fontId="0" fillId="7" borderId="1" xfId="0" applyNumberFormat="1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/>
    <xf numFmtId="164" fontId="0" fillId="0" borderId="1" xfId="0" applyNumberFormat="1" applyBorder="1"/>
    <xf numFmtId="0" fontId="0" fillId="10" borderId="1" xfId="0" applyFill="1" applyBorder="1"/>
    <xf numFmtId="166" fontId="0" fillId="3" borderId="1" xfId="0" applyNumberFormat="1" applyFill="1" applyBorder="1"/>
    <xf numFmtId="0" fontId="0" fillId="0" borderId="0" xfId="0" applyBorder="1"/>
    <xf numFmtId="9" fontId="0" fillId="6" borderId="1" xfId="0" applyNumberFormat="1" applyFill="1" applyBorder="1"/>
    <xf numFmtId="164" fontId="0" fillId="6" borderId="1" xfId="1" applyNumberFormat="1" applyFont="1" applyFill="1" applyBorder="1"/>
    <xf numFmtId="9" fontId="0" fillId="0" borderId="2" xfId="0" applyNumberForma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561219</xdr:colOff>
      <xdr:row>33</xdr:row>
      <xdr:rowOff>180167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0F62E8-7BC6-1BBF-949E-9F7872B9C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47619" cy="6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723143</xdr:colOff>
      <xdr:row>15</xdr:row>
      <xdr:rowOff>94881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B7D12B-014C-B0DE-B1BF-069D12146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57143" cy="2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599333</xdr:colOff>
      <xdr:row>21</xdr:row>
      <xdr:rowOff>142357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AA222D-0927-C83B-B2BE-E66E508A4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33333" cy="4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T20"/>
  <sheetViews>
    <sheetView workbookViewId="0">
      <selection activeCell="N24" sqref="N24:N25"/>
    </sheetView>
  </sheetViews>
  <sheetFormatPr baseColWidth="10" defaultColWidth="9.140625" defaultRowHeight="15" x14ac:dyDescent="0.25"/>
  <cols>
    <col min="13" max="13" width="15.140625" bestFit="1" customWidth="1"/>
    <col min="14" max="14" width="15.28515625" customWidth="1"/>
    <col min="15" max="15" width="15.5703125" customWidth="1"/>
    <col min="16" max="16" width="19" customWidth="1"/>
    <col min="17" max="17" width="18.85546875" customWidth="1"/>
    <col min="18" max="18" width="23.28515625" customWidth="1"/>
    <col min="19" max="19" width="20" customWidth="1"/>
    <col min="20" max="20" width="21.5703125" customWidth="1"/>
  </cols>
  <sheetData>
    <row r="2" spans="12:20" x14ac:dyDescent="0.25">
      <c r="L2" s="1" t="s">
        <v>0</v>
      </c>
      <c r="M2" s="14">
        <v>120000000</v>
      </c>
    </row>
    <row r="3" spans="12:20" x14ac:dyDescent="0.25">
      <c r="L3" s="1" t="s">
        <v>2</v>
      </c>
      <c r="M3" s="15">
        <v>25000</v>
      </c>
    </row>
    <row r="4" spans="12:20" x14ac:dyDescent="0.25">
      <c r="L4" s="1" t="s">
        <v>1</v>
      </c>
      <c r="M4" s="16">
        <v>0.1</v>
      </c>
    </row>
    <row r="8" spans="12:20" x14ac:dyDescent="0.25">
      <c r="M8" s="1" t="s">
        <v>3</v>
      </c>
      <c r="N8" s="1">
        <v>0</v>
      </c>
      <c r="O8" s="1">
        <v>1</v>
      </c>
      <c r="P8" s="1">
        <v>2</v>
      </c>
      <c r="Q8" s="1">
        <v>3</v>
      </c>
      <c r="R8" s="1">
        <v>4</v>
      </c>
      <c r="S8" s="1">
        <v>5</v>
      </c>
      <c r="T8" s="1">
        <v>6</v>
      </c>
    </row>
    <row r="9" spans="12:20" x14ac:dyDescent="0.25">
      <c r="M9" s="1" t="s">
        <v>5</v>
      </c>
      <c r="N9" s="1"/>
      <c r="O9" s="1">
        <v>1544</v>
      </c>
      <c r="P9" s="1">
        <v>1660</v>
      </c>
      <c r="Q9" s="1">
        <v>1580</v>
      </c>
      <c r="R9" s="1">
        <v>1799</v>
      </c>
      <c r="S9" s="1">
        <v>2507</v>
      </c>
      <c r="T9" s="1">
        <v>2601</v>
      </c>
    </row>
    <row r="10" spans="12:20" x14ac:dyDescent="0.25">
      <c r="M10" s="1" t="s">
        <v>4</v>
      </c>
      <c r="N10" s="1"/>
      <c r="O10" s="2">
        <f>O9*$M$3</f>
        <v>38600000</v>
      </c>
      <c r="P10" s="2">
        <f t="shared" ref="P10:T10" si="0">P9*$M$3</f>
        <v>41500000</v>
      </c>
      <c r="Q10" s="2">
        <f t="shared" si="0"/>
        <v>39500000</v>
      </c>
      <c r="R10" s="2">
        <f t="shared" si="0"/>
        <v>44975000</v>
      </c>
      <c r="S10" s="2">
        <f t="shared" si="0"/>
        <v>62675000</v>
      </c>
      <c r="T10" s="2">
        <f t="shared" si="0"/>
        <v>65025000</v>
      </c>
    </row>
    <row r="11" spans="12:20" x14ac:dyDescent="0.25">
      <c r="M11" s="1" t="s">
        <v>6</v>
      </c>
      <c r="N11" s="1"/>
      <c r="O11" s="3">
        <f>O10*0.15</f>
        <v>5790000</v>
      </c>
      <c r="P11" s="3">
        <f>P10*0.15</f>
        <v>6225000</v>
      </c>
      <c r="Q11" s="4">
        <f>Q10*0.2</f>
        <v>7900000</v>
      </c>
      <c r="R11" s="4">
        <f t="shared" ref="R11:T11" si="1">R10*0.2</f>
        <v>8995000</v>
      </c>
      <c r="S11" s="4">
        <f t="shared" si="1"/>
        <v>12535000</v>
      </c>
      <c r="T11" s="4">
        <f t="shared" si="1"/>
        <v>13005000</v>
      </c>
    </row>
    <row r="12" spans="12:20" x14ac:dyDescent="0.25">
      <c r="M12" s="5" t="s">
        <v>7</v>
      </c>
      <c r="N12" s="5"/>
      <c r="O12" s="6">
        <f>O10-O11</f>
        <v>32810000</v>
      </c>
      <c r="P12" s="6">
        <f t="shared" ref="P12:T12" si="2">P10-P11</f>
        <v>35275000</v>
      </c>
      <c r="Q12" s="6">
        <f t="shared" si="2"/>
        <v>31600000</v>
      </c>
      <c r="R12" s="6">
        <f t="shared" si="2"/>
        <v>35980000</v>
      </c>
      <c r="S12" s="6">
        <f t="shared" si="2"/>
        <v>50140000</v>
      </c>
      <c r="T12" s="6">
        <f t="shared" si="2"/>
        <v>52020000</v>
      </c>
    </row>
    <row r="13" spans="12:20" x14ac:dyDescent="0.25">
      <c r="M13" s="1" t="s">
        <v>9</v>
      </c>
      <c r="N13" s="1"/>
      <c r="O13" s="3">
        <v>1500000</v>
      </c>
      <c r="P13" s="3">
        <v>1500000</v>
      </c>
      <c r="Q13" s="3">
        <v>1500000</v>
      </c>
      <c r="R13" s="3">
        <v>1500000</v>
      </c>
      <c r="S13" s="3">
        <v>1500000</v>
      </c>
      <c r="T13" s="3">
        <v>1500000</v>
      </c>
    </row>
    <row r="14" spans="12:20" x14ac:dyDescent="0.25">
      <c r="M14" s="5" t="s">
        <v>8</v>
      </c>
      <c r="N14" s="5"/>
      <c r="O14" s="6">
        <f>O12-O13</f>
        <v>31310000</v>
      </c>
      <c r="P14" s="6">
        <f t="shared" ref="P14:T14" si="3">P12-P13</f>
        <v>33775000</v>
      </c>
      <c r="Q14" s="6">
        <f t="shared" si="3"/>
        <v>30100000</v>
      </c>
      <c r="R14" s="6">
        <f t="shared" si="3"/>
        <v>34480000</v>
      </c>
      <c r="S14" s="6">
        <f t="shared" si="3"/>
        <v>48640000</v>
      </c>
      <c r="T14" s="6">
        <f t="shared" si="3"/>
        <v>50520000</v>
      </c>
    </row>
    <row r="15" spans="12:20" x14ac:dyDescent="0.25">
      <c r="M15" s="1" t="s">
        <v>10</v>
      </c>
      <c r="N15" s="1"/>
      <c r="O15" s="3">
        <f>O14*0.2</f>
        <v>6262000</v>
      </c>
      <c r="P15" s="3">
        <f t="shared" ref="P15:T15" si="4">P14*0.2</f>
        <v>6755000</v>
      </c>
      <c r="Q15" s="3">
        <f t="shared" si="4"/>
        <v>6020000</v>
      </c>
      <c r="R15" s="3">
        <f t="shared" si="4"/>
        <v>6896000</v>
      </c>
      <c r="S15" s="3">
        <f t="shared" si="4"/>
        <v>9728000</v>
      </c>
      <c r="T15" s="3">
        <f t="shared" si="4"/>
        <v>10104000</v>
      </c>
    </row>
    <row r="16" spans="12:20" x14ac:dyDescent="0.25">
      <c r="M16" s="5" t="s">
        <v>11</v>
      </c>
      <c r="N16" s="5"/>
      <c r="O16" s="6">
        <f>O14-O15</f>
        <v>25048000</v>
      </c>
      <c r="P16" s="6">
        <f t="shared" ref="P16:T16" si="5">P14-P15</f>
        <v>27020000</v>
      </c>
      <c r="Q16" s="6">
        <f t="shared" si="5"/>
        <v>24080000</v>
      </c>
      <c r="R16" s="6">
        <f t="shared" si="5"/>
        <v>27584000</v>
      </c>
      <c r="S16" s="6">
        <f t="shared" si="5"/>
        <v>38912000</v>
      </c>
      <c r="T16" s="6">
        <f t="shared" si="5"/>
        <v>40416000</v>
      </c>
    </row>
    <row r="17" spans="13:20" x14ac:dyDescent="0.25">
      <c r="M17" s="1" t="s">
        <v>0</v>
      </c>
      <c r="N17" s="2">
        <f>M2</f>
        <v>120000000</v>
      </c>
      <c r="O17" s="1"/>
      <c r="P17" s="1"/>
      <c r="Q17" s="1"/>
      <c r="R17" s="1"/>
      <c r="S17" s="1"/>
      <c r="T17" s="1"/>
    </row>
    <row r="18" spans="13:20" x14ac:dyDescent="0.25">
      <c r="M18" s="5" t="s">
        <v>12</v>
      </c>
      <c r="N18" s="7">
        <f>N16-N17</f>
        <v>-120000000</v>
      </c>
      <c r="O18" s="7">
        <f t="shared" ref="O18:T18" si="6">O16-O17</f>
        <v>25048000</v>
      </c>
      <c r="P18" s="7">
        <f t="shared" si="6"/>
        <v>27020000</v>
      </c>
      <c r="Q18" s="7">
        <f t="shared" si="6"/>
        <v>24080000</v>
      </c>
      <c r="R18" s="7">
        <f t="shared" si="6"/>
        <v>27584000</v>
      </c>
      <c r="S18" s="7">
        <f t="shared" si="6"/>
        <v>38912000</v>
      </c>
      <c r="T18" s="7">
        <f t="shared" si="6"/>
        <v>40416000</v>
      </c>
    </row>
    <row r="19" spans="13:20" x14ac:dyDescent="0.25">
      <c r="M19" s="10" t="s">
        <v>13</v>
      </c>
      <c r="N19" s="11">
        <f>NPV(M4,O18:T18)+N18</f>
        <v>9008460.041737169</v>
      </c>
      <c r="O19" s="10" t="s">
        <v>14</v>
      </c>
      <c r="P19" s="10" t="s">
        <v>15</v>
      </c>
    </row>
    <row r="20" spans="13:20" x14ac:dyDescent="0.25">
      <c r="M20" s="8" t="s">
        <v>16</v>
      </c>
      <c r="N20" s="9">
        <f>IRR(N18:T18)</f>
        <v>0.12303345531798171</v>
      </c>
      <c r="O20" s="1" t="s">
        <v>17</v>
      </c>
      <c r="P20" s="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8B179-1FCD-4EF6-B6FA-629322C72C59}">
  <dimension ref="H2:O46"/>
  <sheetViews>
    <sheetView tabSelected="1" topLeftCell="A13" workbookViewId="0">
      <selection activeCell="L43" sqref="L43"/>
    </sheetView>
  </sheetViews>
  <sheetFormatPr baseColWidth="10" defaultRowHeight="15" x14ac:dyDescent="0.25"/>
  <cols>
    <col min="8" max="8" width="15.140625" bestFit="1" customWidth="1"/>
    <col min="10" max="10" width="17" customWidth="1"/>
    <col min="11" max="11" width="15.42578125" customWidth="1"/>
    <col min="12" max="12" width="20.85546875" customWidth="1"/>
    <col min="13" max="13" width="19" customWidth="1"/>
    <col min="14" max="14" width="14.85546875" customWidth="1"/>
    <col min="15" max="15" width="16" customWidth="1"/>
  </cols>
  <sheetData>
    <row r="2" spans="10:15" x14ac:dyDescent="0.25">
      <c r="J2" s="1" t="s">
        <v>25</v>
      </c>
      <c r="K2" s="12">
        <v>16000000</v>
      </c>
      <c r="L2" s="1"/>
      <c r="M2" s="27"/>
    </row>
    <row r="3" spans="10:15" x14ac:dyDescent="0.25">
      <c r="J3" s="1" t="s">
        <v>27</v>
      </c>
      <c r="K3" s="1" t="s">
        <v>28</v>
      </c>
      <c r="L3" s="1"/>
    </row>
    <row r="4" spans="10:15" x14ac:dyDescent="0.25">
      <c r="J4" s="1" t="s">
        <v>3</v>
      </c>
      <c r="K4" s="1">
        <v>4</v>
      </c>
      <c r="L4" s="1" t="s">
        <v>26</v>
      </c>
    </row>
    <row r="5" spans="10:15" x14ac:dyDescent="0.25">
      <c r="J5" s="1" t="s">
        <v>29</v>
      </c>
      <c r="K5" s="9">
        <v>0.1</v>
      </c>
      <c r="L5" s="1" t="s">
        <v>30</v>
      </c>
    </row>
    <row r="7" spans="10:15" x14ac:dyDescent="0.25">
      <c r="J7" s="1" t="s">
        <v>31</v>
      </c>
      <c r="K7" s="9">
        <v>0.1</v>
      </c>
      <c r="L7" s="1" t="s">
        <v>30</v>
      </c>
    </row>
    <row r="8" spans="10:15" x14ac:dyDescent="0.25">
      <c r="J8" s="1" t="s">
        <v>32</v>
      </c>
      <c r="K8" s="1">
        <v>6</v>
      </c>
      <c r="L8" s="1" t="s">
        <v>33</v>
      </c>
    </row>
    <row r="9" spans="10:15" x14ac:dyDescent="0.25">
      <c r="J9" s="1" t="s">
        <v>34</v>
      </c>
      <c r="K9" s="28">
        <f>POWER(1+(K7/K8),K8)-1</f>
        <v>0.1042604244041494</v>
      </c>
      <c r="L9" s="1" t="s">
        <v>30</v>
      </c>
    </row>
    <row r="10" spans="10:15" x14ac:dyDescent="0.25">
      <c r="J10" s="29" t="s">
        <v>18</v>
      </c>
      <c r="K10" s="1">
        <v>4</v>
      </c>
      <c r="L10" s="29" t="s">
        <v>26</v>
      </c>
    </row>
    <row r="11" spans="10:15" x14ac:dyDescent="0.25">
      <c r="J11" s="29" t="s">
        <v>1</v>
      </c>
      <c r="K11" s="9">
        <v>0.12</v>
      </c>
    </row>
    <row r="12" spans="10:15" x14ac:dyDescent="0.25">
      <c r="J12" s="35" t="s">
        <v>40</v>
      </c>
      <c r="K12" s="35"/>
      <c r="L12" s="35"/>
      <c r="M12" s="35"/>
      <c r="N12" s="35"/>
      <c r="O12" s="35"/>
    </row>
    <row r="13" spans="10:15" x14ac:dyDescent="0.25">
      <c r="J13" s="30" t="s">
        <v>20</v>
      </c>
      <c r="K13" s="30" t="s">
        <v>35</v>
      </c>
      <c r="L13" s="30" t="s">
        <v>36</v>
      </c>
      <c r="M13" s="30" t="s">
        <v>37</v>
      </c>
      <c r="N13" s="30" t="s">
        <v>38</v>
      </c>
      <c r="O13" s="30" t="s">
        <v>39</v>
      </c>
    </row>
    <row r="14" spans="10:15" x14ac:dyDescent="0.25">
      <c r="J14" s="25">
        <v>0</v>
      </c>
      <c r="K14" s="31"/>
      <c r="L14" s="31"/>
      <c r="M14" s="31"/>
      <c r="N14" s="31"/>
      <c r="O14" s="31">
        <f>K2</f>
        <v>16000000</v>
      </c>
    </row>
    <row r="15" spans="10:15" x14ac:dyDescent="0.25">
      <c r="J15" s="25">
        <v>1</v>
      </c>
      <c r="K15" s="31">
        <f>O14</f>
        <v>16000000</v>
      </c>
      <c r="L15" s="32">
        <f>PMT($K$9,$J$18,-$O$14)</f>
        <v>5094161.2646149648</v>
      </c>
      <c r="M15" s="31">
        <f>$K$9*O14</f>
        <v>1668166.7904663903</v>
      </c>
      <c r="N15" s="32">
        <f>L15-M15</f>
        <v>3425994.4741485743</v>
      </c>
      <c r="O15" s="31">
        <f>K15-N15</f>
        <v>12574005.525851425</v>
      </c>
    </row>
    <row r="16" spans="10:15" x14ac:dyDescent="0.25">
      <c r="J16" s="25">
        <v>2</v>
      </c>
      <c r="K16" s="31">
        <f t="shared" ref="K16:K18" si="0">O15</f>
        <v>12574005.525851425</v>
      </c>
      <c r="L16" s="32">
        <f t="shared" ref="L16:L18" si="1">PMT($K$9,$J$18,-$O$14)</f>
        <v>5094161.2646149648</v>
      </c>
      <c r="M16" s="31">
        <f t="shared" ref="M16:M18" si="2">$K$9*O15</f>
        <v>1310971.1525853893</v>
      </c>
      <c r="N16" s="32">
        <f t="shared" ref="N16:N18" si="3">L16-M16</f>
        <v>3783190.1120295757</v>
      </c>
      <c r="O16" s="31">
        <f t="shared" ref="O16:O18" si="4">K16-N16</f>
        <v>8790815.41382185</v>
      </c>
    </row>
    <row r="17" spans="8:15" x14ac:dyDescent="0.25">
      <c r="J17" s="25">
        <v>3</v>
      </c>
      <c r="K17" s="31">
        <f t="shared" si="0"/>
        <v>8790815.41382185</v>
      </c>
      <c r="L17" s="32">
        <f t="shared" si="1"/>
        <v>5094161.2646149648</v>
      </c>
      <c r="M17" s="31">
        <f t="shared" si="2"/>
        <v>916534.14590360434</v>
      </c>
      <c r="N17" s="32">
        <f t="shared" si="3"/>
        <v>4177627.1187113607</v>
      </c>
      <c r="O17" s="31">
        <f t="shared" si="4"/>
        <v>4613188.2951104892</v>
      </c>
    </row>
    <row r="18" spans="8:15" x14ac:dyDescent="0.25">
      <c r="J18" s="25">
        <v>4</v>
      </c>
      <c r="K18" s="31">
        <f t="shared" si="0"/>
        <v>4613188.2951104892</v>
      </c>
      <c r="L18" s="32">
        <f t="shared" si="1"/>
        <v>5094161.2646149648</v>
      </c>
      <c r="M18" s="31">
        <f t="shared" si="2"/>
        <v>480972.96950447402</v>
      </c>
      <c r="N18" s="32">
        <f t="shared" si="3"/>
        <v>4613188.2951104911</v>
      </c>
      <c r="O18" s="31">
        <f t="shared" si="4"/>
        <v>0</v>
      </c>
    </row>
    <row r="19" spans="8:15" x14ac:dyDescent="0.25">
      <c r="L19" s="33">
        <f>SUM(L15:L18)</f>
        <v>20376645.058459859</v>
      </c>
      <c r="M19" s="34">
        <f t="shared" ref="M19:N19" si="5">SUM(M15:M18)</f>
        <v>4376645.0584598575</v>
      </c>
      <c r="N19" s="33">
        <f t="shared" si="5"/>
        <v>16000000</v>
      </c>
    </row>
    <row r="21" spans="8:15" x14ac:dyDescent="0.25">
      <c r="J21" s="25" t="s">
        <v>25</v>
      </c>
      <c r="K21" s="13">
        <v>20000</v>
      </c>
      <c r="L21" s="1" t="s">
        <v>41</v>
      </c>
    </row>
    <row r="22" spans="8:15" x14ac:dyDescent="0.25">
      <c r="J22" s="25" t="s">
        <v>25</v>
      </c>
      <c r="K22" s="13">
        <f>K21*800</f>
        <v>16000000</v>
      </c>
      <c r="L22" s="1" t="s">
        <v>49</v>
      </c>
    </row>
    <row r="23" spans="8:15" x14ac:dyDescent="0.25">
      <c r="J23" s="25" t="s">
        <v>0</v>
      </c>
      <c r="K23" s="13">
        <v>120000</v>
      </c>
      <c r="L23" s="1" t="s">
        <v>41</v>
      </c>
    </row>
    <row r="24" spans="8:15" x14ac:dyDescent="0.25">
      <c r="J24" s="25" t="s">
        <v>50</v>
      </c>
      <c r="K24" s="13">
        <f>120000*800</f>
        <v>96000000</v>
      </c>
      <c r="L24" s="1" t="s">
        <v>49</v>
      </c>
    </row>
    <row r="25" spans="8:15" x14ac:dyDescent="0.25">
      <c r="J25" s="25" t="s">
        <v>42</v>
      </c>
      <c r="K25" s="1" t="s">
        <v>43</v>
      </c>
      <c r="L25" s="1" t="s">
        <v>44</v>
      </c>
    </row>
    <row r="26" spans="8:15" x14ac:dyDescent="0.25">
      <c r="J26" s="25" t="s">
        <v>21</v>
      </c>
      <c r="K26" s="1">
        <v>8000000</v>
      </c>
      <c r="L26" s="1" t="s">
        <v>45</v>
      </c>
      <c r="M26">
        <f>10000*800</f>
        <v>8000000</v>
      </c>
    </row>
    <row r="28" spans="8:15" x14ac:dyDescent="0.25">
      <c r="J28" s="38" t="s">
        <v>20</v>
      </c>
      <c r="K28" s="38">
        <v>0</v>
      </c>
      <c r="L28" s="38">
        <v>1</v>
      </c>
      <c r="M28" s="38">
        <v>2</v>
      </c>
      <c r="N28" s="38">
        <v>3</v>
      </c>
      <c r="O28" s="38">
        <v>4</v>
      </c>
    </row>
    <row r="29" spans="8:15" x14ac:dyDescent="0.25">
      <c r="J29" s="1" t="s">
        <v>21</v>
      </c>
      <c r="K29" s="1"/>
      <c r="L29" s="13">
        <f>$K$26*12</f>
        <v>96000000</v>
      </c>
      <c r="M29" s="13">
        <f t="shared" ref="M29:O29" si="6">$K$26*12</f>
        <v>96000000</v>
      </c>
      <c r="N29" s="13">
        <f t="shared" si="6"/>
        <v>96000000</v>
      </c>
      <c r="O29" s="13">
        <f t="shared" si="6"/>
        <v>96000000</v>
      </c>
    </row>
    <row r="30" spans="8:15" x14ac:dyDescent="0.25">
      <c r="J30" s="1" t="s">
        <v>6</v>
      </c>
      <c r="K30" s="1"/>
      <c r="L30" s="3">
        <f>L29*0.25</f>
        <v>24000000</v>
      </c>
      <c r="M30" s="3">
        <f t="shared" ref="M30:O30" si="7">M29*0.25</f>
        <v>24000000</v>
      </c>
      <c r="N30" s="3">
        <f t="shared" si="7"/>
        <v>24000000</v>
      </c>
      <c r="O30" s="3">
        <f t="shared" si="7"/>
        <v>24000000</v>
      </c>
    </row>
    <row r="31" spans="8:15" x14ac:dyDescent="0.25">
      <c r="H31" s="27">
        <f>25000*800</f>
        <v>20000000</v>
      </c>
      <c r="J31" s="1" t="s">
        <v>46</v>
      </c>
      <c r="K31" s="1"/>
      <c r="L31" s="13">
        <f>25000*800</f>
        <v>20000000</v>
      </c>
      <c r="M31" s="13">
        <f>25000*800</f>
        <v>20000000</v>
      </c>
      <c r="N31" s="13">
        <f>25000*800</f>
        <v>20000000</v>
      </c>
      <c r="O31" s="13">
        <f>25000*800</f>
        <v>20000000</v>
      </c>
    </row>
    <row r="32" spans="8:15" x14ac:dyDescent="0.25">
      <c r="H32" s="27">
        <f>25000*800</f>
        <v>20000000</v>
      </c>
      <c r="J32" s="1" t="s">
        <v>47</v>
      </c>
      <c r="K32" s="1"/>
      <c r="L32" s="13">
        <f>5000*800</f>
        <v>4000000</v>
      </c>
      <c r="M32" s="13">
        <f>5000*800</f>
        <v>4000000</v>
      </c>
      <c r="N32" s="13">
        <f>5000*800</f>
        <v>4000000</v>
      </c>
      <c r="O32" s="13">
        <f>5000*800</f>
        <v>4000000</v>
      </c>
    </row>
    <row r="33" spans="8:15" x14ac:dyDescent="0.25">
      <c r="H33" s="27"/>
      <c r="J33" s="1" t="s">
        <v>48</v>
      </c>
      <c r="K33" s="1"/>
      <c r="L33" s="13">
        <f>$K$24/8</f>
        <v>12000000</v>
      </c>
      <c r="M33" s="13">
        <f t="shared" ref="M33:O33" si="8">$K$24/8</f>
        <v>12000000</v>
      </c>
      <c r="N33" s="13">
        <f t="shared" si="8"/>
        <v>12000000</v>
      </c>
      <c r="O33" s="13">
        <f t="shared" si="8"/>
        <v>12000000</v>
      </c>
    </row>
    <row r="34" spans="8:15" x14ac:dyDescent="0.25">
      <c r="H34" s="27"/>
      <c r="J34" s="1" t="s">
        <v>37</v>
      </c>
      <c r="K34" s="1"/>
      <c r="L34" s="13">
        <f>M15</f>
        <v>1668166.7904663903</v>
      </c>
      <c r="M34" s="13">
        <f>M16</f>
        <v>1310971.1525853893</v>
      </c>
      <c r="N34" s="13">
        <f>M17</f>
        <v>916534.14590360434</v>
      </c>
      <c r="O34" s="13">
        <f>M18</f>
        <v>480972.96950447402</v>
      </c>
    </row>
    <row r="35" spans="8:15" x14ac:dyDescent="0.25">
      <c r="H35" s="27">
        <f>5000*800</f>
        <v>4000000</v>
      </c>
      <c r="J35" s="36" t="s">
        <v>8</v>
      </c>
      <c r="K35" s="36"/>
      <c r="L35" s="19">
        <f>L29-L30-L31-L32-L33-L34</f>
        <v>34331833.209533609</v>
      </c>
      <c r="M35" s="19">
        <f t="shared" ref="M35:O35" si="9">M29-M30-M31-M32-M33-M34</f>
        <v>34689028.847414613</v>
      </c>
      <c r="N35" s="19">
        <f t="shared" si="9"/>
        <v>35083465.854096398</v>
      </c>
      <c r="O35" s="19">
        <f t="shared" si="9"/>
        <v>35519027.030495524</v>
      </c>
    </row>
    <row r="36" spans="8:15" x14ac:dyDescent="0.25">
      <c r="J36" s="1" t="s">
        <v>23</v>
      </c>
      <c r="K36" s="1"/>
      <c r="L36" s="3">
        <f>L35*0.25</f>
        <v>8582958.3023834024</v>
      </c>
      <c r="M36" s="3">
        <f t="shared" ref="M36:O36" si="10">M35*0.25</f>
        <v>8672257.2118536532</v>
      </c>
      <c r="N36" s="3">
        <f t="shared" si="10"/>
        <v>8770866.4635240994</v>
      </c>
      <c r="O36" s="3">
        <f t="shared" si="10"/>
        <v>8879756.7576238811</v>
      </c>
    </row>
    <row r="37" spans="8:15" x14ac:dyDescent="0.25">
      <c r="J37" s="36" t="s">
        <v>11</v>
      </c>
      <c r="K37" s="36"/>
      <c r="L37" s="19">
        <f>L35-L36</f>
        <v>25748874.907150209</v>
      </c>
      <c r="M37" s="19">
        <f t="shared" ref="M37:O37" si="11">M35-M36</f>
        <v>26016771.63556096</v>
      </c>
      <c r="N37" s="19">
        <f t="shared" si="11"/>
        <v>26312599.390572298</v>
      </c>
      <c r="O37" s="19">
        <f t="shared" si="11"/>
        <v>26639270.272871643</v>
      </c>
    </row>
    <row r="38" spans="8:15" x14ac:dyDescent="0.25">
      <c r="J38" s="29" t="s">
        <v>48</v>
      </c>
      <c r="K38" s="37"/>
      <c r="L38" s="3">
        <f>L33</f>
        <v>12000000</v>
      </c>
      <c r="M38" s="3">
        <f t="shared" ref="M38:O38" si="12">M33</f>
        <v>12000000</v>
      </c>
      <c r="N38" s="3">
        <f t="shared" si="12"/>
        <v>12000000</v>
      </c>
      <c r="O38" s="3">
        <f t="shared" si="12"/>
        <v>12000000</v>
      </c>
    </row>
    <row r="39" spans="8:15" x14ac:dyDescent="0.25">
      <c r="J39" s="8" t="s">
        <v>38</v>
      </c>
      <c r="K39" s="39"/>
      <c r="L39" s="39">
        <f>N15</f>
        <v>3425994.4741485743</v>
      </c>
      <c r="M39" s="39">
        <f>N16</f>
        <v>3783190.1120295757</v>
      </c>
      <c r="N39" s="39">
        <f>N17</f>
        <v>4177627.1187113607</v>
      </c>
      <c r="O39" s="39">
        <f>N18</f>
        <v>4613188.2951104911</v>
      </c>
    </row>
    <row r="40" spans="8:15" x14ac:dyDescent="0.25">
      <c r="J40" s="1" t="s">
        <v>25</v>
      </c>
      <c r="K40" s="3">
        <f>K22</f>
        <v>16000000</v>
      </c>
      <c r="L40" s="1"/>
      <c r="M40" s="1"/>
      <c r="N40" s="1"/>
      <c r="O40" s="1"/>
    </row>
    <row r="41" spans="8:15" x14ac:dyDescent="0.25">
      <c r="I41" s="40"/>
      <c r="J41" s="3" t="s">
        <v>0</v>
      </c>
      <c r="K41" s="3">
        <f>K24</f>
        <v>96000000</v>
      </c>
      <c r="L41" s="1"/>
      <c r="M41" s="1"/>
      <c r="N41" s="1"/>
      <c r="O41" s="1"/>
    </row>
    <row r="42" spans="8:15" x14ac:dyDescent="0.25">
      <c r="I42" s="40"/>
      <c r="J42" s="41" t="s">
        <v>51</v>
      </c>
      <c r="K42" s="42">
        <f>K37+K40-K41</f>
        <v>-80000000</v>
      </c>
      <c r="L42" s="19">
        <f>L37+L38-L39</f>
        <v>34322880.433001637</v>
      </c>
      <c r="M42" s="19">
        <f t="shared" ref="M42:O42" si="13">M37+M38-M39</f>
        <v>34233581.523531385</v>
      </c>
      <c r="N42" s="19">
        <f t="shared" si="13"/>
        <v>34134972.271860935</v>
      </c>
      <c r="O42" s="19">
        <f t="shared" si="13"/>
        <v>34026081.977761149</v>
      </c>
    </row>
    <row r="44" spans="8:15" x14ac:dyDescent="0.25">
      <c r="J44" s="25" t="s">
        <v>13</v>
      </c>
      <c r="K44" s="3">
        <f>NPV(K11,L42:O42)+K42</f>
        <v>23857019.812161222</v>
      </c>
    </row>
    <row r="45" spans="8:15" x14ac:dyDescent="0.25">
      <c r="J45" s="25" t="s">
        <v>16</v>
      </c>
      <c r="K45" s="43">
        <f>IRR(K42:O42)</f>
        <v>0.25549192257244102</v>
      </c>
    </row>
    <row r="46" spans="8:15" x14ac:dyDescent="0.25">
      <c r="J46" s="25" t="s">
        <v>52</v>
      </c>
      <c r="K46" s="37">
        <f>K42</f>
        <v>-80000000</v>
      </c>
      <c r="L46" s="3">
        <f>K46+L42</f>
        <v>-45677119.566998363</v>
      </c>
      <c r="M46" s="3">
        <f t="shared" ref="M46:O46" si="14">L46+M42</f>
        <v>-11443538.043466978</v>
      </c>
      <c r="N46" s="3">
        <f t="shared" si="14"/>
        <v>22691434.228393957</v>
      </c>
      <c r="O46" s="3">
        <f t="shared" si="14"/>
        <v>56717516.206155106</v>
      </c>
    </row>
  </sheetData>
  <mergeCells count="1">
    <mergeCell ref="J12:O1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9E0D-246C-4041-A238-24CE90F5B7A4}">
  <dimension ref="J2:Q18"/>
  <sheetViews>
    <sheetView workbookViewId="0">
      <selection activeCell="K23" sqref="K23"/>
    </sheetView>
  </sheetViews>
  <sheetFormatPr baseColWidth="10" defaultRowHeight="15" x14ac:dyDescent="0.25"/>
  <cols>
    <col min="11" max="11" width="14.85546875" bestFit="1" customWidth="1"/>
    <col min="12" max="12" width="15.140625" bestFit="1" customWidth="1"/>
    <col min="13" max="13" width="14.7109375" customWidth="1"/>
    <col min="14" max="14" width="15.28515625" customWidth="1"/>
    <col min="15" max="15" width="14.85546875" customWidth="1"/>
    <col min="16" max="16" width="15.28515625" customWidth="1"/>
    <col min="17" max="17" width="18.42578125" customWidth="1"/>
  </cols>
  <sheetData>
    <row r="2" spans="10:17" x14ac:dyDescent="0.25">
      <c r="J2" s="1" t="s">
        <v>0</v>
      </c>
      <c r="K2" s="24">
        <v>6000000</v>
      </c>
    </row>
    <row r="3" spans="10:17" x14ac:dyDescent="0.25">
      <c r="J3" s="1" t="s">
        <v>18</v>
      </c>
      <c r="K3" s="25" t="s">
        <v>19</v>
      </c>
    </row>
    <row r="4" spans="10:17" x14ac:dyDescent="0.25">
      <c r="J4" s="1" t="s">
        <v>1</v>
      </c>
      <c r="K4" s="26">
        <v>0.2</v>
      </c>
    </row>
    <row r="6" spans="10:17" x14ac:dyDescent="0.25">
      <c r="J6" s="23" t="s">
        <v>20</v>
      </c>
      <c r="K6" s="23">
        <v>0</v>
      </c>
      <c r="L6" s="23">
        <v>1</v>
      </c>
      <c r="M6" s="23">
        <v>2</v>
      </c>
      <c r="N6" s="23">
        <v>3</v>
      </c>
      <c r="O6" s="23">
        <v>4</v>
      </c>
      <c r="P6" s="23">
        <v>5</v>
      </c>
      <c r="Q6" s="23">
        <v>6</v>
      </c>
    </row>
    <row r="7" spans="10:17" x14ac:dyDescent="0.25">
      <c r="J7" s="13" t="s">
        <v>21</v>
      </c>
      <c r="K7" s="13"/>
      <c r="L7" s="12">
        <v>10000000</v>
      </c>
      <c r="M7" s="17">
        <v>10000000</v>
      </c>
      <c r="N7" s="17">
        <v>10000000</v>
      </c>
      <c r="O7" s="13">
        <v>15000000</v>
      </c>
      <c r="P7" s="13">
        <v>15000000</v>
      </c>
      <c r="Q7" s="13">
        <v>15000000</v>
      </c>
    </row>
    <row r="8" spans="10:17" x14ac:dyDescent="0.25">
      <c r="J8" s="13" t="s">
        <v>6</v>
      </c>
      <c r="K8" s="13"/>
      <c r="L8" s="13">
        <f>L7*0.15</f>
        <v>1500000</v>
      </c>
      <c r="M8" s="13">
        <f t="shared" ref="M8:O8" si="0">M7*0.15</f>
        <v>1500000</v>
      </c>
      <c r="N8" s="13">
        <f t="shared" si="0"/>
        <v>1500000</v>
      </c>
      <c r="O8" s="13">
        <f t="shared" si="0"/>
        <v>2250000</v>
      </c>
      <c r="P8" s="13">
        <f>P7*0.2</f>
        <v>3000000</v>
      </c>
      <c r="Q8" s="13">
        <f>Q7*0.2</f>
        <v>3000000</v>
      </c>
    </row>
    <row r="9" spans="10:17" x14ac:dyDescent="0.25">
      <c r="J9" s="13" t="s">
        <v>22</v>
      </c>
      <c r="K9" s="13"/>
      <c r="L9" s="13">
        <v>4000000</v>
      </c>
      <c r="M9" s="13">
        <v>4000000</v>
      </c>
      <c r="N9" s="13">
        <v>4000000</v>
      </c>
      <c r="O9" s="13">
        <v>4000000</v>
      </c>
      <c r="P9" s="13">
        <v>4000000</v>
      </c>
      <c r="Q9" s="13">
        <v>4000000</v>
      </c>
    </row>
    <row r="10" spans="10:17" x14ac:dyDescent="0.25">
      <c r="J10" s="13" t="s">
        <v>9</v>
      </c>
      <c r="K10" s="13"/>
      <c r="L10" s="13">
        <v>2000000</v>
      </c>
      <c r="M10" s="13">
        <v>2000000</v>
      </c>
      <c r="N10" s="13">
        <v>2000000</v>
      </c>
      <c r="O10" s="13">
        <v>2000000</v>
      </c>
      <c r="P10" s="13">
        <v>2000000</v>
      </c>
      <c r="Q10" s="13">
        <v>2000000</v>
      </c>
    </row>
    <row r="11" spans="10:17" x14ac:dyDescent="0.25">
      <c r="J11" s="18" t="s">
        <v>8</v>
      </c>
      <c r="K11" s="18"/>
      <c r="L11" s="18">
        <f>L7-L8-L9-L10</f>
        <v>2500000</v>
      </c>
      <c r="M11" s="18">
        <f t="shared" ref="M11:Q11" si="1">M7-M8-M9-M10</f>
        <v>2500000</v>
      </c>
      <c r="N11" s="18">
        <f t="shared" si="1"/>
        <v>2500000</v>
      </c>
      <c r="O11" s="18">
        <f t="shared" si="1"/>
        <v>6750000</v>
      </c>
      <c r="P11" s="18">
        <f t="shared" si="1"/>
        <v>6000000</v>
      </c>
      <c r="Q11" s="18">
        <f t="shared" si="1"/>
        <v>6000000</v>
      </c>
    </row>
    <row r="12" spans="10:17" x14ac:dyDescent="0.25">
      <c r="J12" s="13" t="s">
        <v>23</v>
      </c>
      <c r="K12" s="13"/>
      <c r="L12" s="13">
        <f>L11*0.25</f>
        <v>625000</v>
      </c>
      <c r="M12" s="13">
        <f t="shared" ref="M12:Q12" si="2">M11*0.25</f>
        <v>625000</v>
      </c>
      <c r="N12" s="13">
        <f t="shared" si="2"/>
        <v>625000</v>
      </c>
      <c r="O12" s="13">
        <f t="shared" si="2"/>
        <v>1687500</v>
      </c>
      <c r="P12" s="13">
        <f t="shared" si="2"/>
        <v>1500000</v>
      </c>
      <c r="Q12" s="13">
        <f t="shared" si="2"/>
        <v>1500000</v>
      </c>
    </row>
    <row r="13" spans="10:17" x14ac:dyDescent="0.25">
      <c r="J13" s="18" t="s">
        <v>11</v>
      </c>
      <c r="K13" s="18"/>
      <c r="L13" s="18">
        <f>L11-L12</f>
        <v>1875000</v>
      </c>
      <c r="M13" s="18">
        <f t="shared" ref="M13:Q13" si="3">M11-M12</f>
        <v>1875000</v>
      </c>
      <c r="N13" s="18">
        <f t="shared" si="3"/>
        <v>1875000</v>
      </c>
      <c r="O13" s="18">
        <f t="shared" si="3"/>
        <v>5062500</v>
      </c>
      <c r="P13" s="18">
        <f t="shared" si="3"/>
        <v>4500000</v>
      </c>
      <c r="Q13" s="18">
        <f t="shared" si="3"/>
        <v>4500000</v>
      </c>
    </row>
    <row r="14" spans="10:17" x14ac:dyDescent="0.25">
      <c r="J14" s="13" t="s">
        <v>0</v>
      </c>
      <c r="K14" s="13">
        <v>6000000</v>
      </c>
      <c r="L14" s="13"/>
      <c r="M14" s="13"/>
      <c r="N14" s="13"/>
      <c r="O14" s="13"/>
      <c r="P14" s="13"/>
      <c r="Q14" s="13"/>
    </row>
    <row r="15" spans="10:17" x14ac:dyDescent="0.25">
      <c r="J15" s="18" t="s">
        <v>12</v>
      </c>
      <c r="K15" s="19">
        <f>K13-K14</f>
        <v>-6000000</v>
      </c>
      <c r="L15" s="19">
        <f t="shared" ref="L15:Q15" si="4">L13-L14</f>
        <v>1875000</v>
      </c>
      <c r="M15" s="19">
        <f t="shared" si="4"/>
        <v>1875000</v>
      </c>
      <c r="N15" s="19">
        <f t="shared" si="4"/>
        <v>1875000</v>
      </c>
      <c r="O15" s="19">
        <f t="shared" si="4"/>
        <v>5062500</v>
      </c>
      <c r="P15" s="19">
        <f t="shared" si="4"/>
        <v>4500000</v>
      </c>
      <c r="Q15" s="19">
        <f t="shared" si="4"/>
        <v>4500000</v>
      </c>
    </row>
    <row r="17" spans="10:13" x14ac:dyDescent="0.25">
      <c r="J17" s="22" t="s">
        <v>13</v>
      </c>
      <c r="K17" s="20">
        <f>NPV(K4,L15:Q15)+K15</f>
        <v>3706548.9969135821</v>
      </c>
      <c r="L17" s="1" t="s">
        <v>14</v>
      </c>
      <c r="M17" s="1" t="s">
        <v>15</v>
      </c>
    </row>
    <row r="18" spans="10:13" x14ac:dyDescent="0.25">
      <c r="J18" s="22" t="s">
        <v>16</v>
      </c>
      <c r="K18" s="21">
        <f>IRR(K15:Q15)</f>
        <v>0.38023023018332403</v>
      </c>
      <c r="L18" s="1" t="s">
        <v>24</v>
      </c>
      <c r="M18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alexdream21 maldonado</dc:creator>
  <cp:lastModifiedBy>alexdream21 maldonado</cp:lastModifiedBy>
  <dcterms:created xsi:type="dcterms:W3CDTF">2015-06-05T18:19:34Z</dcterms:created>
  <dcterms:modified xsi:type="dcterms:W3CDTF">2022-09-29T19:25:36Z</dcterms:modified>
</cp:coreProperties>
</file>