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guel\Desktop\tese_torcpy-main\tempos\"/>
    </mc:Choice>
  </mc:AlternateContent>
  <xr:revisionPtr revIDLastSave="0" documentId="13_ncr:1_{9A1DB995-338D-473C-B29D-C403977EBACC}" xr6:coauthVersionLast="47" xr6:coauthVersionMax="47" xr10:uidLastSave="{00000000-0000-0000-0000-000000000000}"/>
  <bookViews>
    <workbookView xWindow="-120" yWindow="-120" windowWidth="29040" windowHeight="15840" xr2:uid="{8EBD9DCE-4E05-454A-9645-960691A486A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3" i="1" l="1"/>
  <c r="S44" i="1"/>
  <c r="S45" i="1"/>
  <c r="S46" i="1"/>
  <c r="S47" i="1"/>
  <c r="S48" i="1"/>
  <c r="S49" i="1"/>
  <c r="S50" i="1"/>
  <c r="S51" i="1"/>
  <c r="S42" i="1"/>
  <c r="Q51" i="1"/>
  <c r="R51" i="1" s="1"/>
  <c r="Q50" i="1"/>
  <c r="Q49" i="1"/>
  <c r="Q48" i="1"/>
  <c r="Q47" i="1"/>
  <c r="R47" i="1" s="1"/>
  <c r="Q46" i="1"/>
  <c r="R46" i="1" s="1"/>
  <c r="Q45" i="1"/>
  <c r="Q44" i="1"/>
  <c r="Q43" i="1"/>
  <c r="Q42" i="1"/>
  <c r="P43" i="1"/>
  <c r="P44" i="1"/>
  <c r="P45" i="1"/>
  <c r="P46" i="1"/>
  <c r="P47" i="1"/>
  <c r="P48" i="1"/>
  <c r="P49" i="1"/>
  <c r="P50" i="1"/>
  <c r="P51" i="1"/>
  <c r="M43" i="1"/>
  <c r="M44" i="1"/>
  <c r="M45" i="1"/>
  <c r="M46" i="1"/>
  <c r="M47" i="1"/>
  <c r="M48" i="1"/>
  <c r="M49" i="1"/>
  <c r="M50" i="1"/>
  <c r="M51" i="1"/>
  <c r="P42" i="1"/>
  <c r="N51" i="1"/>
  <c r="N50" i="1"/>
  <c r="N49" i="1"/>
  <c r="N48" i="1"/>
  <c r="N47" i="1"/>
  <c r="O47" i="1" s="1"/>
  <c r="N46" i="1"/>
  <c r="N45" i="1"/>
  <c r="N44" i="1"/>
  <c r="O44" i="1" s="1"/>
  <c r="N43" i="1"/>
  <c r="O43" i="1" s="1"/>
  <c r="N42" i="1"/>
  <c r="M42" i="1"/>
  <c r="K51" i="1"/>
  <c r="K50" i="1"/>
  <c r="K49" i="1"/>
  <c r="L49" i="1" s="1"/>
  <c r="K48" i="1"/>
  <c r="K47" i="1"/>
  <c r="K46" i="1"/>
  <c r="L46" i="1" s="1"/>
  <c r="K45" i="1"/>
  <c r="K44" i="1"/>
  <c r="K43" i="1"/>
  <c r="K42" i="1"/>
  <c r="L42" i="1" s="1"/>
  <c r="O51" i="1"/>
  <c r="L51" i="1"/>
  <c r="R50" i="1"/>
  <c r="O50" i="1"/>
  <c r="L50" i="1"/>
  <c r="R49" i="1"/>
  <c r="O49" i="1"/>
  <c r="R48" i="1"/>
  <c r="O48" i="1"/>
  <c r="L48" i="1"/>
  <c r="L47" i="1"/>
  <c r="O46" i="1"/>
  <c r="R45" i="1"/>
  <c r="O45" i="1"/>
  <c r="L45" i="1"/>
  <c r="R44" i="1"/>
  <c r="L44" i="1"/>
  <c r="R43" i="1"/>
  <c r="L43" i="1"/>
  <c r="R42" i="1"/>
  <c r="O42" i="1"/>
  <c r="S25" i="1"/>
  <c r="S26" i="1"/>
  <c r="S27" i="1"/>
  <c r="S28" i="1"/>
  <c r="S29" i="1"/>
  <c r="S30" i="1"/>
  <c r="S31" i="1"/>
  <c r="S32" i="1"/>
  <c r="S33" i="1"/>
  <c r="S24" i="1"/>
  <c r="Q33" i="1"/>
  <c r="Q32" i="1"/>
  <c r="Q31" i="1"/>
  <c r="Q30" i="1"/>
  <c r="Q29" i="1"/>
  <c r="R29" i="1" s="1"/>
  <c r="Q28" i="1"/>
  <c r="R28" i="1" s="1"/>
  <c r="Q27" i="1"/>
  <c r="Q26" i="1"/>
  <c r="Q25" i="1"/>
  <c r="R25" i="1" s="1"/>
  <c r="Q24" i="1"/>
  <c r="P25" i="1"/>
  <c r="P26" i="1"/>
  <c r="P27" i="1"/>
  <c r="P28" i="1"/>
  <c r="P29" i="1"/>
  <c r="P30" i="1"/>
  <c r="P31" i="1"/>
  <c r="P32" i="1"/>
  <c r="P33" i="1"/>
  <c r="P24" i="1"/>
  <c r="N33" i="1"/>
  <c r="O33" i="1" s="1"/>
  <c r="N32" i="1"/>
  <c r="N31" i="1"/>
  <c r="O31" i="1" s="1"/>
  <c r="N30" i="1"/>
  <c r="N29" i="1"/>
  <c r="N28" i="1"/>
  <c r="O28" i="1" s="1"/>
  <c r="N27" i="1"/>
  <c r="O27" i="1" s="1"/>
  <c r="N26" i="1"/>
  <c r="O26" i="1" s="1"/>
  <c r="N25" i="1"/>
  <c r="O25" i="1" s="1"/>
  <c r="N24" i="1"/>
  <c r="M25" i="1"/>
  <c r="M26" i="1"/>
  <c r="M27" i="1"/>
  <c r="M28" i="1"/>
  <c r="M29" i="1"/>
  <c r="M30" i="1"/>
  <c r="M31" i="1"/>
  <c r="M32" i="1"/>
  <c r="M33" i="1"/>
  <c r="M24" i="1"/>
  <c r="K33" i="1"/>
  <c r="K32" i="1"/>
  <c r="L32" i="1" s="1"/>
  <c r="K31" i="1"/>
  <c r="K30" i="1"/>
  <c r="L30" i="1" s="1"/>
  <c r="K29" i="1"/>
  <c r="K28" i="1"/>
  <c r="K27" i="1"/>
  <c r="K26" i="1"/>
  <c r="K25" i="1"/>
  <c r="L25" i="1" s="1"/>
  <c r="L29" i="1"/>
  <c r="K24" i="1"/>
  <c r="L24" i="1" s="1"/>
  <c r="R33" i="1"/>
  <c r="L33" i="1"/>
  <c r="R32" i="1"/>
  <c r="O32" i="1"/>
  <c r="R31" i="1"/>
  <c r="L31" i="1"/>
  <c r="R30" i="1"/>
  <c r="O30" i="1"/>
  <c r="O29" i="1"/>
  <c r="L28" i="1"/>
  <c r="R27" i="1"/>
  <c r="L27" i="1"/>
  <c r="R26" i="1"/>
  <c r="L26" i="1"/>
  <c r="R24" i="1"/>
  <c r="O24" i="1"/>
  <c r="S15" i="1"/>
  <c r="S10" i="1"/>
  <c r="S11" i="1"/>
  <c r="S12" i="1"/>
  <c r="S13" i="1"/>
  <c r="S14" i="1"/>
  <c r="S16" i="1"/>
  <c r="S17" i="1"/>
  <c r="S18" i="1"/>
  <c r="S9" i="1"/>
  <c r="P10" i="1"/>
  <c r="P11" i="1"/>
  <c r="P12" i="1"/>
  <c r="P13" i="1"/>
  <c r="P14" i="1"/>
  <c r="P15" i="1"/>
  <c r="P16" i="1"/>
  <c r="P17" i="1"/>
  <c r="P18" i="1"/>
  <c r="P9" i="1"/>
  <c r="M17" i="1"/>
  <c r="M10" i="1"/>
  <c r="M11" i="1"/>
  <c r="M12" i="1"/>
  <c r="M13" i="1"/>
  <c r="M14" i="1"/>
  <c r="M15" i="1"/>
  <c r="M16" i="1"/>
  <c r="M18" i="1"/>
  <c r="M9" i="1"/>
  <c r="R10" i="1"/>
  <c r="R11" i="1"/>
  <c r="R12" i="1"/>
  <c r="R13" i="1"/>
  <c r="R14" i="1"/>
  <c r="R15" i="1"/>
  <c r="R16" i="1"/>
  <c r="R17" i="1"/>
  <c r="R18" i="1"/>
  <c r="R9" i="1"/>
  <c r="O10" i="1"/>
  <c r="O11" i="1"/>
  <c r="O12" i="1"/>
  <c r="O13" i="1"/>
  <c r="O14" i="1"/>
  <c r="O15" i="1"/>
  <c r="O16" i="1"/>
  <c r="O17" i="1"/>
  <c r="O18" i="1"/>
  <c r="O9" i="1"/>
  <c r="L10" i="1"/>
  <c r="L11" i="1"/>
  <c r="L12" i="1"/>
  <c r="L13" i="1"/>
  <c r="L14" i="1"/>
  <c r="L15" i="1"/>
  <c r="L16" i="1"/>
  <c r="L17" i="1"/>
  <c r="L18" i="1"/>
  <c r="L9" i="1"/>
  <c r="Q18" i="1"/>
  <c r="Q17" i="1"/>
  <c r="Q16" i="1"/>
  <c r="Q15" i="1"/>
  <c r="Q14" i="1"/>
  <c r="Q13" i="1"/>
  <c r="Q12" i="1"/>
  <c r="Q11" i="1"/>
  <c r="Q10" i="1"/>
  <c r="Q9" i="1"/>
  <c r="N18" i="1"/>
  <c r="N17" i="1"/>
  <c r="N16" i="1"/>
  <c r="N15" i="1"/>
  <c r="N14" i="1"/>
  <c r="N13" i="1"/>
  <c r="N12" i="1"/>
  <c r="N11" i="1"/>
  <c r="N10" i="1"/>
  <c r="N9" i="1"/>
  <c r="K18" i="1"/>
  <c r="K17" i="1"/>
  <c r="K16" i="1"/>
  <c r="K15" i="1"/>
  <c r="K14" i="1"/>
  <c r="K13" i="1"/>
  <c r="K12" i="1"/>
  <c r="K11" i="1"/>
  <c r="K9" i="1"/>
  <c r="K10" i="1"/>
  <c r="H42" i="1"/>
  <c r="H43" i="1"/>
  <c r="H44" i="1"/>
  <c r="H45" i="1"/>
  <c r="H46" i="1"/>
  <c r="H47" i="1"/>
  <c r="H48" i="1"/>
  <c r="H49" i="1"/>
  <c r="H50" i="1"/>
  <c r="H51" i="1"/>
  <c r="H9" i="1"/>
  <c r="H10" i="1"/>
  <c r="H11" i="1"/>
  <c r="H12" i="1"/>
  <c r="H13" i="1"/>
  <c r="H14" i="1"/>
  <c r="H15" i="1"/>
  <c r="H16" i="1"/>
  <c r="H17" i="1"/>
  <c r="H18" i="1"/>
  <c r="G24" i="1"/>
  <c r="H52" i="1" a="1"/>
  <c r="H52" i="1" s="1"/>
  <c r="H24" i="1"/>
  <c r="H25" i="1"/>
  <c r="H26" i="1"/>
  <c r="H27" i="1"/>
  <c r="H28" i="1"/>
  <c r="H29" i="1"/>
  <c r="H30" i="1"/>
  <c r="H31" i="1"/>
  <c r="H32" i="1"/>
  <c r="H33" i="1"/>
  <c r="G33" i="1"/>
  <c r="G32" i="1"/>
  <c r="G31" i="1"/>
  <c r="G30" i="1"/>
  <c r="G29" i="1"/>
  <c r="G28" i="1"/>
  <c r="G27" i="1"/>
  <c r="G26" i="1"/>
  <c r="G25" i="1"/>
  <c r="G9" i="1"/>
  <c r="G10" i="1"/>
  <c r="G11" i="1"/>
  <c r="G12" i="1"/>
  <c r="G13" i="1"/>
  <c r="G14" i="1"/>
  <c r="G15" i="1"/>
  <c r="G16" i="1"/>
  <c r="G17" i="1"/>
  <c r="G18" i="1"/>
  <c r="G46" i="1"/>
  <c r="G51" i="1"/>
  <c r="G45" i="1"/>
  <c r="G49" i="1"/>
  <c r="G44" i="1"/>
  <c r="G48" i="1"/>
  <c r="G43" i="1"/>
  <c r="G50" i="1"/>
  <c r="G47" i="1"/>
  <c r="G42" i="1"/>
  <c r="G52" i="1" s="1" a="1"/>
  <c r="G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<sst xmlns="http://schemas.openxmlformats.org/spreadsheetml/2006/main" count="63" uniqueCount="13">
  <si>
    <t>THREADS</t>
  </si>
  <si>
    <t>NO_TORCPY</t>
  </si>
  <si>
    <t>% FASTER NO_TORCPY</t>
  </si>
  <si>
    <t>Last Index</t>
  </si>
  <si>
    <t>Middle Index</t>
  </si>
  <si>
    <t>WITH_TORCPY_MAP</t>
  </si>
  <si>
    <t>WITH_TORCPY_MINE</t>
  </si>
  <si>
    <t>% SLOWER TORC_MAP</t>
  </si>
  <si>
    <t>% FASTER TORC_MAP</t>
  </si>
  <si>
    <t>STENCIL</t>
  </si>
  <si>
    <t>Speedup</t>
  </si>
  <si>
    <t>Efficiency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</si>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</sst>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2" fillId="2" borderId="10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numFmt numFmtId="0" formatCode="General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2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Last Index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2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Folha1!$Q$9:$Q$18</c:f>
              <c:numCache>
                <c:formatCode>General</c:formatCode>
                <c:ptCount val="10"/>
                <c:pt idx="0">
                  <c:v>60.071627697667971</c:v>
                </c:pt>
                <c:pt idx="1">
                  <c:v>42.525732993275305</c:v>
                </c:pt>
                <c:pt idx="2">
                  <c:v>45.07279005272509</c:v>
                </c:pt>
                <c:pt idx="3">
                  <c:v>25.194535391068346</c:v>
                </c:pt>
                <c:pt idx="4">
                  <c:v>26.807852150765918</c:v>
                </c:pt>
                <c:pt idx="5">
                  <c:v>13.088573512417195</c:v>
                </c:pt>
                <c:pt idx="6">
                  <c:v>6.8738612078444925</c:v>
                </c:pt>
                <c:pt idx="7">
                  <c:v>3.4457271135107113</c:v>
                </c:pt>
                <c:pt idx="8">
                  <c:v>1.8171837125158417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408-41C1-8281-C363B517D599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Folha1!$K$9:$K$18</c:f>
              <c:numCache>
                <c:formatCode>General</c:formatCode>
                <c:ptCount val="10"/>
                <c:pt idx="0">
                  <c:v>66.257705195350468</c:v>
                </c:pt>
                <c:pt idx="1">
                  <c:v>52.69742013641136</c:v>
                </c:pt>
                <c:pt idx="2">
                  <c:v>46.715507505533687</c:v>
                </c:pt>
                <c:pt idx="3">
                  <c:v>28.540394580442715</c:v>
                </c:pt>
                <c:pt idx="4">
                  <c:v>27.226111245420444</c:v>
                </c:pt>
                <c:pt idx="5">
                  <c:v>15.646405596819147</c:v>
                </c:pt>
                <c:pt idx="6">
                  <c:v>7.9238630332869322</c:v>
                </c:pt>
                <c:pt idx="7">
                  <c:v>3.989105275923857</c:v>
                </c:pt>
                <c:pt idx="8">
                  <c:v>1.9975499647880159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08-41C1-8281-C363B517D599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Folha1!$N$9:$N$18</c:f>
              <c:numCache>
                <c:formatCode>General</c:formatCode>
                <c:ptCount val="10"/>
                <c:pt idx="0">
                  <c:v>61.235605954705377</c:v>
                </c:pt>
                <c:pt idx="1">
                  <c:v>48.784029138650908</c:v>
                </c:pt>
                <c:pt idx="2">
                  <c:v>46.653110815254855</c:v>
                </c:pt>
                <c:pt idx="3">
                  <c:v>29.023904389826257</c:v>
                </c:pt>
                <c:pt idx="4">
                  <c:v>28.231717286821123</c:v>
                </c:pt>
                <c:pt idx="5">
                  <c:v>15.369153255920182</c:v>
                </c:pt>
                <c:pt idx="6">
                  <c:v>7.8338110198598274</c:v>
                </c:pt>
                <c:pt idx="7">
                  <c:v>3.9522902792821712</c:v>
                </c:pt>
                <c:pt idx="8">
                  <c:v>1.9875172945347201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408-41C1-8281-C363B517D5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8073950400522786"/>
              <c:y val="0.83744398107550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 sz="1000" b="0" i="0" u="none" strike="noStrike" kern="1200" baseline="0">
          <a:solidFill>
            <a:schemeClr val="tx1"/>
          </a:solidFill>
          <a:latin typeface="+mn-lt"/>
          <a:ea typeface="+mn-ea"/>
          <a:cs typeface="+mn-cs"/>
        </a:defRPr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Last Index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Folha1!$R$9:$R$18</c:f>
              <c:numCache>
                <c:formatCode>General</c:formatCode>
                <c:ptCount val="10"/>
                <c:pt idx="0">
                  <c:v>0.62574612185070799</c:v>
                </c:pt>
                <c:pt idx="1">
                  <c:v>0.65424204605038927</c:v>
                </c:pt>
                <c:pt idx="2">
                  <c:v>0.70426234457382952</c:v>
                </c:pt>
                <c:pt idx="3">
                  <c:v>0.76347076942631353</c:v>
                </c:pt>
                <c:pt idx="4">
                  <c:v>0.83774537971143492</c:v>
                </c:pt>
                <c:pt idx="5">
                  <c:v>0.8180358445260747</c:v>
                </c:pt>
                <c:pt idx="6">
                  <c:v>0.85923265098056156</c:v>
                </c:pt>
                <c:pt idx="7">
                  <c:v>0.86143177837767781</c:v>
                </c:pt>
                <c:pt idx="8">
                  <c:v>0.90859185625792083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DCE-4E3B-8E25-A85BE33062FC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Folha1!$L$9:$L$18</c:f>
              <c:numCache>
                <c:formatCode>General</c:formatCode>
                <c:ptCount val="10"/>
                <c:pt idx="0">
                  <c:v>0.69018442911823408</c:v>
                </c:pt>
                <c:pt idx="1">
                  <c:v>0.81072954056017477</c:v>
                </c:pt>
                <c:pt idx="2">
                  <c:v>0.72992980477396385</c:v>
                </c:pt>
                <c:pt idx="3">
                  <c:v>0.86486044183159738</c:v>
                </c:pt>
                <c:pt idx="4">
                  <c:v>0.85081597641938889</c:v>
                </c:pt>
                <c:pt idx="5">
                  <c:v>0.97790034980119667</c:v>
                </c:pt>
                <c:pt idx="6">
                  <c:v>0.99048287916086653</c:v>
                </c:pt>
                <c:pt idx="7">
                  <c:v>0.99727631898096425</c:v>
                </c:pt>
                <c:pt idx="8">
                  <c:v>0.99877498239400797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DCE-4E3B-8E25-A85BE33062FC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Folha1!$O$9:$O$18</c:f>
              <c:numCache>
                <c:formatCode>General</c:formatCode>
                <c:ptCount val="10"/>
                <c:pt idx="0">
                  <c:v>0.63787089536151431</c:v>
                </c:pt>
                <c:pt idx="1">
                  <c:v>0.75052352521001398</c:v>
                </c:pt>
                <c:pt idx="2">
                  <c:v>0.72895485648835712</c:v>
                </c:pt>
                <c:pt idx="3">
                  <c:v>0.87951225423715929</c:v>
                </c:pt>
                <c:pt idx="4">
                  <c:v>0.88224116521316009</c:v>
                </c:pt>
                <c:pt idx="5">
                  <c:v>0.96057207849501136</c:v>
                </c:pt>
                <c:pt idx="6">
                  <c:v>0.97922637748247843</c:v>
                </c:pt>
                <c:pt idx="7">
                  <c:v>0.98807256982054281</c:v>
                </c:pt>
                <c:pt idx="8">
                  <c:v>0.99375864726736007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DCE-4E3B-8E25-A85BE33062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Last Index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Folha1!$S$9:$S$18</c:f>
              <c:numCache>
                <c:formatCode>General</c:formatCode>
                <c:ptCount val="10"/>
                <c:pt idx="0">
                  <c:v>2908.1338577270499</c:v>
                </c:pt>
                <c:pt idx="1">
                  <c:v>2781.4682567119567</c:v>
                </c:pt>
                <c:pt idx="2">
                  <c:v>2583.9142150878847</c:v>
                </c:pt>
                <c:pt idx="3">
                  <c:v>2383.5273807048793</c:v>
                </c:pt>
                <c:pt idx="4">
                  <c:v>2172.2035446166974</c:v>
                </c:pt>
                <c:pt idx="5">
                  <c:v>2224.5400314331041</c:v>
                </c:pt>
                <c:pt idx="6">
                  <c:v>2117.882137298584</c:v>
                </c:pt>
                <c:pt idx="7">
                  <c:v>2112.4754495620718</c:v>
                </c:pt>
                <c:pt idx="8">
                  <c:v>2002.8283004760599</c:v>
                </c:pt>
                <c:pt idx="9">
                  <c:v>1819.75348329544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FC8-4648-AE40-DF626ECB5593}"/>
            </c:ext>
          </c:extLst>
        </c:ser>
        <c:ser>
          <c:idx val="1"/>
          <c:order val="1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Folha1!$P$9:$P$18</c:f>
              <c:numCache>
                <c:formatCode>General</c:formatCode>
                <c:ptCount val="10"/>
                <c:pt idx="0">
                  <c:v>2620.4041442871076</c:v>
                </c:pt>
                <c:pt idx="1">
                  <c:v>2227.0848035812351</c:v>
                </c:pt>
                <c:pt idx="2">
                  <c:v>2292.9808654785152</c:v>
                </c:pt>
                <c:pt idx="3">
                  <c:v>1900.4619090557069</c:v>
                </c:pt>
                <c:pt idx="4">
                  <c:v>1894.58348083496</c:v>
                </c:pt>
                <c:pt idx="5">
                  <c:v>1740.0875740051199</c:v>
                </c:pt>
                <c:pt idx="6">
                  <c:v>1706.938840866088</c:v>
                </c:pt>
                <c:pt idx="7">
                  <c:v>1691.6566543579081</c:v>
                </c:pt>
                <c:pt idx="8">
                  <c:v>1681.9773516654959</c:v>
                </c:pt>
                <c:pt idx="9">
                  <c:v>1671.47953772544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C8-4648-AE40-DF626ECB5593}"/>
            </c:ext>
          </c:extLst>
        </c:ser>
        <c:ser>
          <c:idx val="0"/>
          <c:order val="2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Folha1!$J$9:$J$18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Folha1!$M$9:$M$18</c:f>
              <c:numCache>
                <c:formatCode>General</c:formatCode>
                <c:ptCount val="10"/>
                <c:pt idx="0">
                  <c:v>2630.105690002435</c:v>
                </c:pt>
                <c:pt idx="1">
                  <c:v>2239.0426194667766</c:v>
                </c:pt>
                <c:pt idx="2">
                  <c:v>2486.893920898432</c:v>
                </c:pt>
                <c:pt idx="3">
                  <c:v>2098.9027898311606</c:v>
                </c:pt>
                <c:pt idx="4">
                  <c:v>2133.5494918823233</c:v>
                </c:pt>
                <c:pt idx="5">
                  <c:v>1856.281158447264</c:v>
                </c:pt>
                <c:pt idx="6">
                  <c:v>1832.700021743768</c:v>
                </c:pt>
                <c:pt idx="7">
                  <c:v>1820.215681076048</c:v>
                </c:pt>
                <c:pt idx="8">
                  <c:v>1817.484444618224</c:v>
                </c:pt>
                <c:pt idx="9">
                  <c:v>1815.25799417495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C8-4648-AE40-DF626ECB55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Middle Index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Folha1!$Q$24:$Q$33</c:f>
              <c:numCache>
                <c:formatCode>General</c:formatCode>
                <c:ptCount val="10"/>
                <c:pt idx="0">
                  <c:v>54.50373459806444</c:v>
                </c:pt>
                <c:pt idx="1">
                  <c:v>22.442279150051082</c:v>
                </c:pt>
                <c:pt idx="2">
                  <c:v>40.908143414796704</c:v>
                </c:pt>
                <c:pt idx="3">
                  <c:v>13.72098243877096</c:v>
                </c:pt>
                <c:pt idx="4">
                  <c:v>25.506693152006214</c:v>
                </c:pt>
                <c:pt idx="5">
                  <c:v>13.778712126339812</c:v>
                </c:pt>
                <c:pt idx="6">
                  <c:v>6.9951071876246944</c:v>
                </c:pt>
                <c:pt idx="7">
                  <c:v>3.3694113972628532</c:v>
                </c:pt>
                <c:pt idx="8">
                  <c:v>1.8223492743592542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84-4948-8A4A-682BAFD9B39F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Folha1!$K$24:$K$33</c:f>
              <c:numCache>
                <c:formatCode>General</c:formatCode>
                <c:ptCount val="10"/>
                <c:pt idx="0">
                  <c:v>58.720418063133842</c:v>
                </c:pt>
                <c:pt idx="1">
                  <c:v>24.073323094997193</c:v>
                </c:pt>
                <c:pt idx="2">
                  <c:v>43.174518070690887</c:v>
                </c:pt>
                <c:pt idx="3">
                  <c:v>14.187022851490944</c:v>
                </c:pt>
                <c:pt idx="4">
                  <c:v>26.007313308686697</c:v>
                </c:pt>
                <c:pt idx="5">
                  <c:v>15.349663279362565</c:v>
                </c:pt>
                <c:pt idx="6">
                  <c:v>7.874884616210335</c:v>
                </c:pt>
                <c:pt idx="7">
                  <c:v>3.9291117424417448</c:v>
                </c:pt>
                <c:pt idx="8">
                  <c:v>1.9891545736092324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84-4948-8A4A-682BAFD9B39F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Folha1!$N$24:$N$33</c:f>
              <c:numCache>
                <c:formatCode>General</c:formatCode>
                <c:ptCount val="10"/>
                <c:pt idx="0">
                  <c:v>18.793730998224191</c:v>
                </c:pt>
                <c:pt idx="1">
                  <c:v>14.032873529409766</c:v>
                </c:pt>
                <c:pt idx="2">
                  <c:v>13.635604442801746</c:v>
                </c:pt>
                <c:pt idx="3">
                  <c:v>7.8788628381348467</c:v>
                </c:pt>
                <c:pt idx="4">
                  <c:v>7.5097722253872323</c:v>
                </c:pt>
                <c:pt idx="5">
                  <c:v>3.9303713718515723</c:v>
                </c:pt>
                <c:pt idx="6">
                  <c:v>1.9852503647637061</c:v>
                </c:pt>
                <c:pt idx="7">
                  <c:v>0.9966078830582854</c:v>
                </c:pt>
                <c:pt idx="8">
                  <c:v>0.99908490394350313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84-4948-8A4A-682BAFD9B3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8073950400522786"/>
              <c:y val="0.83744398107550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Middle Index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Folha1!$R$24:$R$33</c:f>
              <c:numCache>
                <c:formatCode>General</c:formatCode>
                <c:ptCount val="10"/>
                <c:pt idx="0">
                  <c:v>0.56774723539650462</c:v>
                </c:pt>
                <c:pt idx="1">
                  <c:v>0.34526583307770897</c:v>
                </c:pt>
                <c:pt idx="2">
                  <c:v>0.63918974085619851</c:v>
                </c:pt>
                <c:pt idx="3">
                  <c:v>0.41578734662942302</c:v>
                </c:pt>
                <c:pt idx="4">
                  <c:v>0.79708416100019419</c:v>
                </c:pt>
                <c:pt idx="5">
                  <c:v>0.86116950789623825</c:v>
                </c:pt>
                <c:pt idx="6">
                  <c:v>0.8743883984530868</c:v>
                </c:pt>
                <c:pt idx="7">
                  <c:v>0.8423528493157133</c:v>
                </c:pt>
                <c:pt idx="8">
                  <c:v>0.9111746371796271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79-4116-B8D4-4C427FA3076D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Folha1!$L$24:$L$33</c:f>
              <c:numCache>
                <c:formatCode>General</c:formatCode>
                <c:ptCount val="10"/>
                <c:pt idx="0">
                  <c:v>0.61167102149097752</c:v>
                </c:pt>
                <c:pt idx="1">
                  <c:v>0.37035881684611066</c:v>
                </c:pt>
                <c:pt idx="2">
                  <c:v>0.67460184485454511</c:v>
                </c:pt>
                <c:pt idx="3">
                  <c:v>0.42990978337851349</c:v>
                </c:pt>
                <c:pt idx="4">
                  <c:v>0.81272854089645929</c:v>
                </c:pt>
                <c:pt idx="5">
                  <c:v>0.95935395496016029</c:v>
                </c:pt>
                <c:pt idx="6">
                  <c:v>0.98436057702629187</c:v>
                </c:pt>
                <c:pt idx="7">
                  <c:v>0.98227793561043619</c:v>
                </c:pt>
                <c:pt idx="8">
                  <c:v>0.99457728680461621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79-4116-B8D4-4C427FA3076D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Folha1!$O$24:$O$33</c:f>
              <c:numCache>
                <c:formatCode>General</c:formatCode>
                <c:ptCount val="10"/>
                <c:pt idx="0">
                  <c:v>0.19576803123150199</c:v>
                </c:pt>
                <c:pt idx="1">
                  <c:v>0.21589036199091949</c:v>
                </c:pt>
                <c:pt idx="2">
                  <c:v>0.21305631941877728</c:v>
                </c:pt>
                <c:pt idx="3">
                  <c:v>0.23875341933741959</c:v>
                </c:pt>
                <c:pt idx="4">
                  <c:v>0.23468038204335101</c:v>
                </c:pt>
                <c:pt idx="5">
                  <c:v>0.24564821074072327</c:v>
                </c:pt>
                <c:pt idx="6">
                  <c:v>0.24815629559546326</c:v>
                </c:pt>
                <c:pt idx="7">
                  <c:v>0.24915197076457135</c:v>
                </c:pt>
                <c:pt idx="8">
                  <c:v>0.49954245197175157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79-4116-B8D4-4C427FA307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Middle Index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Folha1!$S$24:$S$33</c:f>
              <c:numCache>
                <c:formatCode>General</c:formatCode>
                <c:ptCount val="10"/>
                <c:pt idx="0">
                  <c:v>1614.3299331664991</c:v>
                </c:pt>
                <c:pt idx="1">
                  <c:v>2654.5672023296333</c:v>
                </c:pt>
                <c:pt idx="2">
                  <c:v>1433.8955993652287</c:v>
                </c:pt>
                <c:pt idx="3">
                  <c:v>2204.3271975517255</c:v>
                </c:pt>
                <c:pt idx="4">
                  <c:v>1149.8551864624001</c:v>
                </c:pt>
                <c:pt idx="5">
                  <c:v>1064.2868194580064</c:v>
                </c:pt>
                <c:pt idx="6">
                  <c:v>1048.1970691680881</c:v>
                </c:pt>
                <c:pt idx="7">
                  <c:v>1088.0610866546599</c:v>
                </c:pt>
                <c:pt idx="8">
                  <c:v>1005.87891626358</c:v>
                </c:pt>
                <c:pt idx="9">
                  <c:v>916.53135657310395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1B-4E21-8057-BF24AA791AFC}"/>
            </c:ext>
          </c:extLst>
        </c:ser>
        <c:ser>
          <c:idx val="1"/>
          <c:order val="1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Folha1!$P$24:$P$33</c:f>
              <c:numCache>
                <c:formatCode>General</c:formatCode>
                <c:ptCount val="10"/>
                <c:pt idx="0">
                  <c:v>4279.8634872436505</c:v>
                </c:pt>
                <c:pt idx="1">
                  <c:v>3880.953466892242</c:v>
                </c:pt>
                <c:pt idx="2">
                  <c:v>3932.5773162841792</c:v>
                </c:pt>
                <c:pt idx="3">
                  <c:v>3509.312876701335</c:v>
                </c:pt>
                <c:pt idx="4">
                  <c:v>3570.2193832397438</c:v>
                </c:pt>
                <c:pt idx="5">
                  <c:v>3410.8143768310401</c:v>
                </c:pt>
                <c:pt idx="6">
                  <c:v>3376.3416996002161</c:v>
                </c:pt>
                <c:pt idx="7">
                  <c:v>3362.8489723205562</c:v>
                </c:pt>
                <c:pt idx="8">
                  <c:v>1677.2557477951041</c:v>
                </c:pt>
                <c:pt idx="9">
                  <c:v>837.86044883728005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B1B-4E21-8057-BF24AA791AFC}"/>
            </c:ext>
          </c:extLst>
        </c:ser>
        <c:ser>
          <c:idx val="0"/>
          <c:order val="2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Folha1!$J$24:$J$33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Folha1!$M$24:$M$33</c:f>
              <c:numCache>
                <c:formatCode>General</c:formatCode>
                <c:ptCount val="10"/>
                <c:pt idx="0">
                  <c:v>1492.4039382934561</c:v>
                </c:pt>
                <c:pt idx="1">
                  <c:v>2464.7995400428726</c:v>
                </c:pt>
                <c:pt idx="2">
                  <c:v>1353.1837310790977</c:v>
                </c:pt>
                <c:pt idx="3">
                  <c:v>2123.3762912750221</c:v>
                </c:pt>
                <c:pt idx="4">
                  <c:v>1123.2043609619136</c:v>
                </c:pt>
                <c:pt idx="5">
                  <c:v>951.53643417358398</c:v>
                </c:pt>
                <c:pt idx="6">
                  <c:v>927.36367416381597</c:v>
                </c:pt>
                <c:pt idx="7">
                  <c:v>929.32988548278797</c:v>
                </c:pt>
                <c:pt idx="8">
                  <c:v>917.83741044997998</c:v>
                </c:pt>
                <c:pt idx="9">
                  <c:v>912.860241413116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B1B-4E21-8057-BF24AA791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Stencil SpeedUp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Folha1!$Q$42:$Q$51</c:f>
              <c:numCache>
                <c:formatCode>General</c:formatCode>
                <c:ptCount val="10"/>
                <c:pt idx="0">
                  <c:v>41.893277869891513</c:v>
                </c:pt>
                <c:pt idx="1">
                  <c:v>30.301356855757472</c:v>
                </c:pt>
                <c:pt idx="2">
                  <c:v>29.737888599939129</c:v>
                </c:pt>
                <c:pt idx="3">
                  <c:v>15.664997471235058</c:v>
                </c:pt>
                <c:pt idx="4">
                  <c:v>15.470370019169442</c:v>
                </c:pt>
                <c:pt idx="5">
                  <c:v>14.531599087628649</c:v>
                </c:pt>
                <c:pt idx="6">
                  <c:v>7.422593883986714</c:v>
                </c:pt>
                <c:pt idx="7">
                  <c:v>3.908873370299601</c:v>
                </c:pt>
                <c:pt idx="8">
                  <c:v>1.8867179972015882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D0-4F11-B753-417AABCD0CC6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Folha1!$K$42:$K$51</c:f>
              <c:numCache>
                <c:formatCode>General</c:formatCode>
                <c:ptCount val="10"/>
                <c:pt idx="0">
                  <c:v>40.3223475849897</c:v>
                </c:pt>
                <c:pt idx="1">
                  <c:v>29.002078214692922</c:v>
                </c:pt>
                <c:pt idx="2">
                  <c:v>27.681546770351002</c:v>
                </c:pt>
                <c:pt idx="3">
                  <c:v>15.142134923607978</c:v>
                </c:pt>
                <c:pt idx="4">
                  <c:v>14.948696346089132</c:v>
                </c:pt>
                <c:pt idx="5">
                  <c:v>13.82143584002028</c:v>
                </c:pt>
                <c:pt idx="6">
                  <c:v>7.4222269132878509</c:v>
                </c:pt>
                <c:pt idx="7">
                  <c:v>3.7754713859797819</c:v>
                </c:pt>
                <c:pt idx="8">
                  <c:v>1.9446242680471626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D0-4F11-B753-417AABCD0CC6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Folha1!$N$42:$N$51</c:f>
              <c:numCache>
                <c:formatCode>General</c:formatCode>
                <c:ptCount val="10"/>
                <c:pt idx="0">
                  <c:v>40.337678854689813</c:v>
                </c:pt>
                <c:pt idx="1">
                  <c:v>29.757916086340973</c:v>
                </c:pt>
                <c:pt idx="2">
                  <c:v>29.202894012765707</c:v>
                </c:pt>
                <c:pt idx="3">
                  <c:v>16.061324783484917</c:v>
                </c:pt>
                <c:pt idx="4">
                  <c:v>15.610210889253889</c:v>
                </c:pt>
                <c:pt idx="5">
                  <c:v>14.600283113749033</c:v>
                </c:pt>
                <c:pt idx="6">
                  <c:v>7.6202612723562151</c:v>
                </c:pt>
                <c:pt idx="7">
                  <c:v>3.9257514433890939</c:v>
                </c:pt>
                <c:pt idx="8">
                  <c:v>1.9822245158765581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D0-4F11-B753-417AABCD0C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8073950400522786"/>
              <c:y val="0.8374439810755045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SpeedUp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Stencil Efficiency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Folha1!$R$42:$R$51</c:f>
              <c:numCache>
                <c:formatCode>General</c:formatCode>
                <c:ptCount val="10"/>
                <c:pt idx="0">
                  <c:v>0.43638831114470328</c:v>
                </c:pt>
                <c:pt idx="1">
                  <c:v>0.46617472085780726</c:v>
                </c:pt>
                <c:pt idx="2">
                  <c:v>0.4646545093740489</c:v>
                </c:pt>
                <c:pt idx="3">
                  <c:v>0.474696893067729</c:v>
                </c:pt>
                <c:pt idx="4">
                  <c:v>0.48344906309904506</c:v>
                </c:pt>
                <c:pt idx="5">
                  <c:v>0.90822494297679057</c:v>
                </c:pt>
                <c:pt idx="6">
                  <c:v>0.92782423549833926</c:v>
                </c:pt>
                <c:pt idx="7">
                  <c:v>0.97721834257490026</c:v>
                </c:pt>
                <c:pt idx="8">
                  <c:v>0.94335899860079409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B3-4B32-BB84-DF088E10D49C}"/>
            </c:ext>
          </c:extLst>
        </c:ser>
        <c:ser>
          <c:idx val="0"/>
          <c:order val="1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Folha1!$L$42:$L$51</c:f>
              <c:numCache>
                <c:formatCode>General</c:formatCode>
                <c:ptCount val="10"/>
                <c:pt idx="0">
                  <c:v>0.42002445401030936</c:v>
                </c:pt>
                <c:pt idx="1">
                  <c:v>0.44618581868758339</c:v>
                </c:pt>
                <c:pt idx="2">
                  <c:v>0.4325241682867344</c:v>
                </c:pt>
                <c:pt idx="3">
                  <c:v>0.458852573442666</c:v>
                </c:pt>
                <c:pt idx="4">
                  <c:v>0.46714676081528539</c:v>
                </c:pt>
                <c:pt idx="5">
                  <c:v>0.86383974000126751</c:v>
                </c:pt>
                <c:pt idx="6">
                  <c:v>0.92777836416098136</c:v>
                </c:pt>
                <c:pt idx="7">
                  <c:v>0.94386784649494548</c:v>
                </c:pt>
                <c:pt idx="8">
                  <c:v>0.9723121340235813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9B3-4B32-BB84-DF088E10D49C}"/>
            </c:ext>
          </c:extLst>
        </c:ser>
        <c:ser>
          <c:idx val="1"/>
          <c:order val="2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Folha1!$O$42:$O$51</c:f>
              <c:numCache>
                <c:formatCode>General</c:formatCode>
                <c:ptCount val="10"/>
                <c:pt idx="0">
                  <c:v>0.42018415473635223</c:v>
                </c:pt>
                <c:pt idx="1">
                  <c:v>0.457814093636015</c:v>
                </c:pt>
                <c:pt idx="2">
                  <c:v>0.45629521894946418</c:v>
                </c:pt>
                <c:pt idx="3">
                  <c:v>0.48670681162075508</c:v>
                </c:pt>
                <c:pt idx="4">
                  <c:v>0.48781909028918402</c:v>
                </c:pt>
                <c:pt idx="5">
                  <c:v>0.91251769460931453</c:v>
                </c:pt>
                <c:pt idx="6">
                  <c:v>0.95253265904452689</c:v>
                </c:pt>
                <c:pt idx="7">
                  <c:v>0.98143786084727347</c:v>
                </c:pt>
                <c:pt idx="8">
                  <c:v>0.99111225793827906</c:v>
                </c:pt>
                <c:pt idx="9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B3-4B32-BB84-DF088E10D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Stencil Cost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title>
    <c:autoTitleDeleted val="0"/>
    <c:plotArea>
      <c:layout>
        <c:manualLayout>
          <c:layoutTarget val="inner"/>
          <c:xMode val="edge"/>
          <c:yMode val="edge"/>
          <c:x val="7.213648293963254E-2"/>
          <c:y val="0.17171296296296298"/>
          <c:w val="0.88386351706036748"/>
          <c:h val="0.61498432487605714"/>
        </c:manualLayout>
      </c:layout>
      <c:scatterChart>
        <c:scatterStyle val="lineMarker"/>
        <c:varyColors val="0"/>
        <c:ser>
          <c:idx val="2"/>
          <c:order val="0"/>
          <c:tx>
            <c:v>My extended TorcPy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Folha1!$S$42:$S$51</c:f>
              <c:numCache>
                <c:formatCode>General</c:formatCode>
                <c:ptCount val="10"/>
                <c:pt idx="0">
                  <c:v>2694.4188076800001</c:v>
                </c:pt>
                <c:pt idx="1">
                  <c:v>2522.2579011500002</c:v>
                </c:pt>
                <c:pt idx="2">
                  <c:v>2530.5099795199999</c:v>
                </c:pt>
                <c:pt idx="3">
                  <c:v>2476.9761297600003</c:v>
                </c:pt>
                <c:pt idx="4">
                  <c:v>2432.1339366399998</c:v>
                </c:pt>
                <c:pt idx="5">
                  <c:v>1294.62737408</c:v>
                </c:pt>
                <c:pt idx="6">
                  <c:v>1267.2797584</c:v>
                </c:pt>
                <c:pt idx="7">
                  <c:v>1203.2243172000001</c:v>
                </c:pt>
                <c:pt idx="8">
                  <c:v>1246.4108306000001</c:v>
                </c:pt>
                <c:pt idx="9">
                  <c:v>1175.8128730000001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653-49FE-9019-F16E55531564}"/>
            </c:ext>
          </c:extLst>
        </c:ser>
        <c:ser>
          <c:idx val="1"/>
          <c:order val="1"/>
          <c:tx>
            <c:v>TorcPy Map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Folha1!$P$42:$P$51</c:f>
              <c:numCache>
                <c:formatCode>General</c:formatCode>
                <c:ptCount val="10"/>
                <c:pt idx="0">
                  <c:v>2742.0056611200002</c:v>
                </c:pt>
                <c:pt idx="1">
                  <c:v>2516.6270479999998</c:v>
                </c:pt>
                <c:pt idx="2">
                  <c:v>2525.0041708799999</c:v>
                </c:pt>
                <c:pt idx="3">
                  <c:v>2367.2307506100001</c:v>
                </c:pt>
                <c:pt idx="4">
                  <c:v>2361.8332163199998</c:v>
                </c:pt>
                <c:pt idx="5">
                  <c:v>1262.60272848</c:v>
                </c:pt>
                <c:pt idx="6">
                  <c:v>1209.5620240000001</c:v>
                </c:pt>
                <c:pt idx="7">
                  <c:v>1173.938134</c:v>
                </c:pt>
                <c:pt idx="8">
                  <c:v>1162.4791458</c:v>
                </c:pt>
                <c:pt idx="9">
                  <c:v>1152.1473309999999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653-49FE-9019-F16E55531564}"/>
            </c:ext>
          </c:extLst>
        </c:ser>
        <c:ser>
          <c:idx val="0"/>
          <c:order val="2"/>
          <c:tx>
            <c:v>No TorcPy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Folha1!$J$42:$J$51</c:f>
              <c:numCache>
                <c:formatCode>General</c:formatCode>
                <c:ptCount val="10"/>
                <c:pt idx="0">
                  <c:v>96</c:v>
                </c:pt>
                <c:pt idx="1">
                  <c:v>65</c:v>
                </c:pt>
                <c:pt idx="2">
                  <c:v>64</c:v>
                </c:pt>
                <c:pt idx="3">
                  <c:v>33</c:v>
                </c:pt>
                <c:pt idx="4">
                  <c:v>32</c:v>
                </c:pt>
                <c:pt idx="5">
                  <c:v>16</c:v>
                </c:pt>
                <c:pt idx="6">
                  <c:v>8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xVal>
          <c:yVal>
            <c:numRef>
              <c:f>Folha1!$M$42:$M$51</c:f>
              <c:numCache>
                <c:formatCode>General</c:formatCode>
                <c:ptCount val="10"/>
                <c:pt idx="0">
                  <c:v>2705.91507744</c:v>
                </c:pt>
                <c:pt idx="1">
                  <c:v>2547.2582394999999</c:v>
                </c:pt>
                <c:pt idx="2">
                  <c:v>2627.7155968000002</c:v>
                </c:pt>
                <c:pt idx="3">
                  <c:v>2476.9404570900001</c:v>
                </c:pt>
                <c:pt idx="4">
                  <c:v>2432.9623971199999</c:v>
                </c:pt>
                <c:pt idx="5">
                  <c:v>1315.6960144</c:v>
                </c:pt>
                <c:pt idx="6">
                  <c:v>1225.0237199999999</c:v>
                </c:pt>
                <c:pt idx="7">
                  <c:v>1204.141562</c:v>
                </c:pt>
                <c:pt idx="8">
                  <c:v>1168.9152724</c:v>
                </c:pt>
                <c:pt idx="9">
                  <c:v>1136.5505029999999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653-49FE-9019-F16E55531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421488"/>
        <c:axId val="88418608"/>
      </c:scatterChart>
      <c:valAx>
        <c:axId val="88421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Threads</a:t>
                </a:r>
              </a:p>
            </c:rich>
          </c:tx>
          <c:layout>
            <c:manualLayout>
              <c:xMode val="edge"/>
              <c:yMode val="edge"/>
              <c:x val="0.47441293632530762"/>
              <c:y val="0.83674126008762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18608"/>
        <c:crosses val="autoZero"/>
        <c:crossBetween val="midCat"/>
      </c:valAx>
      <c:valAx>
        <c:axId val="88418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LID4096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LID4096"/>
          </a:p>
        </c:txPr>
        <c:crossAx val="884214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LID4096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LID4096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561975</xdr:colOff>
      <xdr:row>59</xdr:row>
      <xdr:rowOff>42861</xdr:rowOff>
    </xdr:from>
    <xdr:to>
      <xdr:col>6</xdr:col>
      <xdr:colOff>1314449</xdr:colOff>
      <xdr:row>75</xdr:row>
      <xdr:rowOff>95250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B1168B-EEF2-6A83-D73E-11255E1000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476248</xdr:colOff>
      <xdr:row>59</xdr:row>
      <xdr:rowOff>104774</xdr:rowOff>
    </xdr:from>
    <xdr:to>
      <xdr:col>15</xdr:col>
      <xdr:colOff>371474</xdr:colOff>
      <xdr:row>75</xdr:row>
      <xdr:rowOff>152400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88BC86A2-3D29-4C20-BFE7-9F06DACB3F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447675</xdr:colOff>
      <xdr:row>59</xdr:row>
      <xdr:rowOff>142875</xdr:rowOff>
    </xdr:from>
    <xdr:to>
      <xdr:col>26</xdr:col>
      <xdr:colOff>523876</xdr:colOff>
      <xdr:row>76</xdr:row>
      <xdr:rowOff>1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086F96B-9C66-4FFD-9304-907EE6B873A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</xdr:col>
      <xdr:colOff>76200</xdr:colOff>
      <xdr:row>78</xdr:row>
      <xdr:rowOff>176213</xdr:rowOff>
    </xdr:from>
    <xdr:to>
      <xdr:col>6</xdr:col>
      <xdr:colOff>819150</xdr:colOff>
      <xdr:row>95</xdr:row>
      <xdr:rowOff>28575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8E7C8816-583C-4654-9E15-C2BFA931E9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523874</xdr:colOff>
      <xdr:row>79</xdr:row>
      <xdr:rowOff>0</xdr:rowOff>
    </xdr:from>
    <xdr:to>
      <xdr:col>15</xdr:col>
      <xdr:colOff>419100</xdr:colOff>
      <xdr:row>95</xdr:row>
      <xdr:rowOff>47626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6B37F43A-5DDF-43F8-825A-6A6F9FEED1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438151</xdr:colOff>
      <xdr:row>79</xdr:row>
      <xdr:rowOff>1</xdr:rowOff>
    </xdr:from>
    <xdr:to>
      <xdr:col>26</xdr:col>
      <xdr:colOff>514352</xdr:colOff>
      <xdr:row>95</xdr:row>
      <xdr:rowOff>47627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A70428E8-F11A-4E02-910F-59A552CB6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85726</xdr:colOff>
      <xdr:row>98</xdr:row>
      <xdr:rowOff>100013</xdr:rowOff>
    </xdr:from>
    <xdr:to>
      <xdr:col>6</xdr:col>
      <xdr:colOff>828675</xdr:colOff>
      <xdr:row>114</xdr:row>
      <xdr:rowOff>104775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8A85AD6A-505E-4045-A618-A3687594EE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523874</xdr:colOff>
      <xdr:row>98</xdr:row>
      <xdr:rowOff>0</xdr:rowOff>
    </xdr:from>
    <xdr:to>
      <xdr:col>15</xdr:col>
      <xdr:colOff>419100</xdr:colOff>
      <xdr:row>114</xdr:row>
      <xdr:rowOff>47626</xdr:rowOff>
    </xdr:to>
    <xdr:graphicFrame macro="">
      <xdr:nvGraphicFramePr>
        <xdr:cNvPr id="12" name="Gráfico 11">
          <a:extLst>
            <a:ext uri="{FF2B5EF4-FFF2-40B4-BE49-F238E27FC236}">
              <a16:creationId xmlns:a16="http://schemas.microsoft.com/office/drawing/2014/main" id="{A647FCEE-5F2A-4ADE-83BD-7B5D9B7F61B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16</xdr:col>
      <xdr:colOff>438151</xdr:colOff>
      <xdr:row>98</xdr:row>
      <xdr:rowOff>1</xdr:rowOff>
    </xdr:from>
    <xdr:to>
      <xdr:col>26</xdr:col>
      <xdr:colOff>514352</xdr:colOff>
      <xdr:row>114</xdr:row>
      <xdr:rowOff>47627</xdr:rowOff>
    </xdr:to>
    <xdr:graphicFrame macro="">
      <xdr:nvGraphicFramePr>
        <xdr:cNvPr id="13" name="Gráfico 12">
          <a:extLst>
            <a:ext uri="{FF2B5EF4-FFF2-40B4-BE49-F238E27FC236}">
              <a16:creationId xmlns:a16="http://schemas.microsoft.com/office/drawing/2014/main" id="{D6DD5C72-86C5-412C-91BA-734837DE47E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17355C-ACE8-404D-A030-86E9D188E3E9}" name="Tabela3" displayName="Tabela3" ref="C8:H19" totalsRowCount="1" headerRowDxfId="41" dataDxfId="40">
  <autoFilter ref="C8:H18" xr:uid="{4017355C-ACE8-404D-A030-86E9D188E3E9}"/>
  <tableColumns count="6">
    <tableColumn id="1" xr3:uid="{C98AF479-E221-4A14-B9BE-E7053BAA2634}" name="THREADS" dataDxfId="39" totalsRowDxfId="38"/>
    <tableColumn id="2" xr3:uid="{208B8228-56D3-4A48-9160-A2535670BD90}" name="NO_TORCPY" dataDxfId="37" totalsRowDxfId="36"/>
    <tableColumn id="3" xr3:uid="{61F68BFC-B467-47E2-A2C8-0E2199B59AB1}" name="WITH_TORCPY_MAP" dataDxfId="35" totalsRowDxfId="34"/>
    <tableColumn id="4" xr3:uid="{595497DF-D8FC-4682-B02C-B2415D8B2188}" name="WITH_TORCPY_MINE" dataDxfId="33" totalsRowDxfId="32"/>
    <tableColumn id="5" xr3:uid="{501D5899-B2F9-4108-B1C4-A071ECD87B58}" name="% FASTER NO_TORCPY" dataDxfId="31" totalsRowDxfId="30">
      <calculatedColumnFormula>100 - (D9*100/F9)</calculatedColumnFormula>
    </tableColumn>
    <tableColumn id="6" xr3:uid="{57B518AE-7406-429F-9B76-C5A7CE4DDB54}" name="% FASTER TORC_MAP" dataDxfId="29" totalsRowDxfId="28">
      <calculatedColumnFormula>100 - (E9*100/F9)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7D8E00-0183-45B4-8B95-DB3E6BD88ACE}" name="Tabela33" displayName="Tabela33" ref="C23:H34" totalsRowCount="1" headerRowDxfId="27" dataDxfId="26">
  <autoFilter ref="C23:H33" xr:uid="{267D8E00-0183-45B4-8B95-DB3E6BD88ACE}"/>
  <tableColumns count="6">
    <tableColumn id="1" xr3:uid="{7BC9BE73-34AA-44B8-98E5-EB8775B1093D}" name="THREADS" dataDxfId="25" totalsRowDxfId="24"/>
    <tableColumn id="2" xr3:uid="{3B191EA7-49F8-4C72-AA5C-C3D7BE96919E}" name="NO_TORCPY" dataDxfId="23" totalsRowDxfId="22"/>
    <tableColumn id="3" xr3:uid="{4E00C22E-8E2F-4BD5-A368-74D302F963C0}" name="WITH_TORCPY_MAP" dataDxfId="21" totalsRowDxfId="20"/>
    <tableColumn id="4" xr3:uid="{F7078830-C246-4828-A4CA-68768101B0FE}" name="WITH_TORCPY_MINE" dataDxfId="19" totalsRowDxfId="18"/>
    <tableColumn id="5" xr3:uid="{D1DD9F50-83AC-421D-A7BD-E20E8D9A0611}" name="% FASTER NO_TORCPY" dataDxfId="17" totalsRowDxfId="16">
      <calculatedColumnFormula>100 - (D24*100/F24)</calculatedColumnFormula>
    </tableColumn>
    <tableColumn id="6" xr3:uid="{D9E37E4F-7CDC-4FDC-9291-42693CAD1CD5}" name="% SLOWER TORC_MAP" dataDxfId="15" totalsRowDxfId="14">
      <calculatedColumnFormula>(E24*100/F24) - 100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76447E-83EC-481B-BAB7-FC31903A21E7}" name="Tabela332" displayName="Tabela332" ref="C41:H52" totalsRowCount="1" headerRowDxfId="13" dataDxfId="12">
  <autoFilter ref="C41:H51" xr:uid="{3676447E-83EC-481B-BAB7-FC31903A21E7}"/>
  <tableColumns count="6">
    <tableColumn id="1" xr3:uid="{547AC1A3-2A11-4C9B-B162-7377C62A83AA}" name="THREADS" dataDxfId="11" totalsRowDxfId="10"/>
    <tableColumn id="2" xr3:uid="{829B1D67-909C-47B5-BDFB-6BCABB018C83}" name="NO_TORCPY" dataDxfId="9" totalsRowDxfId="8"/>
    <tableColumn id="3" xr3:uid="{77F01A88-0E90-4311-A77A-9CFB20F91830}" name="WITH_TORCPY_MAP" dataDxfId="7" totalsRowDxfId="6"/>
    <tableColumn id="4" xr3:uid="{907655F2-A1EC-4098-AD88-83A40E44C685}" name="WITH_TORCPY_MINE" dataDxfId="5" totalsRowDxfId="4"/>
    <tableColumn id="5" xr3:uid="{CD390048-0FDB-44C7-8D50-5BC3B37B5032}" name="% FASTER NO_TORCPY" totalsRowFunction="custom" dataDxfId="3" totalsRowDxfId="2">
      <calculatedColumnFormula>100 - (D42*100/F42)</calculatedColumnFormula>
      <totalsRowFormula array="1">SUM(Tabela332[% FASTER NO_TORCPY]/10)</totalsRowFormula>
    </tableColumn>
    <tableColumn id="6" xr3:uid="{5588AC35-A2AA-4678-A606-34333CE63B29}" name="% FASTER TORC_MAP" totalsRowFunction="custom" dataDxfId="1" totalsRowDxfId="0">
      <calculatedColumnFormula>100 - (E42*100/F42)</calculatedColumnFormula>
      <totalsRowFormula array="1">SUM(Tabela332[% FASTER TORC_MAP]/10)</totalsRow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78862-5946-4DF0-A9D6-D2FEDB594540}">
  <dimension ref="C5:S52"/>
  <sheetViews>
    <sheetView tabSelected="1" topLeftCell="A84" workbookViewId="0">
      <selection activeCell="G82" sqref="G82"/>
    </sheetView>
  </sheetViews>
  <sheetFormatPr defaultRowHeight="15" x14ac:dyDescent="0.25"/>
  <cols>
    <col min="3" max="3" width="18.85546875" bestFit="1" customWidth="1"/>
    <col min="4" max="4" width="15" bestFit="1" customWidth="1"/>
    <col min="5" max="5" width="21.7109375" bestFit="1" customWidth="1"/>
    <col min="6" max="6" width="25.5703125" bestFit="1" customWidth="1"/>
    <col min="7" max="7" width="24.42578125" bestFit="1" customWidth="1"/>
    <col min="8" max="8" width="30.140625" bestFit="1" customWidth="1"/>
  </cols>
  <sheetData>
    <row r="5" spans="3:19" ht="15.75" thickBot="1" x14ac:dyDescent="0.3"/>
    <row r="6" spans="3:19" ht="15.75" thickBot="1" x14ac:dyDescent="0.3">
      <c r="J6" s="25" t="s">
        <v>3</v>
      </c>
      <c r="K6" s="26"/>
      <c r="L6" s="26"/>
      <c r="M6" s="26"/>
      <c r="N6" s="26"/>
      <c r="O6" s="26"/>
      <c r="P6" s="26"/>
      <c r="Q6" s="26"/>
      <c r="R6" s="26"/>
      <c r="S6" s="27"/>
    </row>
    <row r="7" spans="3:19" ht="15.75" thickBot="1" x14ac:dyDescent="0.3">
      <c r="C7" s="38" t="s">
        <v>3</v>
      </c>
      <c r="D7" s="38"/>
      <c r="E7" s="38"/>
      <c r="F7" s="38"/>
      <c r="G7" s="38"/>
      <c r="H7" s="38"/>
      <c r="J7" s="28" t="s">
        <v>0</v>
      </c>
      <c r="K7" s="30" t="s">
        <v>1</v>
      </c>
      <c r="L7" s="31"/>
      <c r="M7" s="32"/>
      <c r="N7" s="33" t="s">
        <v>5</v>
      </c>
      <c r="O7" s="31"/>
      <c r="P7" s="34"/>
      <c r="Q7" s="35" t="s">
        <v>6</v>
      </c>
      <c r="R7" s="36"/>
      <c r="S7" s="37"/>
    </row>
    <row r="8" spans="3:19" ht="15.75" thickBot="1" x14ac:dyDescent="0.3">
      <c r="C8" s="1" t="s">
        <v>0</v>
      </c>
      <c r="D8" s="1" t="s">
        <v>1</v>
      </c>
      <c r="E8" s="1" t="s">
        <v>5</v>
      </c>
      <c r="F8" s="1" t="s">
        <v>6</v>
      </c>
      <c r="G8" s="1" t="s">
        <v>2</v>
      </c>
      <c r="H8" s="1" t="s">
        <v>8</v>
      </c>
      <c r="J8" s="29"/>
      <c r="K8" s="18" t="s">
        <v>10</v>
      </c>
      <c r="L8" s="19" t="s">
        <v>11</v>
      </c>
      <c r="M8" s="20" t="s">
        <v>12</v>
      </c>
      <c r="N8" s="18" t="s">
        <v>10</v>
      </c>
      <c r="O8" s="19" t="s">
        <v>11</v>
      </c>
      <c r="P8" s="20" t="s">
        <v>12</v>
      </c>
      <c r="Q8" s="18" t="s">
        <v>10</v>
      </c>
      <c r="R8" s="19" t="s">
        <v>11</v>
      </c>
      <c r="S8" s="20" t="s">
        <v>12</v>
      </c>
    </row>
    <row r="9" spans="3:19" x14ac:dyDescent="0.25">
      <c r="C9" s="1">
        <v>96</v>
      </c>
      <c r="D9" s="1">
        <v>27.396934270858701</v>
      </c>
      <c r="E9" s="1">
        <v>27.295876502990701</v>
      </c>
      <c r="F9" s="1">
        <v>30.293061017990102</v>
      </c>
      <c r="G9" s="1">
        <f t="shared" ref="G9:G18" si="0">100 - (D9*100/F9)</f>
        <v>9.5603634951630738</v>
      </c>
      <c r="H9" s="1">
        <f t="shared" ref="H9:H18" si="1">100 - (E9*100/F9)</f>
        <v>9.8939638791189424</v>
      </c>
      <c r="J9" s="17">
        <v>96</v>
      </c>
      <c r="K9" s="14">
        <f>D18/Tabela3[[#This Row],[NO_TORCPY]]</f>
        <v>66.257705195350468</v>
      </c>
      <c r="L9" s="15">
        <f>K9/J9</f>
        <v>0.69018442911823408</v>
      </c>
      <c r="M9" s="21">
        <f>Tabela3[[#This Row],[THREADS]]*Tabela3[[#This Row],[NO_TORCPY]]</f>
        <v>2630.105690002435</v>
      </c>
      <c r="N9" s="14">
        <f>E18/Tabela3[[#This Row],[WITH_TORCPY_MAP]]</f>
        <v>61.235605954705377</v>
      </c>
      <c r="O9" s="15">
        <f>N9/J9</f>
        <v>0.63787089536151431</v>
      </c>
      <c r="P9" s="21">
        <f>Tabela3[[#This Row],[THREADS]]*Tabela3[[#This Row],[WITH_TORCPY_MAP]]</f>
        <v>2620.4041442871076</v>
      </c>
      <c r="Q9" s="14">
        <f>F18/Tabela3[[#This Row],[WITH_TORCPY_MINE]]</f>
        <v>60.071627697667971</v>
      </c>
      <c r="R9" s="15">
        <f>Q9/J9</f>
        <v>0.62574612185070799</v>
      </c>
      <c r="S9" s="16">
        <f>Tabela3[[#This Row],[THREADS]]*Tabela3[[#This Row],[WITH_TORCPY_MINE]]</f>
        <v>2908.1338577270499</v>
      </c>
    </row>
    <row r="10" spans="3:19" x14ac:dyDescent="0.25">
      <c r="C10" s="1">
        <v>65</v>
      </c>
      <c r="D10" s="1">
        <v>34.446809530258101</v>
      </c>
      <c r="E10" s="1">
        <v>34.262843132019</v>
      </c>
      <c r="F10" s="1">
        <v>42.791819334030102</v>
      </c>
      <c r="G10" s="1">
        <f t="shared" si="0"/>
        <v>19.501413900239683</v>
      </c>
      <c r="H10" s="1">
        <f t="shared" si="1"/>
        <v>19.931324105279273</v>
      </c>
      <c r="J10" s="9">
        <v>65</v>
      </c>
      <c r="K10" s="5">
        <f>D18/Tabela3[[#This Row],[NO_TORCPY]]</f>
        <v>52.69742013641136</v>
      </c>
      <c r="L10" s="3">
        <f t="shared" ref="L10:L18" si="2">K10/J10</f>
        <v>0.81072954056017477</v>
      </c>
      <c r="M10" s="22">
        <f>Tabela3[[#This Row],[THREADS]]*Tabela3[[#This Row],[NO_TORCPY]]</f>
        <v>2239.0426194667766</v>
      </c>
      <c r="N10" s="5">
        <f>E18/Tabela3[[#This Row],[WITH_TORCPY_MAP]]</f>
        <v>48.784029138650908</v>
      </c>
      <c r="O10" s="3">
        <f t="shared" ref="O10:O18" si="3">N10/J10</f>
        <v>0.75052352521001398</v>
      </c>
      <c r="P10" s="22">
        <f>Tabela3[[#This Row],[THREADS]]*Tabela3[[#This Row],[WITH_TORCPY_MAP]]</f>
        <v>2227.0848035812351</v>
      </c>
      <c r="Q10" s="5">
        <f>F18/Tabela3[[#This Row],[WITH_TORCPY_MINE]]</f>
        <v>42.525732993275305</v>
      </c>
      <c r="R10" s="3">
        <f t="shared" ref="R10:R18" si="4">Q10/J10</f>
        <v>0.65424204605038927</v>
      </c>
      <c r="S10" s="12">
        <f>Tabela3[[#This Row],[THREADS]]*Tabela3[[#This Row],[WITH_TORCPY_MINE]]</f>
        <v>2781.4682567119567</v>
      </c>
    </row>
    <row r="11" spans="3:19" x14ac:dyDescent="0.25">
      <c r="C11" s="1">
        <v>64</v>
      </c>
      <c r="D11" s="1">
        <v>38.857717514038001</v>
      </c>
      <c r="E11" s="1">
        <v>35.8278260231018</v>
      </c>
      <c r="F11" s="1">
        <v>40.373659610748199</v>
      </c>
      <c r="G11" s="1">
        <f t="shared" si="0"/>
        <v>3.7547800009356251</v>
      </c>
      <c r="H11" s="1">
        <f t="shared" si="1"/>
        <v>11.259404352921763</v>
      </c>
      <c r="J11" s="8">
        <v>64</v>
      </c>
      <c r="K11" s="4">
        <f>D18/Tabela3[[#This Row],[NO_TORCPY]]</f>
        <v>46.715507505533687</v>
      </c>
      <c r="L11" s="2">
        <f t="shared" si="2"/>
        <v>0.72992980477396385</v>
      </c>
      <c r="M11" s="23">
        <f>Tabela3[[#This Row],[THREADS]]*Tabela3[[#This Row],[NO_TORCPY]]</f>
        <v>2486.893920898432</v>
      </c>
      <c r="N11" s="4">
        <f>E18/Tabela3[[#This Row],[WITH_TORCPY_MAP]]</f>
        <v>46.653110815254855</v>
      </c>
      <c r="O11" s="2">
        <f t="shared" si="3"/>
        <v>0.72895485648835712</v>
      </c>
      <c r="P11" s="23">
        <f>Tabela3[[#This Row],[THREADS]]*Tabela3[[#This Row],[WITH_TORCPY_MAP]]</f>
        <v>2292.9808654785152</v>
      </c>
      <c r="Q11" s="4">
        <f>F18/Tabela3[[#This Row],[WITH_TORCPY_MINE]]</f>
        <v>45.07279005272509</v>
      </c>
      <c r="R11" s="2">
        <f t="shared" si="4"/>
        <v>0.70426234457382952</v>
      </c>
      <c r="S11" s="11">
        <f>Tabela3[[#This Row],[THREADS]]*Tabela3[[#This Row],[WITH_TORCPY_MINE]]</f>
        <v>2583.9142150878847</v>
      </c>
    </row>
    <row r="12" spans="3:19" x14ac:dyDescent="0.25">
      <c r="C12" s="1">
        <v>33</v>
      </c>
      <c r="D12" s="1">
        <v>63.603114843368502</v>
      </c>
      <c r="E12" s="1">
        <v>57.589754819869903</v>
      </c>
      <c r="F12" s="1">
        <v>72.228102445602403</v>
      </c>
      <c r="G12" s="1">
        <f t="shared" si="0"/>
        <v>11.941318282215278</v>
      </c>
      <c r="H12" s="1">
        <f t="shared" si="1"/>
        <v>20.266831233393077</v>
      </c>
      <c r="J12" s="9">
        <v>33</v>
      </c>
      <c r="K12" s="5">
        <f>D18/Tabela3[[#This Row],[NO_TORCPY]]</f>
        <v>28.540394580442715</v>
      </c>
      <c r="L12" s="3">
        <f t="shared" si="2"/>
        <v>0.86486044183159738</v>
      </c>
      <c r="M12" s="22">
        <f>Tabela3[[#This Row],[THREADS]]*Tabela3[[#This Row],[NO_TORCPY]]</f>
        <v>2098.9027898311606</v>
      </c>
      <c r="N12" s="5">
        <f>E18/Tabela3[[#This Row],[WITH_TORCPY_MAP]]</f>
        <v>29.023904389826257</v>
      </c>
      <c r="O12" s="3">
        <f t="shared" si="3"/>
        <v>0.87951225423715929</v>
      </c>
      <c r="P12" s="22">
        <f>Tabela3[[#This Row],[THREADS]]*Tabela3[[#This Row],[WITH_TORCPY_MAP]]</f>
        <v>1900.4619090557069</v>
      </c>
      <c r="Q12" s="5">
        <f>F18/Tabela3[[#This Row],[WITH_TORCPY_MINE]]</f>
        <v>25.194535391068346</v>
      </c>
      <c r="R12" s="3">
        <f t="shared" si="4"/>
        <v>0.76347076942631353</v>
      </c>
      <c r="S12" s="12">
        <f>Tabela3[[#This Row],[THREADS]]*Tabela3[[#This Row],[WITH_TORCPY_MINE]]</f>
        <v>2383.5273807048793</v>
      </c>
    </row>
    <row r="13" spans="3:19" x14ac:dyDescent="0.25">
      <c r="C13" s="1">
        <v>32</v>
      </c>
      <c r="D13" s="1">
        <v>66.673421621322603</v>
      </c>
      <c r="E13" s="1">
        <v>59.205733776092501</v>
      </c>
      <c r="F13" s="1">
        <v>67.881360769271794</v>
      </c>
      <c r="G13" s="1">
        <f t="shared" si="0"/>
        <v>1.779485759065679</v>
      </c>
      <c r="H13" s="1">
        <f t="shared" si="1"/>
        <v>12.780573186603732</v>
      </c>
      <c r="J13" s="8">
        <v>32</v>
      </c>
      <c r="K13" s="4">
        <f>D18/Tabela3[[#This Row],[NO_TORCPY]]</f>
        <v>27.226111245420444</v>
      </c>
      <c r="L13" s="2">
        <f t="shared" si="2"/>
        <v>0.85081597641938889</v>
      </c>
      <c r="M13" s="23">
        <f>Tabela3[[#This Row],[THREADS]]*Tabela3[[#This Row],[NO_TORCPY]]</f>
        <v>2133.5494918823233</v>
      </c>
      <c r="N13" s="4">
        <f>E18/Tabela3[[#This Row],[WITH_TORCPY_MAP]]</f>
        <v>28.231717286821123</v>
      </c>
      <c r="O13" s="2">
        <f t="shared" si="3"/>
        <v>0.88224116521316009</v>
      </c>
      <c r="P13" s="23">
        <f>Tabela3[[#This Row],[THREADS]]*Tabela3[[#This Row],[WITH_TORCPY_MAP]]</f>
        <v>1894.58348083496</v>
      </c>
      <c r="Q13" s="4">
        <f>F18/Tabela3[[#This Row],[WITH_TORCPY_MINE]]</f>
        <v>26.807852150765918</v>
      </c>
      <c r="R13" s="2">
        <f t="shared" si="4"/>
        <v>0.83774537971143492</v>
      </c>
      <c r="S13" s="11">
        <f>Tabela3[[#This Row],[THREADS]]*Tabela3[[#This Row],[WITH_TORCPY_MINE]]</f>
        <v>2172.2035446166974</v>
      </c>
    </row>
    <row r="14" spans="3:19" x14ac:dyDescent="0.25">
      <c r="C14" s="1">
        <v>16</v>
      </c>
      <c r="D14" s="1">
        <v>116.017572402954</v>
      </c>
      <c r="E14" s="1">
        <v>108.75547337531999</v>
      </c>
      <c r="F14" s="1">
        <v>139.03375196456901</v>
      </c>
      <c r="G14" s="1">
        <f t="shared" si="0"/>
        <v>16.55438282891221</v>
      </c>
      <c r="H14" s="1">
        <f t="shared" si="1"/>
        <v>21.77764619123927</v>
      </c>
      <c r="J14" s="9">
        <v>16</v>
      </c>
      <c r="K14" s="5">
        <f>D18/Tabela3[[#This Row],[NO_TORCPY]]</f>
        <v>15.646405596819147</v>
      </c>
      <c r="L14" s="3">
        <f t="shared" si="2"/>
        <v>0.97790034980119667</v>
      </c>
      <c r="M14" s="22">
        <f>Tabela3[[#This Row],[THREADS]]*Tabela3[[#This Row],[NO_TORCPY]]</f>
        <v>1856.281158447264</v>
      </c>
      <c r="N14" s="5">
        <f>E18/Tabela3[[#This Row],[WITH_TORCPY_MAP]]</f>
        <v>15.369153255920182</v>
      </c>
      <c r="O14" s="3">
        <f t="shared" si="3"/>
        <v>0.96057207849501136</v>
      </c>
      <c r="P14" s="22">
        <f>Tabela3[[#This Row],[THREADS]]*Tabela3[[#This Row],[WITH_TORCPY_MAP]]</f>
        <v>1740.0875740051199</v>
      </c>
      <c r="Q14" s="5">
        <f>F18/Tabela3[[#This Row],[WITH_TORCPY_MINE]]</f>
        <v>13.088573512417195</v>
      </c>
      <c r="R14" s="3">
        <f t="shared" si="4"/>
        <v>0.8180358445260747</v>
      </c>
      <c r="S14" s="12">
        <f>Tabela3[[#This Row],[THREADS]]*Tabela3[[#This Row],[WITH_TORCPY_MINE]]</f>
        <v>2224.5400314331041</v>
      </c>
    </row>
    <row r="15" spans="3:19" x14ac:dyDescent="0.25">
      <c r="C15" s="1">
        <v>8</v>
      </c>
      <c r="D15" s="1">
        <v>229.08750271797101</v>
      </c>
      <c r="E15" s="1">
        <v>213.36735510826099</v>
      </c>
      <c r="F15" s="1">
        <v>264.735267162323</v>
      </c>
      <c r="G15" s="1">
        <f t="shared" si="0"/>
        <v>13.465438445907736</v>
      </c>
      <c r="H15" s="1">
        <f t="shared" si="1"/>
        <v>19.403501696117303</v>
      </c>
      <c r="J15" s="8">
        <v>8</v>
      </c>
      <c r="K15" s="4">
        <f>D18/Tabela3[[#This Row],[NO_TORCPY]]</f>
        <v>7.9238630332869322</v>
      </c>
      <c r="L15" s="2">
        <f t="shared" si="2"/>
        <v>0.99048287916086653</v>
      </c>
      <c r="M15" s="23">
        <f>Tabela3[[#This Row],[THREADS]]*Tabela3[[#This Row],[NO_TORCPY]]</f>
        <v>1832.700021743768</v>
      </c>
      <c r="N15" s="4">
        <f>E18/Tabela3[[#This Row],[WITH_TORCPY_MAP]]</f>
        <v>7.8338110198598274</v>
      </c>
      <c r="O15" s="2">
        <f t="shared" si="3"/>
        <v>0.97922637748247843</v>
      </c>
      <c r="P15" s="23">
        <f>Tabela3[[#This Row],[THREADS]]*Tabela3[[#This Row],[WITH_TORCPY_MAP]]</f>
        <v>1706.938840866088</v>
      </c>
      <c r="Q15" s="4">
        <f>F18/Tabela3[[#This Row],[WITH_TORCPY_MINE]]</f>
        <v>6.8738612078444925</v>
      </c>
      <c r="R15" s="2">
        <f t="shared" si="4"/>
        <v>0.85923265098056156</v>
      </c>
      <c r="S15" s="11">
        <f>Tabela3[[#This Row],[THREADS]]*Tabela3[[#This Row],[WITH_TORCPY_MINE]]</f>
        <v>2117.882137298584</v>
      </c>
    </row>
    <row r="16" spans="3:19" x14ac:dyDescent="0.25">
      <c r="C16" s="1">
        <v>4</v>
      </c>
      <c r="D16" s="1">
        <v>455.053920269012</v>
      </c>
      <c r="E16" s="1">
        <v>422.91416358947703</v>
      </c>
      <c r="F16" s="1">
        <v>528.11886239051796</v>
      </c>
      <c r="G16" s="1">
        <f t="shared" si="0"/>
        <v>13.834942723079266</v>
      </c>
      <c r="H16" s="1">
        <f t="shared" si="1"/>
        <v>19.920647849015324</v>
      </c>
      <c r="J16" s="9">
        <v>4</v>
      </c>
      <c r="K16" s="5">
        <f>D18/Tabela3[[#This Row],[NO_TORCPY]]</f>
        <v>3.989105275923857</v>
      </c>
      <c r="L16" s="3">
        <f t="shared" si="2"/>
        <v>0.99727631898096425</v>
      </c>
      <c r="M16" s="22">
        <f>Tabela3[[#This Row],[THREADS]]*Tabela3[[#This Row],[NO_TORCPY]]</f>
        <v>1820.215681076048</v>
      </c>
      <c r="N16" s="5">
        <f>E18/Tabela3[[#This Row],[WITH_TORCPY_MAP]]</f>
        <v>3.9522902792821712</v>
      </c>
      <c r="O16" s="3">
        <f t="shared" si="3"/>
        <v>0.98807256982054281</v>
      </c>
      <c r="P16" s="22">
        <f>Tabela3[[#This Row],[THREADS]]*Tabela3[[#This Row],[WITH_TORCPY_MAP]]</f>
        <v>1691.6566543579081</v>
      </c>
      <c r="Q16" s="5">
        <f>F18/Tabela3[[#This Row],[WITH_TORCPY_MINE]]</f>
        <v>3.4457271135107113</v>
      </c>
      <c r="R16" s="3">
        <f t="shared" si="4"/>
        <v>0.86143177837767781</v>
      </c>
      <c r="S16" s="12">
        <f>Tabela3[[#This Row],[THREADS]]*Tabela3[[#This Row],[WITH_TORCPY_MINE]]</f>
        <v>2112.4754495620718</v>
      </c>
    </row>
    <row r="17" spans="3:19" x14ac:dyDescent="0.25">
      <c r="C17" s="1">
        <v>2</v>
      </c>
      <c r="D17" s="1">
        <v>908.74222230911198</v>
      </c>
      <c r="E17" s="1">
        <v>840.98867583274796</v>
      </c>
      <c r="F17" s="1">
        <v>1001.4141502380299</v>
      </c>
      <c r="G17" s="1">
        <f t="shared" si="0"/>
        <v>9.2541060965526043</v>
      </c>
      <c r="H17" s="1">
        <f t="shared" si="1"/>
        <v>16.019892905163147</v>
      </c>
      <c r="J17" s="8">
        <v>2</v>
      </c>
      <c r="K17" s="4">
        <f>D18/Tabela3[[#This Row],[NO_TORCPY]]</f>
        <v>1.9975499647880159</v>
      </c>
      <c r="L17" s="2">
        <f t="shared" si="2"/>
        <v>0.99877498239400797</v>
      </c>
      <c r="M17" s="23">
        <f>Tabela3[[#This Row],[THREADS]]*Tabela3[[#This Row],[NO_TORCPY]]</f>
        <v>1817.484444618224</v>
      </c>
      <c r="N17" s="4">
        <f>E18/Tabela3[[#This Row],[WITH_TORCPY_MAP]]</f>
        <v>1.9875172945347201</v>
      </c>
      <c r="O17" s="2">
        <f t="shared" si="3"/>
        <v>0.99375864726736007</v>
      </c>
      <c r="P17" s="23">
        <f>Tabela3[[#This Row],[THREADS]]*Tabela3[[#This Row],[WITH_TORCPY_MAP]]</f>
        <v>1681.9773516654959</v>
      </c>
      <c r="Q17" s="4">
        <f>F18/Tabela3[[#This Row],[WITH_TORCPY_MINE]]</f>
        <v>1.8171837125158417</v>
      </c>
      <c r="R17" s="2">
        <f t="shared" si="4"/>
        <v>0.90859185625792083</v>
      </c>
      <c r="S17" s="11">
        <f>Tabela3[[#This Row],[THREADS]]*Tabela3[[#This Row],[WITH_TORCPY_MINE]]</f>
        <v>2002.8283004760599</v>
      </c>
    </row>
    <row r="18" spans="3:19" ht="15.75" thickBot="1" x14ac:dyDescent="0.3">
      <c r="C18" s="1">
        <v>1</v>
      </c>
      <c r="D18" s="1">
        <v>1815.25799417495</v>
      </c>
      <c r="E18" s="1">
        <v>1671.47953772544</v>
      </c>
      <c r="F18" s="1">
        <v>1819.75348329544</v>
      </c>
      <c r="G18" s="1">
        <f t="shared" si="0"/>
        <v>0.24703835776421101</v>
      </c>
      <c r="H18" s="1">
        <f t="shared" si="1"/>
        <v>8.1480237258008685</v>
      </c>
      <c r="J18" s="10">
        <v>1</v>
      </c>
      <c r="K18" s="6">
        <f>D18/Tabela3[[#This Row],[NO_TORCPY]]</f>
        <v>1</v>
      </c>
      <c r="L18" s="7">
        <f t="shared" si="2"/>
        <v>1</v>
      </c>
      <c r="M18" s="24">
        <f>Tabela3[[#This Row],[THREADS]]*Tabela3[[#This Row],[NO_TORCPY]]</f>
        <v>1815.25799417495</v>
      </c>
      <c r="N18" s="6">
        <f>Tabela3[[#This Row],[WITH_TORCPY_MAP]]/Tabela3[[#This Row],[WITH_TORCPY_MAP]]</f>
        <v>1</v>
      </c>
      <c r="O18" s="7">
        <f t="shared" si="3"/>
        <v>1</v>
      </c>
      <c r="P18" s="24">
        <f>Tabela3[[#This Row],[THREADS]]*Tabela3[[#This Row],[WITH_TORCPY_MAP]]</f>
        <v>1671.47953772544</v>
      </c>
      <c r="Q18" s="6">
        <f>Tabela3[[#This Row],[WITH_TORCPY_MINE]]/Tabela3[[#This Row],[WITH_TORCPY_MINE]]</f>
        <v>1</v>
      </c>
      <c r="R18" s="7">
        <f t="shared" si="4"/>
        <v>1</v>
      </c>
      <c r="S18" s="13">
        <f>Tabela3[[#This Row],[THREADS]]*Tabela3[[#This Row],[WITH_TORCPY_MINE]]</f>
        <v>1819.75348329544</v>
      </c>
    </row>
    <row r="19" spans="3:19" x14ac:dyDescent="0.25">
      <c r="C19" s="1"/>
      <c r="D19" s="1"/>
      <c r="E19" s="1"/>
      <c r="F19" s="1"/>
      <c r="G19" s="1"/>
      <c r="H19" s="1"/>
    </row>
    <row r="20" spans="3:19" ht="15.75" thickBot="1" x14ac:dyDescent="0.3"/>
    <row r="21" spans="3:19" ht="15.75" thickBot="1" x14ac:dyDescent="0.3">
      <c r="J21" s="25" t="s">
        <v>4</v>
      </c>
      <c r="K21" s="26"/>
      <c r="L21" s="26"/>
      <c r="M21" s="26"/>
      <c r="N21" s="26"/>
      <c r="O21" s="26"/>
      <c r="P21" s="26"/>
      <c r="Q21" s="26"/>
      <c r="R21" s="26"/>
      <c r="S21" s="27"/>
    </row>
    <row r="22" spans="3:19" ht="15.75" thickBot="1" x14ac:dyDescent="0.3">
      <c r="C22" s="38" t="s">
        <v>4</v>
      </c>
      <c r="D22" s="38"/>
      <c r="E22" s="38"/>
      <c r="F22" s="38"/>
      <c r="G22" s="38"/>
      <c r="H22" s="38"/>
      <c r="J22" s="28" t="s">
        <v>0</v>
      </c>
      <c r="K22" s="30" t="s">
        <v>1</v>
      </c>
      <c r="L22" s="31"/>
      <c r="M22" s="32"/>
      <c r="N22" s="33" t="s">
        <v>5</v>
      </c>
      <c r="O22" s="31"/>
      <c r="P22" s="34"/>
      <c r="Q22" s="35" t="s">
        <v>6</v>
      </c>
      <c r="R22" s="36"/>
      <c r="S22" s="37"/>
    </row>
    <row r="23" spans="3:19" ht="15.75" thickBot="1" x14ac:dyDescent="0.3">
      <c r="C23" s="1" t="s">
        <v>0</v>
      </c>
      <c r="D23" s="1" t="s">
        <v>1</v>
      </c>
      <c r="E23" s="1" t="s">
        <v>5</v>
      </c>
      <c r="F23" s="1" t="s">
        <v>6</v>
      </c>
      <c r="G23" s="1" t="s">
        <v>2</v>
      </c>
      <c r="H23" s="1" t="s">
        <v>7</v>
      </c>
      <c r="J23" s="29"/>
      <c r="K23" s="18" t="s">
        <v>10</v>
      </c>
      <c r="L23" s="19" t="s">
        <v>11</v>
      </c>
      <c r="M23" s="20" t="s">
        <v>12</v>
      </c>
      <c r="N23" s="18" t="s">
        <v>10</v>
      </c>
      <c r="O23" s="19" t="s">
        <v>11</v>
      </c>
      <c r="P23" s="20" t="s">
        <v>12</v>
      </c>
      <c r="Q23" s="18" t="s">
        <v>10</v>
      </c>
      <c r="R23" s="19" t="s">
        <v>11</v>
      </c>
      <c r="S23" s="20" t="s">
        <v>12</v>
      </c>
    </row>
    <row r="24" spans="3:19" x14ac:dyDescent="0.25">
      <c r="C24" s="1">
        <v>96</v>
      </c>
      <c r="D24" s="1">
        <v>15.5458743572235</v>
      </c>
      <c r="E24" s="1">
        <v>44.581911325454698</v>
      </c>
      <c r="F24" s="1">
        <v>16.815936803817699</v>
      </c>
      <c r="G24" s="1">
        <f>100 - (D24*100/F24)</f>
        <v>7.5527308493800973</v>
      </c>
      <c r="H24" s="1">
        <f t="shared" ref="H24:H33" si="5">(E24*100/F24) - 100</f>
        <v>165.11702467467245</v>
      </c>
      <c r="J24" s="17">
        <v>96</v>
      </c>
      <c r="K24" s="14">
        <f>D33/Tabela33[[#This Row],[NO_TORCPY]]</f>
        <v>58.720418063133842</v>
      </c>
      <c r="L24" s="15">
        <f>K24/J24</f>
        <v>0.61167102149097752</v>
      </c>
      <c r="M24" s="21">
        <f>Tabela33[[#This Row],[THREADS]]*Tabela33[[#This Row],[NO_TORCPY]]</f>
        <v>1492.4039382934561</v>
      </c>
      <c r="N24" s="14">
        <f>E33/Tabela33[[#This Row],[WITH_TORCPY_MAP]]</f>
        <v>18.793730998224191</v>
      </c>
      <c r="O24" s="15">
        <f>N24/J24</f>
        <v>0.19576803123150199</v>
      </c>
      <c r="P24" s="21">
        <f>Tabela33[[#This Row],[THREADS]]*Tabela33[[#This Row],[WITH_TORCPY_MAP]]</f>
        <v>4279.8634872436505</v>
      </c>
      <c r="Q24" s="14">
        <f>F33/Tabela33[[#This Row],[WITH_TORCPY_MINE]]</f>
        <v>54.50373459806444</v>
      </c>
      <c r="R24" s="15">
        <f>Q24/J24</f>
        <v>0.56774723539650462</v>
      </c>
      <c r="S24" s="16">
        <f>Tabela33[[#This Row],[THREADS]]*Tabela33[[#This Row],[WITH_TORCPY_MINE]]</f>
        <v>1614.3299331664991</v>
      </c>
    </row>
    <row r="25" spans="3:19" x14ac:dyDescent="0.25">
      <c r="C25" s="1">
        <v>65</v>
      </c>
      <c r="D25" s="1">
        <v>37.919992923736501</v>
      </c>
      <c r="E25" s="1">
        <v>59.7069764137268</v>
      </c>
      <c r="F25" s="1">
        <v>40.839495420455897</v>
      </c>
      <c r="G25" s="1">
        <f t="shared" ref="G25:G33" si="6">100 - (D25*100/F25)</f>
        <v>7.1487232314262741</v>
      </c>
      <c r="H25" s="1">
        <f t="shared" si="5"/>
        <v>46.199104075660188</v>
      </c>
      <c r="J25" s="9">
        <v>65</v>
      </c>
      <c r="K25" s="5">
        <f>D33/Tabela33[[#This Row],[NO_TORCPY]]</f>
        <v>24.073323094997193</v>
      </c>
      <c r="L25" s="3">
        <f t="shared" ref="L25:L33" si="7">K25/J25</f>
        <v>0.37035881684611066</v>
      </c>
      <c r="M25" s="22">
        <f>Tabela33[[#This Row],[THREADS]]*Tabela33[[#This Row],[NO_TORCPY]]</f>
        <v>2464.7995400428726</v>
      </c>
      <c r="N25" s="5">
        <f>E33/Tabela33[[#This Row],[WITH_TORCPY_MAP]]</f>
        <v>14.032873529409766</v>
      </c>
      <c r="O25" s="3">
        <f t="shared" ref="O25:O33" si="8">N25/J25</f>
        <v>0.21589036199091949</v>
      </c>
      <c r="P25" s="22">
        <f>Tabela33[[#This Row],[THREADS]]*Tabela33[[#This Row],[WITH_TORCPY_MAP]]</f>
        <v>3880.953466892242</v>
      </c>
      <c r="Q25" s="5">
        <f>F33/Tabela33[[#This Row],[WITH_TORCPY_MINE]]</f>
        <v>22.442279150051082</v>
      </c>
      <c r="R25" s="3">
        <f t="shared" ref="R25:R33" si="9">Q25/J25</f>
        <v>0.34526583307770897</v>
      </c>
      <c r="S25" s="12">
        <f>Tabela33[[#This Row],[THREADS]]*Tabela33[[#This Row],[WITH_TORCPY_MINE]]</f>
        <v>2654.5672023296333</v>
      </c>
    </row>
    <row r="26" spans="3:19" x14ac:dyDescent="0.25">
      <c r="C26" s="1">
        <v>64</v>
      </c>
      <c r="D26" s="1">
        <v>21.143495798110902</v>
      </c>
      <c r="E26" s="1">
        <v>61.446520566940301</v>
      </c>
      <c r="F26" s="1">
        <v>22.404618740081698</v>
      </c>
      <c r="G26" s="1">
        <f t="shared" si="6"/>
        <v>5.6288524995725737</v>
      </c>
      <c r="H26" s="1">
        <f t="shared" si="5"/>
        <v>174.25827361664909</v>
      </c>
      <c r="J26" s="8">
        <v>64</v>
      </c>
      <c r="K26" s="4">
        <f>D33/Tabela33[[#This Row],[NO_TORCPY]]</f>
        <v>43.174518070690887</v>
      </c>
      <c r="L26" s="2">
        <f t="shared" si="7"/>
        <v>0.67460184485454511</v>
      </c>
      <c r="M26" s="23">
        <f>Tabela33[[#This Row],[THREADS]]*Tabela33[[#This Row],[NO_TORCPY]]</f>
        <v>1353.1837310790977</v>
      </c>
      <c r="N26" s="4">
        <f>E33/Tabela33[[#This Row],[WITH_TORCPY_MAP]]</f>
        <v>13.635604442801746</v>
      </c>
      <c r="O26" s="2">
        <f t="shared" si="8"/>
        <v>0.21305631941877728</v>
      </c>
      <c r="P26" s="23">
        <f>Tabela33[[#This Row],[THREADS]]*Tabela33[[#This Row],[WITH_TORCPY_MAP]]</f>
        <v>3932.5773162841792</v>
      </c>
      <c r="Q26" s="4">
        <f>F33/Tabela33[[#This Row],[WITH_TORCPY_MINE]]</f>
        <v>40.908143414796704</v>
      </c>
      <c r="R26" s="2">
        <f t="shared" si="9"/>
        <v>0.63918974085619851</v>
      </c>
      <c r="S26" s="11">
        <f>Tabela33[[#This Row],[THREADS]]*Tabela33[[#This Row],[WITH_TORCPY_MINE]]</f>
        <v>1433.8955993652287</v>
      </c>
    </row>
    <row r="27" spans="3:19" x14ac:dyDescent="0.25">
      <c r="C27" s="1">
        <v>33</v>
      </c>
      <c r="D27" s="1">
        <v>64.344736099243093</v>
      </c>
      <c r="E27" s="1">
        <v>106.34281444549499</v>
      </c>
      <c r="F27" s="1">
        <v>66.797793865203801</v>
      </c>
      <c r="G27" s="1">
        <f t="shared" si="6"/>
        <v>3.6723634479769203</v>
      </c>
      <c r="H27" s="1">
        <f t="shared" si="5"/>
        <v>59.201087778575442</v>
      </c>
      <c r="J27" s="9">
        <v>33</v>
      </c>
      <c r="K27" s="5">
        <f>D33/Tabela33[[#This Row],[NO_TORCPY]]</f>
        <v>14.187022851490944</v>
      </c>
      <c r="L27" s="3">
        <f t="shared" si="7"/>
        <v>0.42990978337851349</v>
      </c>
      <c r="M27" s="22">
        <f>Tabela33[[#This Row],[THREADS]]*Tabela33[[#This Row],[NO_TORCPY]]</f>
        <v>2123.3762912750221</v>
      </c>
      <c r="N27" s="5">
        <f>E33/Tabela33[[#This Row],[WITH_TORCPY_MAP]]</f>
        <v>7.8788628381348467</v>
      </c>
      <c r="O27" s="3">
        <f t="shared" si="8"/>
        <v>0.23875341933741959</v>
      </c>
      <c r="P27" s="22">
        <f>Tabela33[[#This Row],[THREADS]]*Tabela33[[#This Row],[WITH_TORCPY_MAP]]</f>
        <v>3509.312876701335</v>
      </c>
      <c r="Q27" s="5">
        <f>F33/Tabela33[[#This Row],[WITH_TORCPY_MINE]]</f>
        <v>13.72098243877096</v>
      </c>
      <c r="R27" s="3">
        <f t="shared" si="9"/>
        <v>0.41578734662942302</v>
      </c>
      <c r="S27" s="12">
        <f>Tabela33[[#This Row],[THREADS]]*Tabela33[[#This Row],[WITH_TORCPY_MINE]]</f>
        <v>2204.3271975517255</v>
      </c>
    </row>
    <row r="28" spans="3:19" x14ac:dyDescent="0.25">
      <c r="C28" s="1">
        <v>32</v>
      </c>
      <c r="D28" s="1">
        <v>35.1001362800598</v>
      </c>
      <c r="E28" s="1">
        <v>111.56935572624199</v>
      </c>
      <c r="F28" s="1">
        <v>35.932974576950002</v>
      </c>
      <c r="G28" s="1">
        <f t="shared" si="6"/>
        <v>2.3177549498628025</v>
      </c>
      <c r="H28" s="1">
        <f t="shared" si="5"/>
        <v>210.49295818056379</v>
      </c>
      <c r="J28" s="8">
        <v>32</v>
      </c>
      <c r="K28" s="4">
        <f>D33/Tabela33[[#This Row],[NO_TORCPY]]</f>
        <v>26.007313308686697</v>
      </c>
      <c r="L28" s="2">
        <f t="shared" si="7"/>
        <v>0.81272854089645929</v>
      </c>
      <c r="M28" s="23">
        <f>Tabela33[[#This Row],[THREADS]]*Tabela33[[#This Row],[NO_TORCPY]]</f>
        <v>1123.2043609619136</v>
      </c>
      <c r="N28" s="4">
        <f>E33/Tabela33[[#This Row],[WITH_TORCPY_MAP]]</f>
        <v>7.5097722253872323</v>
      </c>
      <c r="O28" s="2">
        <f t="shared" si="8"/>
        <v>0.23468038204335101</v>
      </c>
      <c r="P28" s="23">
        <f>Tabela33[[#This Row],[THREADS]]*Tabela33[[#This Row],[WITH_TORCPY_MAP]]</f>
        <v>3570.2193832397438</v>
      </c>
      <c r="Q28" s="4">
        <f>F33/Tabela33[[#This Row],[WITH_TORCPY_MINE]]</f>
        <v>25.506693152006214</v>
      </c>
      <c r="R28" s="2">
        <f t="shared" si="9"/>
        <v>0.79708416100019419</v>
      </c>
      <c r="S28" s="11">
        <f>Tabela33[[#This Row],[THREADS]]*Tabela33[[#This Row],[WITH_TORCPY_MINE]]</f>
        <v>1149.8551864624001</v>
      </c>
    </row>
    <row r="29" spans="3:19" x14ac:dyDescent="0.25">
      <c r="C29" s="1">
        <v>16</v>
      </c>
      <c r="D29" s="1">
        <v>59.471027135848999</v>
      </c>
      <c r="E29" s="1">
        <v>213.17589855194001</v>
      </c>
      <c r="F29" s="1">
        <v>66.517926216125403</v>
      </c>
      <c r="G29" s="1">
        <f t="shared" si="6"/>
        <v>10.59398493179134</v>
      </c>
      <c r="H29" s="1">
        <f t="shared" si="5"/>
        <v>220.47887040149715</v>
      </c>
      <c r="J29" s="9">
        <v>16</v>
      </c>
      <c r="K29" s="5">
        <f>D33/Tabela33[[#This Row],[NO_TORCPY]]</f>
        <v>15.349663279362565</v>
      </c>
      <c r="L29" s="3">
        <f t="shared" si="7"/>
        <v>0.95935395496016029</v>
      </c>
      <c r="M29" s="22">
        <f>Tabela33[[#This Row],[THREADS]]*Tabela33[[#This Row],[NO_TORCPY]]</f>
        <v>951.53643417358398</v>
      </c>
      <c r="N29" s="5">
        <f>E33/Tabela33[[#This Row],[WITH_TORCPY_MAP]]</f>
        <v>3.9303713718515723</v>
      </c>
      <c r="O29" s="3">
        <f t="shared" si="8"/>
        <v>0.24564821074072327</v>
      </c>
      <c r="P29" s="22">
        <f>Tabela33[[#This Row],[THREADS]]*Tabela33[[#This Row],[WITH_TORCPY_MAP]]</f>
        <v>3410.8143768310401</v>
      </c>
      <c r="Q29" s="5">
        <f>F33/Tabela33[[#This Row],[WITH_TORCPY_MINE]]</f>
        <v>13.778712126339812</v>
      </c>
      <c r="R29" s="3">
        <f t="shared" si="9"/>
        <v>0.86116950789623825</v>
      </c>
      <c r="S29" s="12">
        <f>Tabela33[[#This Row],[THREADS]]*Tabela33[[#This Row],[WITH_TORCPY_MINE]]</f>
        <v>1064.2868194580064</v>
      </c>
    </row>
    <row r="30" spans="3:19" x14ac:dyDescent="0.25">
      <c r="C30" s="1">
        <v>8</v>
      </c>
      <c r="D30" s="1">
        <v>115.920459270477</v>
      </c>
      <c r="E30" s="1">
        <v>422.04271245002701</v>
      </c>
      <c r="F30" s="1">
        <v>131.02463364601101</v>
      </c>
      <c r="G30" s="1">
        <f t="shared" si="6"/>
        <v>11.527736392181737</v>
      </c>
      <c r="H30" s="1">
        <f t="shared" si="5"/>
        <v>222.10943904659865</v>
      </c>
      <c r="J30" s="8">
        <v>8</v>
      </c>
      <c r="K30" s="4">
        <f>D33/Tabela33[[#This Row],[NO_TORCPY]]</f>
        <v>7.874884616210335</v>
      </c>
      <c r="L30" s="2">
        <f t="shared" si="7"/>
        <v>0.98436057702629187</v>
      </c>
      <c r="M30" s="23">
        <f>Tabela33[[#This Row],[THREADS]]*Tabela33[[#This Row],[NO_TORCPY]]</f>
        <v>927.36367416381597</v>
      </c>
      <c r="N30" s="4">
        <f>E33/Tabela33[[#This Row],[WITH_TORCPY_MAP]]</f>
        <v>1.9852503647637061</v>
      </c>
      <c r="O30" s="2">
        <f t="shared" si="8"/>
        <v>0.24815629559546326</v>
      </c>
      <c r="P30" s="23">
        <f>Tabela33[[#This Row],[THREADS]]*Tabela33[[#This Row],[WITH_TORCPY_MAP]]</f>
        <v>3376.3416996002161</v>
      </c>
      <c r="Q30" s="4">
        <f>F33/Tabela33[[#This Row],[WITH_TORCPY_MINE]]</f>
        <v>6.9951071876246944</v>
      </c>
      <c r="R30" s="2">
        <f t="shared" si="9"/>
        <v>0.8743883984530868</v>
      </c>
      <c r="S30" s="11">
        <f>Tabela33[[#This Row],[THREADS]]*Tabela33[[#This Row],[WITH_TORCPY_MINE]]</f>
        <v>1048.1970691680881</v>
      </c>
    </row>
    <row r="31" spans="3:19" x14ac:dyDescent="0.25">
      <c r="C31" s="1">
        <v>4</v>
      </c>
      <c r="D31" s="1">
        <v>232.33247137069699</v>
      </c>
      <c r="E31" s="1">
        <v>840.71224308013905</v>
      </c>
      <c r="F31" s="1">
        <v>272.01527166366498</v>
      </c>
      <c r="G31" s="1">
        <f t="shared" si="6"/>
        <v>14.588445733309428</v>
      </c>
      <c r="H31" s="1">
        <f t="shared" si="5"/>
        <v>209.06803060662088</v>
      </c>
      <c r="J31" s="9">
        <v>4</v>
      </c>
      <c r="K31" s="5">
        <f>D33/Tabela33[[#This Row],[NO_TORCPY]]</f>
        <v>3.9291117424417448</v>
      </c>
      <c r="L31" s="3">
        <f t="shared" si="7"/>
        <v>0.98227793561043619</v>
      </c>
      <c r="M31" s="22">
        <f>Tabela33[[#This Row],[THREADS]]*Tabela33[[#This Row],[NO_TORCPY]]</f>
        <v>929.32988548278797</v>
      </c>
      <c r="N31" s="5">
        <f>E33/Tabela33[[#This Row],[WITH_TORCPY_MAP]]</f>
        <v>0.9966078830582854</v>
      </c>
      <c r="O31" s="3">
        <f t="shared" si="8"/>
        <v>0.24915197076457135</v>
      </c>
      <c r="P31" s="22">
        <f>Tabela33[[#This Row],[THREADS]]*Tabela33[[#This Row],[WITH_TORCPY_MAP]]</f>
        <v>3362.8489723205562</v>
      </c>
      <c r="Q31" s="5">
        <f>F33/Tabela33[[#This Row],[WITH_TORCPY_MINE]]</f>
        <v>3.3694113972628532</v>
      </c>
      <c r="R31" s="3">
        <f t="shared" si="9"/>
        <v>0.8423528493157133</v>
      </c>
      <c r="S31" s="12">
        <f>Tabela33[[#This Row],[THREADS]]*Tabela33[[#This Row],[WITH_TORCPY_MINE]]</f>
        <v>1088.0610866546599</v>
      </c>
    </row>
    <row r="32" spans="3:19" x14ac:dyDescent="0.25">
      <c r="C32" s="1">
        <v>2</v>
      </c>
      <c r="D32" s="1">
        <v>458.91870522498999</v>
      </c>
      <c r="E32" s="1">
        <v>838.62787389755204</v>
      </c>
      <c r="F32" s="1">
        <v>502.93945813178999</v>
      </c>
      <c r="G32" s="1">
        <f t="shared" si="6"/>
        <v>8.7526942249309201</v>
      </c>
      <c r="H32" s="1">
        <f t="shared" si="5"/>
        <v>66.745293163655191</v>
      </c>
      <c r="J32" s="8">
        <v>2</v>
      </c>
      <c r="K32" s="4">
        <f>D33/Tabela33[[#This Row],[NO_TORCPY]]</f>
        <v>1.9891545736092324</v>
      </c>
      <c r="L32" s="2">
        <f t="shared" si="7"/>
        <v>0.99457728680461621</v>
      </c>
      <c r="M32" s="23">
        <f>Tabela33[[#This Row],[THREADS]]*Tabela33[[#This Row],[NO_TORCPY]]</f>
        <v>917.83741044997998</v>
      </c>
      <c r="N32" s="4">
        <f>E33/Tabela33[[#This Row],[WITH_TORCPY_MAP]]</f>
        <v>0.99908490394350313</v>
      </c>
      <c r="O32" s="2">
        <f t="shared" si="8"/>
        <v>0.49954245197175157</v>
      </c>
      <c r="P32" s="23">
        <f>Tabela33[[#This Row],[THREADS]]*Tabela33[[#This Row],[WITH_TORCPY_MAP]]</f>
        <v>1677.2557477951041</v>
      </c>
      <c r="Q32" s="4">
        <f>F33/Tabela33[[#This Row],[WITH_TORCPY_MINE]]</f>
        <v>1.8223492743592542</v>
      </c>
      <c r="R32" s="2">
        <f t="shared" si="9"/>
        <v>0.9111746371796271</v>
      </c>
      <c r="S32" s="11">
        <f>Tabela33[[#This Row],[THREADS]]*Tabela33[[#This Row],[WITH_TORCPY_MINE]]</f>
        <v>1005.87891626358</v>
      </c>
    </row>
    <row r="33" spans="3:19" ht="15.75" thickBot="1" x14ac:dyDescent="0.3">
      <c r="C33" s="1">
        <v>1</v>
      </c>
      <c r="D33" s="1">
        <v>912.860241413116</v>
      </c>
      <c r="E33" s="1">
        <v>837.86044883728005</v>
      </c>
      <c r="F33" s="1">
        <v>916.53135657310395</v>
      </c>
      <c r="G33" s="1">
        <f t="shared" si="6"/>
        <v>0.40054441494660864</v>
      </c>
      <c r="H33" s="1">
        <f t="shared" si="5"/>
        <v>-8.5835478700885091</v>
      </c>
      <c r="J33" s="10">
        <v>1</v>
      </c>
      <c r="K33" s="6">
        <f>D33/Tabela33[[#This Row],[NO_TORCPY]]</f>
        <v>1</v>
      </c>
      <c r="L33" s="7">
        <f t="shared" si="7"/>
        <v>1</v>
      </c>
      <c r="M33" s="24">
        <f>Tabela33[[#This Row],[THREADS]]*Tabela33[[#This Row],[NO_TORCPY]]</f>
        <v>912.860241413116</v>
      </c>
      <c r="N33" s="6">
        <f>Tabela33[[#This Row],[WITH_TORCPY_MAP]]/Tabela33[[#This Row],[WITH_TORCPY_MAP]]</f>
        <v>1</v>
      </c>
      <c r="O33" s="7">
        <f t="shared" si="8"/>
        <v>1</v>
      </c>
      <c r="P33" s="24">
        <f>Tabela33[[#This Row],[THREADS]]*Tabela33[[#This Row],[WITH_TORCPY_MAP]]</f>
        <v>837.86044883728005</v>
      </c>
      <c r="Q33" s="6">
        <f>Tabela33[[#This Row],[WITH_TORCPY_MINE]]/Tabela33[[#This Row],[WITH_TORCPY_MINE]]</f>
        <v>1</v>
      </c>
      <c r="R33" s="7">
        <f t="shared" si="9"/>
        <v>1</v>
      </c>
      <c r="S33" s="13">
        <f>Tabela33[[#This Row],[THREADS]]*Tabela33[[#This Row],[WITH_TORCPY_MINE]]</f>
        <v>916.53135657310395</v>
      </c>
    </row>
    <row r="34" spans="3:19" x14ac:dyDescent="0.25">
      <c r="C34" s="1"/>
      <c r="D34" s="1"/>
      <c r="E34" s="1"/>
      <c r="F34" s="1"/>
      <c r="G34" s="1"/>
      <c r="H34" s="1"/>
    </row>
    <row r="37" spans="3:19" x14ac:dyDescent="0.25">
      <c r="E37" s="39" t="s">
        <v>9</v>
      </c>
      <c r="F37" s="39"/>
      <c r="G37" s="39"/>
    </row>
    <row r="38" spans="3:19" ht="15.75" thickBot="1" x14ac:dyDescent="0.3"/>
    <row r="39" spans="3:19" ht="15.75" thickBot="1" x14ac:dyDescent="0.3">
      <c r="J39" s="25" t="s">
        <v>9</v>
      </c>
      <c r="K39" s="26"/>
      <c r="L39" s="26"/>
      <c r="M39" s="26"/>
      <c r="N39" s="26"/>
      <c r="O39" s="26"/>
      <c r="P39" s="26"/>
      <c r="Q39" s="26"/>
      <c r="R39" s="26"/>
      <c r="S39" s="27"/>
    </row>
    <row r="40" spans="3:19" ht="15.75" thickBot="1" x14ac:dyDescent="0.3">
      <c r="C40" s="38"/>
      <c r="D40" s="38"/>
      <c r="E40" s="38"/>
      <c r="F40" s="38"/>
      <c r="G40" s="38"/>
      <c r="H40" s="38"/>
      <c r="J40" s="28" t="s">
        <v>0</v>
      </c>
      <c r="K40" s="30" t="s">
        <v>1</v>
      </c>
      <c r="L40" s="31"/>
      <c r="M40" s="32"/>
      <c r="N40" s="33" t="s">
        <v>5</v>
      </c>
      <c r="O40" s="31"/>
      <c r="P40" s="34"/>
      <c r="Q40" s="35" t="s">
        <v>6</v>
      </c>
      <c r="R40" s="36"/>
      <c r="S40" s="37"/>
    </row>
    <row r="41" spans="3:19" ht="15.75" thickBot="1" x14ac:dyDescent="0.3">
      <c r="C41" s="1" t="s">
        <v>0</v>
      </c>
      <c r="D41" s="1" t="s">
        <v>1</v>
      </c>
      <c r="E41" s="1" t="s">
        <v>5</v>
      </c>
      <c r="F41" s="1" t="s">
        <v>6</v>
      </c>
      <c r="G41" s="1" t="s">
        <v>2</v>
      </c>
      <c r="H41" s="1" t="s">
        <v>8</v>
      </c>
      <c r="J41" s="29"/>
      <c r="K41" s="18" t="s">
        <v>10</v>
      </c>
      <c r="L41" s="19" t="s">
        <v>11</v>
      </c>
      <c r="M41" s="20" t="s">
        <v>12</v>
      </c>
      <c r="N41" s="18" t="s">
        <v>10</v>
      </c>
      <c r="O41" s="19" t="s">
        <v>11</v>
      </c>
      <c r="P41" s="20" t="s">
        <v>12</v>
      </c>
      <c r="Q41" s="18" t="s">
        <v>10</v>
      </c>
      <c r="R41" s="19" t="s">
        <v>11</v>
      </c>
      <c r="S41" s="20" t="s">
        <v>12</v>
      </c>
    </row>
    <row r="42" spans="3:19" x14ac:dyDescent="0.25">
      <c r="C42" s="1">
        <v>96</v>
      </c>
      <c r="D42" s="1">
        <v>28.18661539</v>
      </c>
      <c r="E42" s="1">
        <v>28.562558970000001</v>
      </c>
      <c r="F42" s="1">
        <v>28.066862579999999</v>
      </c>
      <c r="G42" s="1">
        <f t="shared" ref="G42:G51" si="10">100 - (D42*100/F42)</f>
        <v>-0.42666974143855896</v>
      </c>
      <c r="H42" s="1">
        <f t="shared" ref="H42:H51" si="11">100 - (E42*100/F42)</f>
        <v>-1.7661268287009335</v>
      </c>
      <c r="J42" s="17">
        <v>96</v>
      </c>
      <c r="K42" s="14">
        <f>D51/Tabela332[[#This Row],[NO_TORCPY]]</f>
        <v>40.3223475849897</v>
      </c>
      <c r="L42" s="15">
        <f>K42/J42</f>
        <v>0.42002445401030936</v>
      </c>
      <c r="M42" s="21">
        <f>Tabela332[[#This Row],[THREADS]]*Tabela332[[#This Row],[NO_TORCPY]]</f>
        <v>2705.91507744</v>
      </c>
      <c r="N42" s="14">
        <f>E51/Tabela332[[#This Row],[WITH_TORCPY_MAP]]</f>
        <v>40.337678854689813</v>
      </c>
      <c r="O42" s="15">
        <f>N42/J42</f>
        <v>0.42018415473635223</v>
      </c>
      <c r="P42" s="21">
        <f>Tabela332[[#This Row],[THREADS]]*Tabela332[[#This Row],[WITH_TORCPY_MAP]]</f>
        <v>2742.0056611200002</v>
      </c>
      <c r="Q42" s="14">
        <f>F51/Tabela332[[#This Row],[WITH_TORCPY_MINE]]</f>
        <v>41.893277869891513</v>
      </c>
      <c r="R42" s="15">
        <f>Q42/J42</f>
        <v>0.43638831114470328</v>
      </c>
      <c r="S42" s="16">
        <f>Tabela332[[#This Row],[THREADS]]*Tabela332[[#This Row],[WITH_TORCPY_MINE]]</f>
        <v>2694.4188076800001</v>
      </c>
    </row>
    <row r="43" spans="3:19" x14ac:dyDescent="0.25">
      <c r="C43" s="1">
        <v>65</v>
      </c>
      <c r="D43" s="1">
        <v>39.188588299999999</v>
      </c>
      <c r="E43" s="1">
        <v>38.717339199999998</v>
      </c>
      <c r="F43" s="1">
        <v>38.803967710000002</v>
      </c>
      <c r="G43" s="1">
        <f t="shared" si="10"/>
        <v>-0.99118882088153271</v>
      </c>
      <c r="H43" s="1">
        <f t="shared" si="11"/>
        <v>0.22324652635374775</v>
      </c>
      <c r="J43" s="9">
        <v>65</v>
      </c>
      <c r="K43" s="5">
        <f>D51/Tabela332[[#This Row],[NO_TORCPY]]</f>
        <v>29.002078214692922</v>
      </c>
      <c r="L43" s="3">
        <f t="shared" ref="L43:L51" si="12">K43/J43</f>
        <v>0.44618581868758339</v>
      </c>
      <c r="M43" s="22">
        <f>Tabela332[[#This Row],[THREADS]]*Tabela332[[#This Row],[NO_TORCPY]]</f>
        <v>2547.2582394999999</v>
      </c>
      <c r="N43" s="5">
        <f>E51/Tabela332[[#This Row],[WITH_TORCPY_MAP]]</f>
        <v>29.757916086340973</v>
      </c>
      <c r="O43" s="3">
        <f t="shared" ref="O43:O51" si="13">N43/J43</f>
        <v>0.457814093636015</v>
      </c>
      <c r="P43" s="22">
        <f>Tabela332[[#This Row],[THREADS]]*Tabela332[[#This Row],[WITH_TORCPY_MAP]]</f>
        <v>2516.6270479999998</v>
      </c>
      <c r="Q43" s="5">
        <f>F51/Tabela332[[#This Row],[WITH_TORCPY_MINE]]</f>
        <v>30.301356855757472</v>
      </c>
      <c r="R43" s="3">
        <f t="shared" ref="R43:R51" si="14">Q43/J43</f>
        <v>0.46617472085780726</v>
      </c>
      <c r="S43" s="12">
        <f>Tabela332[[#This Row],[THREADS]]*Tabela332[[#This Row],[WITH_TORCPY_MINE]]</f>
        <v>2522.2579011500002</v>
      </c>
    </row>
    <row r="44" spans="3:19" x14ac:dyDescent="0.25">
      <c r="C44" s="1">
        <v>64</v>
      </c>
      <c r="D44" s="1">
        <v>41.058056200000003</v>
      </c>
      <c r="E44" s="1">
        <v>39.453190169999999</v>
      </c>
      <c r="F44" s="1">
        <v>39.539218429999998</v>
      </c>
      <c r="G44" s="1">
        <f t="shared" si="10"/>
        <v>-3.8413449489117824</v>
      </c>
      <c r="H44" s="1">
        <f t="shared" si="11"/>
        <v>0.21757703722015265</v>
      </c>
      <c r="J44" s="8">
        <v>64</v>
      </c>
      <c r="K44" s="4">
        <f>D51/Tabela332[[#This Row],[NO_TORCPY]]</f>
        <v>27.681546770351002</v>
      </c>
      <c r="L44" s="2">
        <f t="shared" si="12"/>
        <v>0.4325241682867344</v>
      </c>
      <c r="M44" s="23">
        <f>Tabela332[[#This Row],[THREADS]]*Tabela332[[#This Row],[NO_TORCPY]]</f>
        <v>2627.7155968000002</v>
      </c>
      <c r="N44" s="4">
        <f>E51/Tabela332[[#This Row],[WITH_TORCPY_MAP]]</f>
        <v>29.202894012765707</v>
      </c>
      <c r="O44" s="2">
        <f t="shared" si="13"/>
        <v>0.45629521894946418</v>
      </c>
      <c r="P44" s="23">
        <f>Tabela332[[#This Row],[THREADS]]*Tabela332[[#This Row],[WITH_TORCPY_MAP]]</f>
        <v>2525.0041708799999</v>
      </c>
      <c r="Q44" s="4">
        <f>F51/Tabela332[[#This Row],[WITH_TORCPY_MINE]]</f>
        <v>29.737888599939129</v>
      </c>
      <c r="R44" s="2">
        <f t="shared" si="14"/>
        <v>0.4646545093740489</v>
      </c>
      <c r="S44" s="11">
        <f>Tabela332[[#This Row],[THREADS]]*Tabela332[[#This Row],[WITH_TORCPY_MINE]]</f>
        <v>2530.5099795199999</v>
      </c>
    </row>
    <row r="45" spans="3:19" x14ac:dyDescent="0.25">
      <c r="C45" s="1">
        <v>33</v>
      </c>
      <c r="D45" s="1">
        <v>75.058801729999999</v>
      </c>
      <c r="E45" s="1">
        <v>71.73426517</v>
      </c>
      <c r="F45" s="1">
        <v>75.059882720000004</v>
      </c>
      <c r="G45" s="1">
        <f t="shared" si="10"/>
        <v>1.4401701159556524E-3</v>
      </c>
      <c r="H45" s="1">
        <f t="shared" si="11"/>
        <v>4.4306191663071672</v>
      </c>
      <c r="J45" s="9">
        <v>33</v>
      </c>
      <c r="K45" s="5">
        <f>D51/Tabela332[[#This Row],[NO_TORCPY]]</f>
        <v>15.142134923607978</v>
      </c>
      <c r="L45" s="3">
        <f t="shared" si="12"/>
        <v>0.458852573442666</v>
      </c>
      <c r="M45" s="22">
        <f>Tabela332[[#This Row],[THREADS]]*Tabela332[[#This Row],[NO_TORCPY]]</f>
        <v>2476.9404570900001</v>
      </c>
      <c r="N45" s="5">
        <f>E51/Tabela332[[#This Row],[WITH_TORCPY_MAP]]</f>
        <v>16.061324783484917</v>
      </c>
      <c r="O45" s="3">
        <f t="shared" si="13"/>
        <v>0.48670681162075508</v>
      </c>
      <c r="P45" s="22">
        <f>Tabela332[[#This Row],[THREADS]]*Tabela332[[#This Row],[WITH_TORCPY_MAP]]</f>
        <v>2367.2307506100001</v>
      </c>
      <c r="Q45" s="5">
        <f>F51/Tabela332[[#This Row],[WITH_TORCPY_MINE]]</f>
        <v>15.664997471235058</v>
      </c>
      <c r="R45" s="3">
        <f t="shared" si="14"/>
        <v>0.474696893067729</v>
      </c>
      <c r="S45" s="12">
        <f>Tabela332[[#This Row],[THREADS]]*Tabela332[[#This Row],[WITH_TORCPY_MINE]]</f>
        <v>2476.9761297600003</v>
      </c>
    </row>
    <row r="46" spans="3:19" x14ac:dyDescent="0.25">
      <c r="C46" s="1">
        <v>32</v>
      </c>
      <c r="D46" s="1">
        <v>76.030074909999996</v>
      </c>
      <c r="E46" s="1">
        <v>73.807288009999994</v>
      </c>
      <c r="F46" s="1">
        <v>76.004185519999993</v>
      </c>
      <c r="G46" s="1">
        <f t="shared" si="10"/>
        <v>-3.4063110896951798E-2</v>
      </c>
      <c r="H46" s="1">
        <f t="shared" si="11"/>
        <v>2.8904954312310878</v>
      </c>
      <c r="J46" s="8">
        <v>32</v>
      </c>
      <c r="K46" s="4">
        <f>D51/Tabela332[[#This Row],[NO_TORCPY]]</f>
        <v>14.948696346089132</v>
      </c>
      <c r="L46" s="2">
        <f t="shared" si="12"/>
        <v>0.46714676081528539</v>
      </c>
      <c r="M46" s="23">
        <f>Tabela332[[#This Row],[THREADS]]*Tabela332[[#This Row],[NO_TORCPY]]</f>
        <v>2432.9623971199999</v>
      </c>
      <c r="N46" s="4">
        <f>E51/Tabela332[[#This Row],[WITH_TORCPY_MAP]]</f>
        <v>15.610210889253889</v>
      </c>
      <c r="O46" s="2">
        <f t="shared" si="13"/>
        <v>0.48781909028918402</v>
      </c>
      <c r="P46" s="23">
        <f>Tabela332[[#This Row],[THREADS]]*Tabela332[[#This Row],[WITH_TORCPY_MAP]]</f>
        <v>2361.8332163199998</v>
      </c>
      <c r="Q46" s="4">
        <f>F51/Tabela332[[#This Row],[WITH_TORCPY_MINE]]</f>
        <v>15.470370019169442</v>
      </c>
      <c r="R46" s="2">
        <f t="shared" si="14"/>
        <v>0.48344906309904506</v>
      </c>
      <c r="S46" s="11">
        <f>Tabela332[[#This Row],[THREADS]]*Tabela332[[#This Row],[WITH_TORCPY_MINE]]</f>
        <v>2432.1339366399998</v>
      </c>
    </row>
    <row r="47" spans="3:19" x14ac:dyDescent="0.25">
      <c r="C47" s="1">
        <v>16</v>
      </c>
      <c r="D47" s="1">
        <v>82.231000899999998</v>
      </c>
      <c r="E47" s="1">
        <v>78.91267053</v>
      </c>
      <c r="F47" s="1">
        <v>80.914210879999999</v>
      </c>
      <c r="G47" s="1">
        <f t="shared" si="10"/>
        <v>-1.6273903010101236</v>
      </c>
      <c r="H47" s="1">
        <f t="shared" si="11"/>
        <v>2.4736573813571425</v>
      </c>
      <c r="J47" s="9">
        <v>16</v>
      </c>
      <c r="K47" s="5">
        <f>D51/Tabela332[[#This Row],[NO_TORCPY]]</f>
        <v>13.82143584002028</v>
      </c>
      <c r="L47" s="3">
        <f t="shared" si="12"/>
        <v>0.86383974000126751</v>
      </c>
      <c r="M47" s="22">
        <f>Tabela332[[#This Row],[THREADS]]*Tabela332[[#This Row],[NO_TORCPY]]</f>
        <v>1315.6960144</v>
      </c>
      <c r="N47" s="5">
        <f>E51/Tabela332[[#This Row],[WITH_TORCPY_MAP]]</f>
        <v>14.600283113749033</v>
      </c>
      <c r="O47" s="3">
        <f t="shared" si="13"/>
        <v>0.91251769460931453</v>
      </c>
      <c r="P47" s="22">
        <f>Tabela332[[#This Row],[THREADS]]*Tabela332[[#This Row],[WITH_TORCPY_MAP]]</f>
        <v>1262.60272848</v>
      </c>
      <c r="Q47" s="5">
        <f>F51/Tabela332[[#This Row],[WITH_TORCPY_MINE]]</f>
        <v>14.531599087628649</v>
      </c>
      <c r="R47" s="3">
        <f t="shared" si="14"/>
        <v>0.90822494297679057</v>
      </c>
      <c r="S47" s="12">
        <f>Tabela332[[#This Row],[THREADS]]*Tabela332[[#This Row],[WITH_TORCPY_MINE]]</f>
        <v>1294.62737408</v>
      </c>
    </row>
    <row r="48" spans="3:19" x14ac:dyDescent="0.25">
      <c r="C48" s="1">
        <v>8</v>
      </c>
      <c r="D48" s="1">
        <v>153.12796499999999</v>
      </c>
      <c r="E48" s="1">
        <v>151.19525300000001</v>
      </c>
      <c r="F48" s="1">
        <v>158.4099698</v>
      </c>
      <c r="G48" s="1">
        <f t="shared" si="10"/>
        <v>3.334389121258468</v>
      </c>
      <c r="H48" s="1">
        <f t="shared" si="11"/>
        <v>4.5544587939186556</v>
      </c>
      <c r="J48" s="8">
        <v>8</v>
      </c>
      <c r="K48" s="4">
        <f>D51/Tabela332[[#This Row],[NO_TORCPY]]</f>
        <v>7.4222269132878509</v>
      </c>
      <c r="L48" s="2">
        <f t="shared" si="12"/>
        <v>0.92777836416098136</v>
      </c>
      <c r="M48" s="23">
        <f>Tabela332[[#This Row],[THREADS]]*Tabela332[[#This Row],[NO_TORCPY]]</f>
        <v>1225.0237199999999</v>
      </c>
      <c r="N48" s="4">
        <f>E51/Tabela332[[#This Row],[WITH_TORCPY_MAP]]</f>
        <v>7.6202612723562151</v>
      </c>
      <c r="O48" s="2">
        <f t="shared" si="13"/>
        <v>0.95253265904452689</v>
      </c>
      <c r="P48" s="23">
        <f>Tabela332[[#This Row],[THREADS]]*Tabela332[[#This Row],[WITH_TORCPY_MAP]]</f>
        <v>1209.5620240000001</v>
      </c>
      <c r="Q48" s="4">
        <f>F51/Tabela332[[#This Row],[WITH_TORCPY_MINE]]</f>
        <v>7.422593883986714</v>
      </c>
      <c r="R48" s="2">
        <f t="shared" si="14"/>
        <v>0.92782423549833926</v>
      </c>
      <c r="S48" s="11">
        <f>Tabela332[[#This Row],[THREADS]]*Tabela332[[#This Row],[WITH_TORCPY_MINE]]</f>
        <v>1267.2797584</v>
      </c>
    </row>
    <row r="49" spans="3:19" x14ac:dyDescent="0.25">
      <c r="C49" s="1">
        <v>4</v>
      </c>
      <c r="D49" s="1">
        <v>301.03539050000001</v>
      </c>
      <c r="E49" s="1">
        <v>293.4845335</v>
      </c>
      <c r="F49" s="1">
        <v>300.80607930000002</v>
      </c>
      <c r="G49" s="1">
        <f t="shared" si="10"/>
        <v>-7.6232235908790358E-2</v>
      </c>
      <c r="H49" s="1">
        <f t="shared" si="11"/>
        <v>2.4339753428646986</v>
      </c>
      <c r="J49" s="9">
        <v>4</v>
      </c>
      <c r="K49" s="5">
        <f>D51/Tabela332[[#This Row],[NO_TORCPY]]</f>
        <v>3.7754713859797819</v>
      </c>
      <c r="L49" s="3">
        <f t="shared" si="12"/>
        <v>0.94386784649494548</v>
      </c>
      <c r="M49" s="22">
        <f>Tabela332[[#This Row],[THREADS]]*Tabela332[[#This Row],[NO_TORCPY]]</f>
        <v>1204.141562</v>
      </c>
      <c r="N49" s="5">
        <f>E51/Tabela332[[#This Row],[WITH_TORCPY_MAP]]</f>
        <v>3.9257514433890939</v>
      </c>
      <c r="O49" s="3">
        <f t="shared" si="13"/>
        <v>0.98143786084727347</v>
      </c>
      <c r="P49" s="22">
        <f>Tabela332[[#This Row],[THREADS]]*Tabela332[[#This Row],[WITH_TORCPY_MAP]]</f>
        <v>1173.938134</v>
      </c>
      <c r="Q49" s="5">
        <f>F51/Tabela332[[#This Row],[WITH_TORCPY_MINE]]</f>
        <v>3.908873370299601</v>
      </c>
      <c r="R49" s="3">
        <f t="shared" si="14"/>
        <v>0.97721834257490026</v>
      </c>
      <c r="S49" s="12">
        <f>Tabela332[[#This Row],[THREADS]]*Tabela332[[#This Row],[WITH_TORCPY_MINE]]</f>
        <v>1203.2243172000001</v>
      </c>
    </row>
    <row r="50" spans="3:19" x14ac:dyDescent="0.25">
      <c r="C50" s="1">
        <v>2</v>
      </c>
      <c r="D50" s="1">
        <v>584.45763620000002</v>
      </c>
      <c r="E50" s="1">
        <v>581.23957289999998</v>
      </c>
      <c r="F50" s="1">
        <v>623.20541530000003</v>
      </c>
      <c r="G50" s="1">
        <f t="shared" si="10"/>
        <v>6.2174971764883509</v>
      </c>
      <c r="H50" s="1">
        <f t="shared" si="11"/>
        <v>6.7338699840723422</v>
      </c>
      <c r="J50" s="8">
        <v>2</v>
      </c>
      <c r="K50" s="4">
        <f>D51/Tabela332[[#This Row],[NO_TORCPY]]</f>
        <v>1.9446242680471626</v>
      </c>
      <c r="L50" s="2">
        <f t="shared" si="12"/>
        <v>0.9723121340235813</v>
      </c>
      <c r="M50" s="23">
        <f>Tabela332[[#This Row],[THREADS]]*Tabela332[[#This Row],[NO_TORCPY]]</f>
        <v>1168.9152724</v>
      </c>
      <c r="N50" s="4">
        <f>E51/Tabela332[[#This Row],[WITH_TORCPY_MAP]]</f>
        <v>1.9822245158765581</v>
      </c>
      <c r="O50" s="2">
        <f t="shared" si="13"/>
        <v>0.99111225793827906</v>
      </c>
      <c r="P50" s="23">
        <f>Tabela332[[#This Row],[THREADS]]*Tabela332[[#This Row],[WITH_TORCPY_MAP]]</f>
        <v>1162.4791458</v>
      </c>
      <c r="Q50" s="4">
        <f>F51/Tabela332[[#This Row],[WITH_TORCPY_MINE]]</f>
        <v>1.8867179972015882</v>
      </c>
      <c r="R50" s="2">
        <f t="shared" si="14"/>
        <v>0.94335899860079409</v>
      </c>
      <c r="S50" s="11">
        <f>Tabela332[[#This Row],[THREADS]]*Tabela332[[#This Row],[WITH_TORCPY_MINE]]</f>
        <v>1246.4108306000001</v>
      </c>
    </row>
    <row r="51" spans="3:19" ht="15.75" thickBot="1" x14ac:dyDescent="0.3">
      <c r="C51" s="1">
        <v>1</v>
      </c>
      <c r="D51" s="1">
        <v>1136.5505029999999</v>
      </c>
      <c r="E51" s="1">
        <v>1152.1473309999999</v>
      </c>
      <c r="F51" s="1">
        <v>1175.8128730000001</v>
      </c>
      <c r="G51" s="1">
        <f t="shared" si="10"/>
        <v>3.3391682385501724</v>
      </c>
      <c r="H51" s="1">
        <f t="shared" si="11"/>
        <v>2.0126962838584461</v>
      </c>
      <c r="J51" s="10">
        <v>1</v>
      </c>
      <c r="K51" s="6">
        <f>D51/Tabela332[[#This Row],[NO_TORCPY]]</f>
        <v>1</v>
      </c>
      <c r="L51" s="7">
        <f t="shared" si="12"/>
        <v>1</v>
      </c>
      <c r="M51" s="24">
        <f>Tabela332[[#This Row],[THREADS]]*Tabela332[[#This Row],[NO_TORCPY]]</f>
        <v>1136.5505029999999</v>
      </c>
      <c r="N51" s="6">
        <f>Tabela332[[#This Row],[WITH_TORCPY_MAP]]/Tabela332[[#This Row],[WITH_TORCPY_MAP]]</f>
        <v>1</v>
      </c>
      <c r="O51" s="7">
        <f t="shared" si="13"/>
        <v>1</v>
      </c>
      <c r="P51" s="24">
        <f>Tabela332[[#This Row],[THREADS]]*Tabela332[[#This Row],[WITH_TORCPY_MAP]]</f>
        <v>1152.1473309999999</v>
      </c>
      <c r="Q51" s="6">
        <f>Tabela332[[#This Row],[WITH_TORCPY_MINE]]/Tabela332[[#This Row],[WITH_TORCPY_MINE]]</f>
        <v>1</v>
      </c>
      <c r="R51" s="7">
        <f t="shared" si="14"/>
        <v>1</v>
      </c>
      <c r="S51" s="13">
        <f>Tabela332[[#This Row],[THREADS]]*Tabela332[[#This Row],[WITH_TORCPY_MINE]]</f>
        <v>1175.8128730000001</v>
      </c>
    </row>
    <row r="52" spans="3:19" x14ac:dyDescent="0.25">
      <c r="C52" s="1"/>
      <c r="D52" s="1"/>
      <c r="E52" s="1"/>
      <c r="F52" s="1"/>
      <c r="G52" s="1" cm="1">
        <f t="array" ref="G52">SUM(Tabela332[% FASTER NO_TORCPY]/10)</f>
        <v>0.58956055473652103</v>
      </c>
      <c r="H52" s="1" cm="1">
        <f t="array" ref="H52">SUM(Tabela332[% FASTER TORC_MAP]/10)</f>
        <v>2.4204469118482508</v>
      </c>
    </row>
  </sheetData>
  <mergeCells count="19">
    <mergeCell ref="C22:H22"/>
    <mergeCell ref="C7:H7"/>
    <mergeCell ref="C40:H40"/>
    <mergeCell ref="E37:G37"/>
    <mergeCell ref="K7:M7"/>
    <mergeCell ref="N7:P7"/>
    <mergeCell ref="Q7:S7"/>
    <mergeCell ref="J6:S6"/>
    <mergeCell ref="J7:J8"/>
    <mergeCell ref="J21:S21"/>
    <mergeCell ref="J22:J23"/>
    <mergeCell ref="K22:M22"/>
    <mergeCell ref="N22:P22"/>
    <mergeCell ref="Q22:S22"/>
    <mergeCell ref="J39:S39"/>
    <mergeCell ref="J40:J41"/>
    <mergeCell ref="K40:M40"/>
    <mergeCell ref="N40:P40"/>
    <mergeCell ref="Q40:S40"/>
  </mergeCells>
  <phoneticPr fontId="3" type="noConversion"/>
  <pageMargins left="0.7" right="0.7" top="0.75" bottom="0.75" header="0.3" footer="0.3"/>
  <pageSetup paperSize="9" orientation="portrait" r:id="rId1"/>
  <drawing r:id="rId2"/>
  <tableParts count="3"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MORATO ROXO RIBEIRO PINTO</dc:creator>
  <cp:lastModifiedBy>Miguel Pinto</cp:lastModifiedBy>
  <dcterms:created xsi:type="dcterms:W3CDTF">2023-12-14T19:27:05Z</dcterms:created>
  <dcterms:modified xsi:type="dcterms:W3CDTF">2024-03-28T20:25:46Z</dcterms:modified>
</cp:coreProperties>
</file>