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7B6FF772-6317-4EEF-97F9-AAAAA317C272}" xr6:coauthVersionLast="47" xr6:coauthVersionMax="47" xr10:uidLastSave="{00000000-0000-0000-0000-000000000000}"/>
  <bookViews>
    <workbookView xWindow="7275" yWindow="23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6" l="1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<sst xmlns="http://schemas.openxmlformats.org/spreadsheetml/2006/main" count="1490" uniqueCount="650">
  <si>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</si>
  <si>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</si>
  <si>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</si>
  <si>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</si>
  <si>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</si>
  <si>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</si>
  <si>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</si>
  <si>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</si>
  <si>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</si>
  <si>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</si>
  <si>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</si>
  <si>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</si>
  <si>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</si>
  <si>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</si>
  <si>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</si>
  <si>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</si>
  <si>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</si>
  <si>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</si>
  <si>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</si>
  <si>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</si>
  <si>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</si>
  <si>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</si>
  <si>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</si>
  <si>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</si>
  <si>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</si>
  <si>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</si>
  <si>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</si>
  <si>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</si>
  <si>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</si>
  <si>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</si>
  <si>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</si>
  <si>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</si>
  <si>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</si>
  <si>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</si>
  <si>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</si>
  <si>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</si>
  <si>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</si>
  <si>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</si>
  <si>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</si>
  <si>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</si>
  <si>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</si>
  <si>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</si>
  <si>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</si>
  <si>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</si>
  <si>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</si>
  <si>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</si>
  <si>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</si>
  <si>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</si>
  <si>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</si>
  <si>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</si>
  <si>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</si>
  <si>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</si>
  <si>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</si>
  <si>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</si>
  <si>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</si>
  <si>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</si>
  <si>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</si>
  <si>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</si>
  <si>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</si>
  <si>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</si>
  <si>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</si>
  <si>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</si>
  <si>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</si>
  <si>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</si>
  <si>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</si>
  <si>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</si>
  <si>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</si>
  <si>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</si>
  <si>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</si>
  <si>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</si>
  <si>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</si>
  <si>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</si>
  <si>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</si>
  <si>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</si>
  <si>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</si>
  <si>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</si>
  <si>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</si>
  <si>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</si>
  <si>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</si>
  <si>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</si>
  <si>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</si>
  <si>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</si>
  <si>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</si>
  <si>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</si>
  <si>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</si>
  <si>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</si>
  <si>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</si>
  <si>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</si>
  <si>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</si>
  <si>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</si>
  <si>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</si>
  <si>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</si>
  <si>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</si>
  <si>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</si>
  <si>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</si>
  <si>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</si>
  <si>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</si>
  <si>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</si>
  <si>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</si>
  <si>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</si>
  <si>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</si>
  <si>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</si>
  <si>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</si>
  <si>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</si>
  <si>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</si>
  <si>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</si>
  <si>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</si>
  <si>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</si>
  <si>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</si>
  <si>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</si>
  <si>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</si>
  <si>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</si>
  <si>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</si>
  <si>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</si>
  <si>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</si>
  <si>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</si>
  <si>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</si>
  <si>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</si>
  <si>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</si>
  <si>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</si>
  <si>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</si>
  <si>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</si>
  <si>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</si>
  <si>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</si>
  <si>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</si>
  <si>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</si>
  <si>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</si>
  <si>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</si>
  <si>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</si>
  <si>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</si>
  <si>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</si>
  <si>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</si>
  <si>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</si>
  <si>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</si>
  <si>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</si>
  <si>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</si>
  <si>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</si>
  <si>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</si>
  <si>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</si>
  <si>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</si>
  <si>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</si>
  <si>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</si>
  <si>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</si>
  <si>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</si>
  <si>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</si>
  <si>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</si>
  <si>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</si>
  <si>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</si>
  <si>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</si>
  <si>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</si>
  <si>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</si>
  <si>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</si>
  <si>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</si>
  <si>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</si>
  <si>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</si>
  <si>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</si>
  <si>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</si>
  <si>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</si>
  <si>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</si>
  <si>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</si>
  <si>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</si>
  <si>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</si>
  <si>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</si>
  <si>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</si>
  <si>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</si>
  <si>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</si>
  <si>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</si>
  <si>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</si>
  <si>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</si>
  <si>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</si>
  <si>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</si>
  <si>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</si>
  <si>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</si>
  <si>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</si>
  <si>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</si>
  <si>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</si>
  <si>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</si>
  <si>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</si>
  <si>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</si>
  <si>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</si>
  <si>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</si>
  <si>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</si>
  <si>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</si>
  <si>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</si>
  <si>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</si>
  <si>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</si>
  <si>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</si>
  <si>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</si>
  <si>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</si>
  <si>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</si>
  <si>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</si>
  <si>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</si>
  <si>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</si>
  <si>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</si>
  <si>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</si>
  <si>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</si>
  <si>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</si>
  <si>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</si>
  <si>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</si>
  <si>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</si>
  <si>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</si>
  <si>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</si>
  <si>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</si>
  <si>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</si>
  <si>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</si>
  <si>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</si>
  <si>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</si>
  <si>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</si>
  <si>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</si>
  <si>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</si>
  <si>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</si>
  <si>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</si>
  <si>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</si>
  <si>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</si>
  <si>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</si>
  <si>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</si>
  <si>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</si>
  <si>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</si>
  <si>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</si>
  <si>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</si>
  <si>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</si>
  <si>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</si>
  <si>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</si>
  <si>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</si>
  <si>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</si>
  <si>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</si>
  <si>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</si>
  <si>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</si>
  <si>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</si>
  <si>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</si>
  <si>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</si>
  <si>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</si>
  <si>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</si>
  <si>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</si>
  <si>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</si>
  <si>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</si>
  <si>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</si>
  <si>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</si>
  <si>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</si>
  <si>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</si>
  <si>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</si>
  <si>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</si>
  <si>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</si>
  <si>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</si>
  <si>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</si>
  <si>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</si>
  <si>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</si>
  <si>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</si>
  <si>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</si>
  <si>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</si>
  <si>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</si>
  <si>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</si>
  <si>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</si>
  <si>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</si>
  <si>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</si>
  <si>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</si>
  <si>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</si>
  <si>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</si>
  <si>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</si>
  <si>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</si>
  <si>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</si>
  <si>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</si>
  <si>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</si>
  <si>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</si>
  <si>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</si>
  <si>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</si>
  <si>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</si>
  <si>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</si>
  <si>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</si>
  <si>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</si>
  <si>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</si>
  <si>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</si>
  <si>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</si>
  <si>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</si>
  <si>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</si>
  <si>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</si>
  <si>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</si>
  <si>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</si>
  <si>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</si>
  <si>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</si>
  <si>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</si>
  <si>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</si>
  <si>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</si>
  <si>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</si>
  <si>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</si>
  <si>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</si>
  <si>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</si>
  <si>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</si>
  <si>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</si>
  <si>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</si>
  <si>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</si>
  <si>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</si>
  <si>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</si>
  <si>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</si>
  <si>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</si>
  <si>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</si>
  <si>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</si>
  <si>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</si>
  <si>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</si>
  <si>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</si>
  <si>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</si>
  <si>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</si>
  <si>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</si>
  <si>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</si>
  <si>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</si>
  <si>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</si>
  <si>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</si>
  <si>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</si>
  <si>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</si>
  <si>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</si>
  <si>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</si>
  <si>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</si>
  <si>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</si>
  <si>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</si>
  <si>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</si>
  <si>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</si>
  <si>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</si>
  <si>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</si>
  <si>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</si>
  <si>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</si>
  <si>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</si>
  <si>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</si>
  <si>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</si>
  <si>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</si>
  <si>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</si>
  <si>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</si>
  <si>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</si>
  <si>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</si>
  <si>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</si>
  <si>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</si>
  <si>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</si>
  <si>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</si>
  <si>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</si>
  <si>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</si>
  <si>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</si>
  <si>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</si>
  <si>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</si>
  <si>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</si>
  <si>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</si>
  <si>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</si>
  <si>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</si>
  <si>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</si>
  <si>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</si>
  <si>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</si>
  <si>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</si>
  <si>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</si>
  <si>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</si>
  <si>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</si>
  <si>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</si>
  <si>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</si>
  <si>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</si>
  <si>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</si>
  <si>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</si>
  <si>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</si>
  <si>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</si>
  <si>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</si>
  <si>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</si>
  <si>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</si>
  <si>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</si>
  <si>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</si>
  <si>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</si>
  <si>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</si>
  <si>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</si>
  <si>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</si>
  <si>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</si>
  <si>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</si>
  <si>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</si>
  <si>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</si>
  <si>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</si>
  <si>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</si>
  <si>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</si>
  <si>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</si>
  <si>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</si>
  <si>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</si>
  <si>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</si>
  <si>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</si>
  <si>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</si>
  <si>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</si>
  <si>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</si>
  <si>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</si>
  <si>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</si>
  <si>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</si>
  <si>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</si>
  <si>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</si>
  <si>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</si>
  <si>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</si>
  <si>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</si>
  <si>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</si>
  <si>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</si>
  <si>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</si>
  <si>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</si>
  <si>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</si>
  <si>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</si>
  <si>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</si>
  <si>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</si>
  <si>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</si>
  <si>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</si>
  <si>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</si>
  <si>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</si>
  <si>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</si>
  <si>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</si>
  <si>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</si>
  <si>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</si>
  <si>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</si>
  <si>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</si>
  <si>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</si>
  <si>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</si>
  <si>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</si>
  <si>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</si>
  <si>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</si>
  <si>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</si>
  <si>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</si>
  <si>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</si>
  <si>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</si>
  <si>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</si>
  <si>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</si>
  <si>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</si>
  <si>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</si>
  <si>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</si>
  <si>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</si>
  <si>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</si>
  <si>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</si>
  <si>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</si>
  <si>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</si>
  <si>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</si>
  <si>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</si>
  <si>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</si>
  <si>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</si>
  <si>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</si>
  <si>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</si>
  <si>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</si>
  <si>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</si>
  <si>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</si>
  <si>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</si>
  <si>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</si>
  <si>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</si>
  <si>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</si>
  <si>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</si>
  <si>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</si>
  <si>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</si>
  <si>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</si>
  <si>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</si>
  <si>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</si>
  <si>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</si>
  <si>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</si>
  <si>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</si>
  <si>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</si>
  <si>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</si>
  <si>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</si>
  <si>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</si>
  <si>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</si>
  <si>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</si>
  <si>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</si>
  <si>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</si>
  <si>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</si>
  <si>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</si>
  <si>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</si>
  <si>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</si>
  <si>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</si>
  <si>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</si>
  <si>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</si>
  <si>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</si>
  <si>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</si>
  <si>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</si>
  <si>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</si>
  <si>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</si>
  <si>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</si>
  <si>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</si>
  <si>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</si>
  <si>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</si>
  <si>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</si>
  <si>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</si>
  <si>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</si>
  <si>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</si>
  <si>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</si>
  <si>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</si>
  <si>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</si>
  <si>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</si>
  <si>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</si>
  <si>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</si>
  <si>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</si>
  <si>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</si>
  <si>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</si>
  <si>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</si>
  <si>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</si>
  <si>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</si>
  <si>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</si>
  <si>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</si>
  <si>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</si>
  <si>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</si>
  <si>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</si>
  <si>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</si>
  <si>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</si>
  <si>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</si>
  <si>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</si>
  <si>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</si>
  <si>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</si>
  <si>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</si>
  <si>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</si>
  <si>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</si>
  <si>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</si>
  <si>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</si>
  <si>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</si>
  <si>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</si>
  <si>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</si>
  <si>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</si>
  <si>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</si>
  <si>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</si>
  <si>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</si>
  <si>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</si>
  <si>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</si>
  <si>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</si>
  <si>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</si>
  <si>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</si>
  <si>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</si>
  <si>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</si>
  <si>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</si>
  <si>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</si>
  <si>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</si>
  <si>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</si>
  <si>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</si>
  <si>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</si>
  <si>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</si>
  <si>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</si>
  <si>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</si>
  <si>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</si>
  <si>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</si>
  <si>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</si>
  <si>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</si>
  <si>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</si>
  <si>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</si>
  <si>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</si>
  <si>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</si>
  <si>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</si>
  <si>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</si>
  <si>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</si>
  <si>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</si>
  <si>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</si>
  <si>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</si>
  <si>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</si>
  <si>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</si>
  <si>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</si>
  <si>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</si>
  <si>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</si>
  <si>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</si>
  <si>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</si>
  <si>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</si>
  <si>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</si>
  <si>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</si>
  <si>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</si>
  <si>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</si>
  <si>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</si>
  <si>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</si>
  <si>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</si>
  <si>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</si>
  <si>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</si>
  <si>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</si>
  <si>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</si>
  <si>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</si>
  <si>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</si>
  <si>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</si>
  <si>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</si>
  <si>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</si>
  <si>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</si>
  <si>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</si>
  <si>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</si>
  <si>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</si>
  <si>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</si>
  <si>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</si>
  <si>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</si>
  <si>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</si>
  <si>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</si>
  <si>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</si>
  <si>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</si>
  <si>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</si>
  <si>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</si>
  <si>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</si>
  <si>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</si>
  <si>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</si>
  <si>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</si>
  <si>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</si>
  <si>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</si>
  <si>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</si>
  <si>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</si>
  <si>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</si>
  <si>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</si>
  <si>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</si>
  <si>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</si>
  <si>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</si>
  <si>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</si>
  <si>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</si>
  <si>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</si>
  <si>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</si>
  <si>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</si>
  <si>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</si>
  <si>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</si>
  <si>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</si>
  <si>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</si>
  <si>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</si>
  <si>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</si>
  <si>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</si>
  <si>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</si>
  <si>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</si>
  <si>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</si>
  <si>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</si>
  <si>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</si>
  <si>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</si>
  <si>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</si>
  <si>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</si>
  <si>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</si>
  <si>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</si>
  <si>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</si>
  <si>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</si>
  <si>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</si>
  <si>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</si>
  <si>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</si>
  <si>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</si>
  <si>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</si>
  <si>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</si>
  <si>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</si>
  <si>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</si>
  <si>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</si>
  <si>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</si>
  <si>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</si>
  <si>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</si>
  <si>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</si>
  <si>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</si>
  <si>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</si>
  <si>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</si>
  <si>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</si>
  <si>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</si>
  <si>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</si>
  <si>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</si>
  <si>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</si>
  <si>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GFGC3900FE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</si>
  <si>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</si>
  <si>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</si>
  <si>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</si>
  <si>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</si>
  <si>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</si>
  <si>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</si>
  <si>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</si>
  <si>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</si>
  <si>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Buy  GFGV19315F 24hs // +8 // 0.93 // $744 // order 5862408</t>
  </si>
  <si>
    <t>Sell GFGV19315F 24hs // -2 // 1.25 // $250 // order 5862507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</si>
  <si>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</si>
  <si>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</si>
  <si>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</si>
  <si>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CARGAR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</si>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</sst>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b/>
      <sz val="8"/>
      <color rgb="FF00B05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</cellStyleXfs>
  <cellXfs count="82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3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4" fillId="22" borderId="29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4" fillId="23" borderId="30" xfId="0" applyFont="1" applyFill="1" applyBorder="1" applyAlignment="1">
      <alignment horizontal="center" vertical="center"/>
    </xf>
    <xf numFmtId="0" fontId="54" fillId="24" borderId="29" xfId="0" applyFont="1" applyFill="1" applyBorder="1" applyAlignment="1">
      <alignment horizontal="center" vertical="center"/>
    </xf>
    <xf numFmtId="0" fontId="54" fillId="24" borderId="30" xfId="0" applyFont="1" applyFill="1" applyBorder="1" applyAlignment="1">
      <alignment horizontal="center" vertical="center"/>
    </xf>
    <xf numFmtId="0" fontId="54" fillId="24" borderId="3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22" borderId="32" xfId="0" applyFont="1" applyFill="1" applyBorder="1" applyAlignment="1">
      <alignment horizontal="center" vertical="center"/>
    </xf>
    <xf numFmtId="2" fontId="57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8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9" fillId="30" borderId="34" xfId="0" applyFont="1" applyFill="1" applyBorder="1" applyAlignment="1">
      <alignment horizontal="center" vertical="center"/>
    </xf>
    <xf numFmtId="1" fontId="60" fillId="31" borderId="34" xfId="0" applyNumberFormat="1" applyFont="1" applyFill="1" applyBorder="1" applyAlignment="1">
      <alignment horizontal="center" vertical="center"/>
    </xf>
    <xf numFmtId="4" fontId="44" fillId="32" borderId="34" xfId="0" applyNumberFormat="1" applyFont="1" applyFill="1" applyBorder="1" applyAlignment="1">
      <alignment horizontal="center" vertical="center"/>
    </xf>
    <xf numFmtId="0" fontId="44" fillId="25" borderId="34" xfId="0" applyFont="1" applyFill="1" applyBorder="1" applyAlignment="1">
      <alignment horizontal="center" vertical="center"/>
    </xf>
    <xf numFmtId="2" fontId="61" fillId="29" borderId="34" xfId="0" applyNumberFormat="1" applyFont="1" applyFill="1" applyBorder="1" applyAlignment="1">
      <alignment horizontal="center" vertical="center"/>
    </xf>
    <xf numFmtId="1" fontId="44" fillId="29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2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63" fillId="22" borderId="32" xfId="0" applyFont="1" applyFill="1" applyBorder="1" applyAlignment="1">
      <alignment horizontal="center" vertical="center"/>
    </xf>
    <xf numFmtId="2" fontId="62" fillId="17" borderId="2" xfId="0" applyNumberFormat="1" applyFont="1" applyFill="1" applyBorder="1" applyAlignment="1">
      <alignment horizontal="center" vertical="center"/>
    </xf>
    <xf numFmtId="2" fontId="62" fillId="17" borderId="48" xfId="0" applyNumberFormat="1" applyFont="1" applyFill="1" applyBorder="1" applyAlignment="1">
      <alignment horizontal="center" vertical="center"/>
    </xf>
    <xf numFmtId="10" fontId="62" fillId="17" borderId="2" xfId="2" applyNumberFormat="1" applyFont="1" applyFill="1" applyBorder="1" applyAlignment="1">
      <alignment horizontal="center" vertical="center"/>
    </xf>
    <xf numFmtId="164" fontId="62" fillId="17" borderId="2" xfId="2" applyNumberFormat="1" applyFont="1" applyFill="1" applyBorder="1" applyAlignment="1">
      <alignment horizontal="center" vertical="center"/>
    </xf>
    <xf numFmtId="3" fontId="58" fillId="28" borderId="50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7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1" fontId="57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8" fillId="28" borderId="51" xfId="0" applyNumberFormat="1" applyFont="1" applyFill="1" applyBorder="1" applyAlignment="1">
      <alignment horizontal="right" vertical="center"/>
    </xf>
    <xf numFmtId="2" fontId="57" fillId="25" borderId="2" xfId="0" applyNumberFormat="1" applyFont="1" applyFill="1" applyBorder="1" applyAlignment="1">
      <alignment horizontal="center" vertical="center"/>
    </xf>
    <xf numFmtId="9" fontId="62" fillId="27" borderId="33" xfId="0" applyNumberFormat="1" applyFont="1" applyFill="1" applyBorder="1" applyAlignment="1">
      <alignment horizontal="center" vertical="center"/>
    </xf>
    <xf numFmtId="9" fontId="62" fillId="22" borderId="52" xfId="0" applyNumberFormat="1" applyFont="1" applyFill="1" applyBorder="1" applyAlignment="1">
      <alignment horizontal="center" vertical="center"/>
    </xf>
    <xf numFmtId="9" fontId="62" fillId="22" borderId="33" xfId="0" applyNumberFormat="1" applyFont="1" applyFill="1" applyBorder="1" applyAlignment="1">
      <alignment horizontal="center" vertical="center"/>
    </xf>
    <xf numFmtId="9" fontId="62" fillId="35" borderId="52" xfId="0" applyNumberFormat="1" applyFont="1" applyFill="1" applyBorder="1" applyAlignment="1">
      <alignment horizontal="center" vertical="center"/>
    </xf>
    <xf numFmtId="9" fontId="62" fillId="35" borderId="33" xfId="0" applyNumberFormat="1" applyFont="1" applyFill="1" applyBorder="1" applyAlignment="1">
      <alignment horizontal="center" vertical="center"/>
    </xf>
    <xf numFmtId="2" fontId="60" fillId="31" borderId="34" xfId="0" applyNumberFormat="1" applyFont="1" applyFill="1" applyBorder="1" applyAlignment="1">
      <alignment horizontal="center" vertical="center"/>
    </xf>
    <xf numFmtId="9" fontId="62" fillId="36" borderId="52" xfId="0" applyNumberFormat="1" applyFont="1" applyFill="1" applyBorder="1" applyAlignment="1">
      <alignment horizontal="center" vertical="center"/>
    </xf>
    <xf numFmtId="4" fontId="66" fillId="24" borderId="37" xfId="0" applyNumberFormat="1" applyFont="1" applyFill="1" applyBorder="1" applyAlignment="1">
      <alignment horizontal="center" vertical="center"/>
    </xf>
    <xf numFmtId="9" fontId="62" fillId="22" borderId="53" xfId="0" applyNumberFormat="1" applyFont="1" applyFill="1" applyBorder="1" applyAlignment="1">
      <alignment horizontal="center" vertical="center"/>
    </xf>
    <xf numFmtId="9" fontId="47" fillId="27" borderId="54" xfId="0" applyNumberFormat="1" applyFont="1" applyFill="1" applyBorder="1" applyAlignment="1">
      <alignment horizontal="center" vertical="center"/>
    </xf>
    <xf numFmtId="3" fontId="58" fillId="28" borderId="56" xfId="0" applyNumberFormat="1" applyFont="1" applyFill="1" applyBorder="1" applyAlignment="1">
      <alignment horizontal="right" vertical="center"/>
    </xf>
    <xf numFmtId="0" fontId="68" fillId="17" borderId="2" xfId="0" applyFont="1" applyFill="1" applyBorder="1" applyAlignment="1">
      <alignment vertical="center"/>
    </xf>
    <xf numFmtId="0" fontId="45" fillId="24" borderId="57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8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9" fillId="33" borderId="37" xfId="0" applyFont="1" applyFill="1" applyBorder="1" applyAlignment="1">
      <alignment horizontal="center" vertical="center"/>
    </xf>
    <xf numFmtId="0" fontId="44" fillId="22" borderId="32" xfId="0" applyFont="1" applyFill="1" applyBorder="1" applyAlignment="1">
      <alignment horizontal="center" vertical="center"/>
    </xf>
    <xf numFmtId="3" fontId="57" fillId="39" borderId="62" xfId="0" applyNumberFormat="1" applyFont="1" applyFill="1" applyBorder="1" applyAlignment="1">
      <alignment horizontal="right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44" fillId="22" borderId="63" xfId="0" applyFont="1" applyFill="1" applyBorder="1" applyAlignment="1">
      <alignment horizontal="center" vertical="center"/>
    </xf>
    <xf numFmtId="0" fontId="47" fillId="17" borderId="69" xfId="0" applyFont="1" applyFill="1" applyBorder="1" applyAlignment="1">
      <alignment horizontal="center" vertical="center"/>
    </xf>
    <xf numFmtId="0" fontId="47" fillId="17" borderId="67" xfId="0" applyFont="1" applyFill="1" applyBorder="1" applyAlignment="1">
      <alignment horizontal="center" vertical="center"/>
    </xf>
    <xf numFmtId="0" fontId="47" fillId="17" borderId="70" xfId="0" applyFont="1" applyFill="1" applyBorder="1" applyAlignment="1">
      <alignment horizontal="center" vertical="center"/>
    </xf>
    <xf numFmtId="3" fontId="57" fillId="38" borderId="62" xfId="0" applyNumberFormat="1" applyFont="1" applyFill="1" applyBorder="1" applyAlignment="1">
      <alignment vertical="center"/>
    </xf>
    <xf numFmtId="0" fontId="55" fillId="33" borderId="32" xfId="0" applyFont="1" applyFill="1" applyBorder="1" applyAlignment="1">
      <alignment horizontal="center" vertical="center" wrapText="1"/>
    </xf>
    <xf numFmtId="0" fontId="62" fillId="25" borderId="33" xfId="0" applyFont="1" applyFill="1" applyBorder="1" applyAlignment="1">
      <alignment horizontal="center" vertical="center"/>
    </xf>
    <xf numFmtId="1" fontId="57" fillId="22" borderId="62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9" fillId="33" borderId="32" xfId="0" applyFont="1" applyFill="1" applyBorder="1" applyAlignment="1">
      <alignment horizontal="center" vertical="center" wrapText="1"/>
    </xf>
    <xf numFmtId="1" fontId="57" fillId="33" borderId="62" xfId="0" applyNumberFormat="1" applyFont="1" applyFill="1" applyBorder="1" applyAlignment="1">
      <alignment vertical="center"/>
    </xf>
    <xf numFmtId="0" fontId="61" fillId="33" borderId="32" xfId="0" applyFont="1" applyFill="1" applyBorder="1" applyAlignment="1">
      <alignment horizontal="center" vertical="center" wrapText="1"/>
    </xf>
    <xf numFmtId="1" fontId="57" fillId="34" borderId="62" xfId="0" applyNumberFormat="1" applyFont="1" applyFill="1" applyBorder="1" applyAlignment="1">
      <alignment vertical="center"/>
    </xf>
    <xf numFmtId="0" fontId="70" fillId="37" borderId="0" xfId="0" applyFont="1" applyFill="1" applyAlignment="1">
      <alignment vertical="center"/>
    </xf>
    <xf numFmtId="9" fontId="57" fillId="25" borderId="61" xfId="0" applyNumberFormat="1" applyFont="1" applyFill="1" applyBorder="1" applyAlignment="1">
      <alignment horizontal="center" vertical="center"/>
    </xf>
    <xf numFmtId="0" fontId="44" fillId="39" borderId="72" xfId="0" applyFont="1" applyFill="1" applyBorder="1" applyAlignment="1">
      <alignment horizontal="center" vertical="center"/>
    </xf>
    <xf numFmtId="0" fontId="57" fillId="26" borderId="62" xfId="0" applyFont="1" applyFill="1" applyBorder="1" applyAlignment="1">
      <alignment horizontal="center" vertical="center"/>
    </xf>
    <xf numFmtId="0" fontId="44" fillId="39" borderId="62" xfId="0" applyFont="1" applyFill="1" applyBorder="1" applyAlignment="1">
      <alignment horizontal="center" vertical="center"/>
    </xf>
    <xf numFmtId="3" fontId="57" fillId="25" borderId="62" xfId="0" applyNumberFormat="1" applyFont="1" applyFill="1" applyBorder="1" applyAlignment="1">
      <alignment horizontal="center" vertical="center"/>
    </xf>
    <xf numFmtId="4" fontId="57" fillId="25" borderId="62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7" fillId="25" borderId="62" xfId="0" applyNumberFormat="1" applyFont="1" applyFill="1" applyBorder="1" applyAlignment="1">
      <alignment horizontal="center" vertical="center"/>
    </xf>
    <xf numFmtId="14" fontId="44" fillId="38" borderId="62" xfId="0" applyNumberFormat="1" applyFont="1" applyFill="1" applyBorder="1" applyAlignment="1">
      <alignment horizontal="center" vertical="center"/>
    </xf>
    <xf numFmtId="3" fontId="44" fillId="38" borderId="62" xfId="0" applyNumberFormat="1" applyFont="1" applyFill="1" applyBorder="1" applyAlignment="1">
      <alignment horizontal="center" vertical="center"/>
    </xf>
    <xf numFmtId="169" fontId="44" fillId="38" borderId="62" xfId="0" applyNumberFormat="1" applyFont="1" applyFill="1" applyBorder="1" applyAlignment="1">
      <alignment horizontal="center" vertical="center"/>
    </xf>
    <xf numFmtId="10" fontId="57" fillId="25" borderId="76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71" fillId="22" borderId="30" xfId="0" applyFont="1" applyFill="1" applyBorder="1" applyAlignment="1">
      <alignment vertical="center"/>
    </xf>
    <xf numFmtId="0" fontId="59" fillId="22" borderId="31" xfId="0" applyFont="1" applyFill="1" applyBorder="1" applyAlignment="1">
      <alignment horizontal="center" vertical="center"/>
    </xf>
    <xf numFmtId="0" fontId="72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2" fillId="25" borderId="54" xfId="0" applyFont="1" applyFill="1" applyBorder="1" applyAlignment="1">
      <alignment horizontal="center" vertical="center"/>
    </xf>
    <xf numFmtId="0" fontId="62" fillId="25" borderId="80" xfId="0" applyFont="1" applyFill="1" applyBorder="1" applyAlignment="1">
      <alignment horizontal="center" vertical="center"/>
    </xf>
    <xf numFmtId="1" fontId="57" fillId="25" borderId="81" xfId="0" applyNumberFormat="1" applyFont="1" applyFill="1" applyBorder="1" applyAlignment="1">
      <alignment horizontal="center" vertical="center"/>
    </xf>
    <xf numFmtId="2" fontId="57" fillId="34" borderId="44" xfId="0" applyNumberFormat="1" applyFont="1" applyFill="1" applyBorder="1" applyAlignment="1">
      <alignment vertical="center"/>
    </xf>
    <xf numFmtId="164" fontId="57" fillId="34" borderId="43" xfId="0" applyNumberFormat="1" applyFont="1" applyFill="1" applyBorder="1" applyAlignment="1">
      <alignment vertical="center"/>
    </xf>
    <xf numFmtId="164" fontId="57" fillId="34" borderId="82" xfId="0" applyNumberFormat="1" applyFont="1" applyFill="1" applyBorder="1" applyAlignment="1">
      <alignment vertical="center"/>
    </xf>
    <xf numFmtId="1" fontId="57" fillId="34" borderId="34" xfId="0" applyNumberFormat="1" applyFont="1" applyFill="1" applyBorder="1" applyAlignment="1">
      <alignment vertical="center"/>
    </xf>
    <xf numFmtId="1" fontId="57" fillId="34" borderId="38" xfId="0" applyNumberFormat="1" applyFont="1" applyFill="1" applyBorder="1" applyAlignment="1">
      <alignment vertical="center"/>
    </xf>
    <xf numFmtId="2" fontId="57" fillId="34" borderId="35" xfId="0" applyNumberFormat="1" applyFont="1" applyFill="1" applyBorder="1" applyAlignment="1">
      <alignment vertical="center"/>
    </xf>
    <xf numFmtId="164" fontId="57" fillId="34" borderId="2" xfId="0" applyNumberFormat="1" applyFont="1" applyFill="1" applyBorder="1" applyAlignment="1">
      <alignment vertical="center"/>
    </xf>
    <xf numFmtId="164" fontId="57" fillId="34" borderId="36" xfId="0" applyNumberFormat="1" applyFont="1" applyFill="1" applyBorder="1" applyAlignment="1">
      <alignment vertical="center"/>
    </xf>
    <xf numFmtId="1" fontId="57" fillId="25" borderId="77" xfId="0" applyNumberFormat="1" applyFont="1" applyFill="1" applyBorder="1" applyAlignment="1">
      <alignment horizontal="center" vertical="center"/>
    </xf>
    <xf numFmtId="2" fontId="57" fillId="34" borderId="84" xfId="0" applyNumberFormat="1" applyFont="1" applyFill="1" applyBorder="1" applyAlignment="1">
      <alignment vertical="center"/>
    </xf>
    <xf numFmtId="164" fontId="57" fillId="34" borderId="15" xfId="0" applyNumberFormat="1" applyFont="1" applyFill="1" applyBorder="1" applyAlignment="1">
      <alignment vertical="center"/>
    </xf>
    <xf numFmtId="164" fontId="57" fillId="34" borderId="79" xfId="0" applyNumberFormat="1" applyFont="1" applyFill="1" applyBorder="1" applyAlignment="1">
      <alignment vertical="center"/>
    </xf>
    <xf numFmtId="1" fontId="57" fillId="34" borderId="65" xfId="0" applyNumberFormat="1" applyFont="1" applyFill="1" applyBorder="1" applyAlignment="1">
      <alignment vertical="center"/>
    </xf>
    <xf numFmtId="1" fontId="57" fillId="34" borderId="85" xfId="0" applyNumberFormat="1" applyFont="1" applyFill="1" applyBorder="1" applyAlignment="1">
      <alignment vertical="center"/>
    </xf>
    <xf numFmtId="0" fontId="57" fillId="38" borderId="86" xfId="0" applyFont="1" applyFill="1" applyBorder="1" applyAlignment="1">
      <alignment horizontal="center" vertical="center"/>
    </xf>
    <xf numFmtId="1" fontId="57" fillId="38" borderId="77" xfId="0" applyNumberFormat="1" applyFont="1" applyFill="1" applyBorder="1" applyAlignment="1">
      <alignment horizontal="center" vertical="center"/>
    </xf>
    <xf numFmtId="0" fontId="57" fillId="38" borderId="78" xfId="0" applyFont="1" applyFill="1" applyBorder="1" applyAlignment="1">
      <alignment horizontal="center" vertical="center"/>
    </xf>
    <xf numFmtId="164" fontId="57" fillId="38" borderId="88" xfId="0" applyNumberFormat="1" applyFont="1" applyFill="1" applyBorder="1" applyAlignment="1">
      <alignment horizontal="right" vertical="center"/>
    </xf>
    <xf numFmtId="164" fontId="57" fillId="38" borderId="89" xfId="0" applyNumberFormat="1" applyFont="1" applyFill="1" applyBorder="1" applyAlignment="1">
      <alignment horizontal="right" vertical="center"/>
    </xf>
    <xf numFmtId="2" fontId="57" fillId="38" borderId="87" xfId="0" applyNumberFormat="1" applyFont="1" applyFill="1" applyBorder="1" applyAlignment="1">
      <alignment vertical="center"/>
    </xf>
    <xf numFmtId="1" fontId="57" fillId="38" borderId="77" xfId="0" applyNumberFormat="1" applyFont="1" applyFill="1" applyBorder="1" applyAlignment="1">
      <alignment vertical="center"/>
    </xf>
    <xf numFmtId="164" fontId="57" fillId="38" borderId="89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0" fillId="31" borderId="34" xfId="55" applyNumberFormat="1" applyFont="1" applyFill="1" applyBorder="1" applyAlignment="1">
      <alignment horizontal="center" vertical="center"/>
    </xf>
    <xf numFmtId="0" fontId="50" fillId="21" borderId="91" xfId="0" applyFont="1" applyFill="1" applyBorder="1" applyAlignment="1">
      <alignment horizontal="center" vertical="center"/>
    </xf>
    <xf numFmtId="0" fontId="61" fillId="29" borderId="34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7" fillId="25" borderId="34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vertical="center"/>
    </xf>
    <xf numFmtId="0" fontId="57" fillId="33" borderId="2" xfId="0" applyFont="1" applyFill="1" applyBorder="1" applyAlignment="1">
      <alignment vertical="center"/>
    </xf>
    <xf numFmtId="0" fontId="57" fillId="33" borderId="36" xfId="0" applyFont="1" applyFill="1" applyBorder="1" applyAlignment="1">
      <alignment vertical="center"/>
    </xf>
    <xf numFmtId="0" fontId="57" fillId="26" borderId="37" xfId="0" applyFont="1" applyFill="1" applyBorder="1" applyAlignment="1">
      <alignment vertical="center"/>
    </xf>
    <xf numFmtId="0" fontId="57" fillId="33" borderId="37" xfId="0" applyFont="1" applyFill="1" applyBorder="1" applyAlignment="1">
      <alignment vertical="center"/>
    </xf>
    <xf numFmtId="0" fontId="57" fillId="33" borderId="38" xfId="0" applyFont="1" applyFill="1" applyBorder="1" applyAlignment="1">
      <alignment vertical="center"/>
    </xf>
    <xf numFmtId="0" fontId="56" fillId="25" borderId="33" xfId="0" applyFont="1" applyFill="1" applyBorder="1" applyAlignment="1">
      <alignment horizontal="center" vertical="center"/>
    </xf>
    <xf numFmtId="0" fontId="57" fillId="22" borderId="2" xfId="0" applyFont="1" applyFill="1" applyBorder="1" applyAlignment="1">
      <alignment vertical="center"/>
    </xf>
    <xf numFmtId="0" fontId="57" fillId="22" borderId="36" xfId="0" applyFont="1" applyFill="1" applyBorder="1" applyAlignment="1">
      <alignment vertical="center"/>
    </xf>
    <xf numFmtId="0" fontId="57" fillId="22" borderId="34" xfId="0" applyFont="1" applyFill="1" applyBorder="1" applyAlignment="1">
      <alignment vertical="center"/>
    </xf>
    <xf numFmtId="0" fontId="57" fillId="22" borderId="38" xfId="0" applyFont="1" applyFill="1" applyBorder="1" applyAlignment="1">
      <alignment vertical="center"/>
    </xf>
    <xf numFmtId="0" fontId="65" fillId="25" borderId="33" xfId="0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57" fillId="25" borderId="65" xfId="0" applyFont="1" applyFill="1" applyBorder="1" applyAlignment="1">
      <alignment horizontal="center" vertical="center"/>
    </xf>
    <xf numFmtId="0" fontId="57" fillId="25" borderId="66" xfId="0" applyFont="1" applyFill="1" applyBorder="1" applyAlignment="1">
      <alignment vertical="center"/>
    </xf>
    <xf numFmtId="0" fontId="57" fillId="22" borderId="67" xfId="0" applyFont="1" applyFill="1" applyBorder="1" applyAlignment="1">
      <alignment vertical="center"/>
    </xf>
    <xf numFmtId="0" fontId="57" fillId="22" borderId="68" xfId="0" applyFont="1" applyFill="1" applyBorder="1" applyAlignment="1">
      <alignment vertical="center"/>
    </xf>
    <xf numFmtId="0" fontId="57" fillId="26" borderId="64" xfId="0" applyFont="1" applyFill="1" applyBorder="1" applyAlignment="1">
      <alignment vertical="center"/>
    </xf>
    <xf numFmtId="0" fontId="57" fillId="22" borderId="65" xfId="0" applyFont="1" applyFill="1" applyBorder="1" applyAlignment="1">
      <alignment vertical="center"/>
    </xf>
    <xf numFmtId="0" fontId="57" fillId="25" borderId="77" xfId="0" applyFont="1" applyFill="1" applyBorder="1" applyAlignment="1">
      <alignment horizontal="center" vertical="center"/>
    </xf>
    <xf numFmtId="0" fontId="57" fillId="25" borderId="78" xfId="0" applyFont="1" applyFill="1" applyBorder="1" applyAlignment="1">
      <alignment vertical="center"/>
    </xf>
    <xf numFmtId="0" fontId="57" fillId="33" borderId="15" xfId="0" applyFont="1" applyFill="1" applyBorder="1" applyAlignment="1">
      <alignment vertical="center"/>
    </xf>
    <xf numFmtId="0" fontId="57" fillId="33" borderId="79" xfId="0" applyFont="1" applyFill="1" applyBorder="1" applyAlignment="1">
      <alignment vertical="center"/>
    </xf>
    <xf numFmtId="0" fontId="57" fillId="33" borderId="65" xfId="0" applyFont="1" applyFill="1" applyBorder="1" applyAlignment="1">
      <alignment vertical="center"/>
    </xf>
    <xf numFmtId="0" fontId="57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7" fillId="34" borderId="37" xfId="0" applyFont="1" applyFill="1" applyBorder="1" applyAlignment="1">
      <alignment vertical="center"/>
    </xf>
    <xf numFmtId="0" fontId="57" fillId="34" borderId="64" xfId="0" applyFont="1" applyFill="1" applyBorder="1" applyAlignment="1">
      <alignment vertical="center"/>
    </xf>
    <xf numFmtId="0" fontId="73" fillId="26" borderId="87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9" xfId="0" applyFont="1" applyFill="1" applyBorder="1" applyAlignment="1">
      <alignment horizontal="center" vertical="center"/>
    </xf>
    <xf numFmtId="0" fontId="44" fillId="22" borderId="49" xfId="0" applyFont="1" applyFill="1" applyBorder="1" applyAlignment="1">
      <alignment horizontal="center" vertical="center"/>
    </xf>
    <xf numFmtId="0" fontId="44" fillId="35" borderId="49" xfId="0" applyFont="1" applyFill="1" applyBorder="1" applyAlignment="1">
      <alignment horizontal="center" vertical="center"/>
    </xf>
    <xf numFmtId="0" fontId="57" fillId="36" borderId="49" xfId="0" applyFont="1" applyFill="1" applyBorder="1" applyAlignment="1">
      <alignment horizontal="right" vertical="center"/>
    </xf>
    <xf numFmtId="0" fontId="47" fillId="27" borderId="49" xfId="0" applyFont="1" applyFill="1" applyBorder="1" applyAlignment="1">
      <alignment horizontal="center" vertical="center"/>
    </xf>
    <xf numFmtId="0" fontId="47" fillId="27" borderId="55" xfId="0" applyFont="1" applyFill="1" applyBorder="1" applyAlignment="1">
      <alignment horizontal="center" vertical="center"/>
    </xf>
    <xf numFmtId="0" fontId="57" fillId="22" borderId="43" xfId="0" applyFont="1" applyFill="1" applyBorder="1" applyAlignment="1">
      <alignment horizontal="right" vertical="center"/>
    </xf>
    <xf numFmtId="0" fontId="57" fillId="22" borderId="44" xfId="0" applyFont="1" applyFill="1" applyBorder="1" applyAlignment="1">
      <alignment horizontal="right" vertical="center"/>
    </xf>
    <xf numFmtId="0" fontId="57" fillId="22" borderId="2" xfId="0" applyFont="1" applyFill="1" applyBorder="1" applyAlignment="1">
      <alignment horizontal="right" vertical="center"/>
    </xf>
    <xf numFmtId="0" fontId="57" fillId="22" borderId="35" xfId="0" applyFont="1" applyFill="1" applyBorder="1" applyAlignment="1">
      <alignment horizontal="right" vertical="center"/>
    </xf>
    <xf numFmtId="0" fontId="44" fillId="29" borderId="93" xfId="0" applyFont="1" applyFill="1" applyBorder="1" applyAlignment="1">
      <alignment horizontal="center" vertical="center"/>
    </xf>
    <xf numFmtId="0" fontId="57" fillId="33" borderId="2" xfId="0" applyFont="1" applyFill="1" applyBorder="1" applyAlignment="1">
      <alignment horizontal="right" vertical="center"/>
    </xf>
    <xf numFmtId="0" fontId="57" fillId="33" borderId="46" xfId="0" applyFont="1" applyFill="1" applyBorder="1" applyAlignment="1">
      <alignment horizontal="right" vertical="center"/>
    </xf>
    <xf numFmtId="0" fontId="57" fillId="33" borderId="35" xfId="0" applyFont="1" applyFill="1" applyBorder="1" applyAlignment="1">
      <alignment horizontal="right" vertical="center"/>
    </xf>
    <xf numFmtId="0" fontId="57" fillId="34" borderId="2" xfId="0" applyFont="1" applyFill="1" applyBorder="1" applyAlignment="1">
      <alignment horizontal="right" vertical="center"/>
    </xf>
    <xf numFmtId="0" fontId="57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100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9" xfId="0" applyFont="1" applyFill="1" applyBorder="1" applyAlignment="1">
      <alignment horizontal="right" vertical="center"/>
    </xf>
    <xf numFmtId="0" fontId="39" fillId="10" borderId="10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0" fontId="37" fillId="10" borderId="106" xfId="0" applyFont="1" applyFill="1" applyBorder="1" applyAlignment="1">
      <alignment horizontal="right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0" fontId="74" fillId="10" borderId="107" xfId="0" applyFont="1" applyFill="1" applyBorder="1" applyAlignment="1">
      <alignment horizontal="right" vertical="center"/>
    </xf>
    <xf numFmtId="0" fontId="75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9" fillId="10" borderId="111" xfId="0" applyFont="1" applyFill="1" applyBorder="1" applyAlignment="1">
      <alignment horizontal="right" vertical="center"/>
    </xf>
    <xf numFmtId="0" fontId="77" fillId="10" borderId="108" xfId="0" applyFont="1" applyFill="1" applyBorder="1" applyAlignment="1">
      <alignment horizontal="left" vertical="center"/>
    </xf>
    <xf numFmtId="0" fontId="37" fillId="10" borderId="112" xfId="0" applyFont="1" applyFill="1" applyBorder="1" applyAlignment="1">
      <alignment horizontal="right" vertical="center"/>
    </xf>
    <xf numFmtId="1" fontId="25" fillId="9" borderId="114" xfId="0" applyNumberFormat="1" applyFont="1" applyFill="1" applyBorder="1" applyAlignment="1">
      <alignment horizontal="center" vertical="center"/>
    </xf>
    <xf numFmtId="1" fontId="25" fillId="9" borderId="115" xfId="0" applyNumberFormat="1" applyFont="1" applyFill="1" applyBorder="1" applyAlignment="1">
      <alignment horizontal="center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16" xfId="0" applyFont="1" applyFill="1" applyBorder="1" applyAlignment="1">
      <alignment horizontal="right" vertical="center"/>
    </xf>
    <xf numFmtId="0" fontId="37" fillId="10" borderId="116" xfId="0" applyFont="1" applyFill="1" applyBorder="1" applyAlignment="1">
      <alignment horizontal="right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3" fontId="37" fillId="10" borderId="109" xfId="0" applyNumberFormat="1" applyFont="1" applyFill="1" applyBorder="1" applyAlignment="1">
      <alignment horizontal="right" vertical="center"/>
    </xf>
    <xf numFmtId="0" fontId="75" fillId="10" borderId="99" xfId="55" applyNumberFormat="1" applyFont="1" applyFill="1" applyBorder="1" applyAlignment="1">
      <alignment horizontal="right" vertical="center"/>
    </xf>
    <xf numFmtId="0" fontId="37" fillId="10" borderId="99" xfId="55" applyNumberFormat="1" applyFont="1" applyFill="1" applyBorder="1" applyAlignment="1">
      <alignment horizontal="right" vertical="center"/>
    </xf>
    <xf numFmtId="0" fontId="78" fillId="20" borderId="25" xfId="0" applyFont="1" applyFill="1" applyBorder="1" applyAlignment="1">
      <alignment horizontal="center" vertical="center"/>
    </xf>
    <xf numFmtId="0" fontId="78" fillId="20" borderId="92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/>
    </xf>
    <xf numFmtId="0" fontId="74" fillId="10" borderId="106" xfId="0" applyFont="1" applyFill="1" applyBorder="1" applyAlignment="1">
      <alignment horizontal="right" vertical="center"/>
    </xf>
    <xf numFmtId="3" fontId="37" fillId="10" borderId="106" xfId="0" applyNumberFormat="1" applyFont="1" applyFill="1" applyBorder="1" applyAlignment="1">
      <alignment horizontal="right" vertical="center"/>
    </xf>
    <xf numFmtId="0" fontId="39" fillId="10" borderId="127" xfId="0" applyFont="1" applyFill="1" applyBorder="1" applyAlignment="1">
      <alignment horizontal="right" vertical="center"/>
    </xf>
    <xf numFmtId="0" fontId="39" fillId="10" borderId="126" xfId="0" applyFont="1" applyFill="1" applyBorder="1" applyAlignment="1">
      <alignment horizontal="right" vertical="center"/>
    </xf>
    <xf numFmtId="0" fontId="37" fillId="10" borderId="126" xfId="0" applyFont="1" applyFill="1" applyBorder="1" applyAlignment="1">
      <alignment horizontal="right" vertical="center"/>
    </xf>
    <xf numFmtId="1" fontId="25" fillId="9" borderId="129" xfId="0" applyNumberFormat="1" applyFont="1" applyFill="1" applyBorder="1" applyAlignment="1">
      <alignment horizontal="center" vertical="center"/>
    </xf>
    <xf numFmtId="0" fontId="74" fillId="10" borderId="99" xfId="0" applyFont="1" applyFill="1" applyBorder="1" applyAlignment="1">
      <alignment horizontal="right" vertical="center"/>
    </xf>
    <xf numFmtId="3" fontId="37" fillId="10" borderId="126" xfId="0" applyNumberFormat="1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3" fontId="37" fillId="10" borderId="116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6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39" fillId="10" borderId="133" xfId="0" applyFont="1" applyFill="1" applyBorder="1" applyAlignment="1">
      <alignment horizontal="right" vertical="center"/>
    </xf>
    <xf numFmtId="0" fontId="39" fillId="10" borderId="132" xfId="0" applyFont="1" applyFill="1" applyBorder="1" applyAlignment="1">
      <alignment horizontal="right" vertical="center"/>
    </xf>
    <xf numFmtId="3" fontId="37" fillId="10" borderId="132" xfId="0" applyNumberFormat="1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1" fontId="25" fillId="9" borderId="134" xfId="0" applyNumberFormat="1" applyFont="1" applyFill="1" applyBorder="1" applyAlignment="1">
      <alignment horizontal="center" vertical="center"/>
    </xf>
    <xf numFmtId="0" fontId="74" fillId="10" borderId="132" xfId="0" applyFont="1" applyFill="1" applyBorder="1" applyAlignment="1">
      <alignment horizontal="right" vertical="center"/>
    </xf>
    <xf numFmtId="0" fontId="80" fillId="12" borderId="123" xfId="55" applyNumberFormat="1" applyFont="1" applyFill="1" applyBorder="1" applyAlignment="1">
      <alignment horizontal="center" vertical="center"/>
    </xf>
    <xf numFmtId="0" fontId="80" fillId="12" borderId="122" xfId="55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" fontId="23" fillId="11" borderId="139" xfId="77" applyNumberFormat="1" applyFont="1" applyFill="1" applyBorder="1" applyAlignment="1">
      <alignment horizontal="center" vertical="center"/>
    </xf>
    <xf numFmtId="168" fontId="32" fillId="13" borderId="138" xfId="0" applyNumberFormat="1" applyFont="1" applyFill="1" applyBorder="1" applyAlignment="1">
      <alignment horizontal="center" vertical="center" wrapText="1"/>
    </xf>
    <xf numFmtId="0" fontId="74" fillId="10" borderId="104" xfId="0" applyFont="1" applyFill="1" applyBorder="1" applyAlignment="1">
      <alignment horizontal="right" vertical="center"/>
    </xf>
    <xf numFmtId="0" fontId="81" fillId="10" borderId="113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43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4" fillId="14" borderId="8" xfId="15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166" fontId="37" fillId="10" borderId="97" xfId="0" applyNumberFormat="1" applyFont="1" applyFill="1" applyBorder="1" applyAlignment="1">
      <alignment horizontal="center" vertical="center"/>
    </xf>
    <xf numFmtId="166" fontId="37" fillId="10" borderId="153" xfId="0" applyNumberFormat="1" applyFont="1" applyFill="1" applyBorder="1" applyAlignment="1">
      <alignment horizontal="center" vertical="center"/>
    </xf>
    <xf numFmtId="166" fontId="37" fillId="10" borderId="148" xfId="0" applyNumberFormat="1" applyFont="1" applyFill="1" applyBorder="1" applyAlignment="1">
      <alignment horizontal="center" vertical="center"/>
    </xf>
    <xf numFmtId="166" fontId="37" fillId="10" borderId="99" xfId="0" applyNumberFormat="1" applyFont="1" applyFill="1" applyBorder="1" applyAlignment="1">
      <alignment horizontal="center" vertical="center"/>
    </xf>
    <xf numFmtId="166" fontId="37" fillId="10" borderId="154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6" xfId="0" applyNumberFormat="1" applyFont="1" applyFill="1" applyBorder="1" applyAlignment="1">
      <alignment horizontal="center" vertical="center"/>
    </xf>
    <xf numFmtId="166" fontId="37" fillId="10" borderId="111" xfId="0" applyNumberFormat="1" applyFont="1" applyFill="1" applyBorder="1" applyAlignment="1">
      <alignment horizontal="center" vertical="center"/>
    </xf>
    <xf numFmtId="166" fontId="37" fillId="10" borderId="127" xfId="0" applyNumberFormat="1" applyFont="1" applyFill="1" applyBorder="1" applyAlignment="1">
      <alignment horizontal="center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153" xfId="0" applyFont="1" applyFill="1" applyBorder="1" applyAlignment="1">
      <alignment horizontal="right" vertical="center"/>
    </xf>
    <xf numFmtId="0" fontId="39" fillId="10" borderId="148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154" xfId="0" applyFont="1" applyFill="1" applyBorder="1" applyAlignment="1">
      <alignment horizontal="right" vertical="center"/>
    </xf>
    <xf numFmtId="0" fontId="39" fillId="10" borderId="131" xfId="0" applyFont="1" applyFill="1" applyBorder="1" applyAlignment="1">
      <alignment horizontal="right" vertical="center"/>
    </xf>
    <xf numFmtId="0" fontId="39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3" xfId="0" applyFont="1" applyFill="1" applyBorder="1" applyAlignment="1">
      <alignment horizontal="center" vertical="center"/>
    </xf>
    <xf numFmtId="0" fontId="23" fillId="9" borderId="132" xfId="0" applyFont="1" applyFill="1" applyBorder="1" applyAlignment="1">
      <alignment horizontal="center" vertical="center"/>
    </xf>
    <xf numFmtId="0" fontId="76" fillId="10" borderId="104" xfId="0" applyFont="1" applyFill="1" applyBorder="1" applyAlignment="1">
      <alignment horizontal="right" vertical="center"/>
    </xf>
    <xf numFmtId="167" fontId="37" fillId="10" borderId="156" xfId="55" applyNumberFormat="1" applyFont="1" applyFill="1" applyBorder="1" applyAlignment="1">
      <alignment horizontal="right" vertical="center"/>
    </xf>
    <xf numFmtId="10" fontId="30" fillId="10" borderId="156" xfId="114" applyNumberFormat="1" applyFont="1" applyFill="1" applyBorder="1" applyAlignment="1">
      <alignment horizontal="right" vertical="center"/>
    </xf>
    <xf numFmtId="0" fontId="13" fillId="15" borderId="157" xfId="15" applyFont="1" applyFill="1" applyBorder="1" applyAlignment="1">
      <alignment horizontal="center" vertical="center"/>
    </xf>
    <xf numFmtId="167" fontId="37" fillId="10" borderId="158" xfId="55" applyNumberFormat="1" applyFont="1" applyFill="1" applyBorder="1" applyAlignment="1">
      <alignment horizontal="right" vertical="center"/>
    </xf>
    <xf numFmtId="10" fontId="30" fillId="10" borderId="158" xfId="114" applyNumberFormat="1" applyFont="1" applyFill="1" applyBorder="1" applyAlignment="1">
      <alignment horizontal="right" vertical="center"/>
    </xf>
    <xf numFmtId="10" fontId="84" fillId="10" borderId="156" xfId="114" applyNumberFormat="1" applyFont="1" applyFill="1" applyBorder="1" applyAlignment="1">
      <alignment horizontal="right" vertical="center"/>
    </xf>
    <xf numFmtId="10" fontId="84" fillId="10" borderId="10" xfId="114" applyNumberFormat="1" applyFont="1" applyFill="1" applyBorder="1" applyAlignment="1">
      <alignment horizontal="right" vertical="center"/>
    </xf>
    <xf numFmtId="10" fontId="84" fillId="10" borderId="158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5" fillId="10" borderId="97" xfId="55" applyNumberFormat="1" applyFont="1" applyFill="1" applyBorder="1" applyAlignment="1">
      <alignment horizontal="right" vertical="center"/>
    </xf>
    <xf numFmtId="43" fontId="32" fillId="13" borderId="124" xfId="55" applyFont="1" applyFill="1" applyBorder="1" applyAlignment="1">
      <alignment horizontal="center" vertical="center" wrapText="1"/>
    </xf>
    <xf numFmtId="1" fontId="87" fillId="11" borderId="139" xfId="77" applyNumberFormat="1" applyFont="1" applyFill="1" applyBorder="1" applyAlignment="1">
      <alignment horizontal="center" vertical="center"/>
    </xf>
    <xf numFmtId="1" fontId="87" fillId="11" borderId="137" xfId="77" applyNumberFormat="1" applyFont="1" applyFill="1" applyBorder="1" applyAlignment="1">
      <alignment horizontal="center" vertical="center"/>
    </xf>
    <xf numFmtId="1" fontId="88" fillId="11" borderId="137" xfId="77" applyNumberFormat="1" applyFont="1" applyFill="1" applyBorder="1" applyAlignment="1">
      <alignment horizontal="center" vertical="center"/>
    </xf>
    <xf numFmtId="1" fontId="89" fillId="11" borderId="139" xfId="77" applyNumberFormat="1" applyFont="1" applyFill="1" applyBorder="1" applyAlignment="1">
      <alignment horizontal="center" vertical="center"/>
    </xf>
    <xf numFmtId="0" fontId="40" fillId="9" borderId="3" xfId="0" applyNumberFormat="1" applyFont="1" applyFill="1" applyBorder="1" applyAlignment="1">
      <alignment vertical="center"/>
    </xf>
    <xf numFmtId="1" fontId="90" fillId="11" borderId="139" xfId="77" applyNumberFormat="1" applyFont="1" applyFill="1" applyBorder="1" applyAlignment="1">
      <alignment horizontal="center" vertical="center"/>
    </xf>
    <xf numFmtId="1" fontId="90" fillId="11" borderId="137" xfId="77" applyNumberFormat="1" applyFont="1" applyFill="1" applyBorder="1" applyAlignment="1">
      <alignment horizontal="center" vertical="center"/>
    </xf>
    <xf numFmtId="0" fontId="91" fillId="9" borderId="145" xfId="55" applyNumberFormat="1" applyFont="1" applyFill="1" applyBorder="1" applyAlignment="1">
      <alignment horizontal="center" vertical="center"/>
    </xf>
    <xf numFmtId="0" fontId="91" fillId="9" borderId="140" xfId="0" applyNumberFormat="1" applyFont="1" applyFill="1" applyBorder="1" applyAlignment="1">
      <alignment horizontal="center" vertical="center"/>
    </xf>
    <xf numFmtId="0" fontId="91" fillId="9" borderId="146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0" fillId="9" borderId="140" xfId="0" applyNumberFormat="1" applyFont="1" applyFill="1" applyBorder="1" applyAlignment="1">
      <alignment horizontal="center" vertical="center"/>
    </xf>
    <xf numFmtId="2" fontId="40" fillId="9" borderId="14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0" fillId="9" borderId="96" xfId="0" applyNumberFormat="1" applyFont="1" applyFill="1" applyBorder="1" applyAlignment="1">
      <alignment horizontal="center" vertical="center"/>
    </xf>
    <xf numFmtId="2" fontId="40" fillId="9" borderId="11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3" fillId="9" borderId="106" xfId="55" applyNumberFormat="1" applyFont="1" applyFill="1" applyBorder="1" applyAlignment="1">
      <alignment horizontal="center" vertical="center"/>
    </xf>
    <xf numFmtId="2" fontId="83" fillId="9" borderId="105" xfId="55" applyNumberFormat="1" applyFont="1" applyFill="1" applyBorder="1" applyAlignment="1">
      <alignment horizontal="center" vertical="center"/>
    </xf>
    <xf numFmtId="2" fontId="83" fillId="9" borderId="109" xfId="55" applyNumberFormat="1" applyFont="1" applyFill="1" applyBorder="1" applyAlignment="1">
      <alignment horizontal="center" vertical="center"/>
    </xf>
    <xf numFmtId="0" fontId="91" fillId="9" borderId="145" xfId="55" applyNumberFormat="1" applyFont="1" applyFill="1" applyBorder="1" applyAlignment="1">
      <alignment horizontal="left" vertical="center"/>
    </xf>
    <xf numFmtId="0" fontId="74" fillId="10" borderId="100" xfId="0" applyFont="1" applyFill="1" applyBorder="1" applyAlignment="1">
      <alignment horizontal="right" vertical="center"/>
    </xf>
    <xf numFmtId="0" fontId="74" fillId="10" borderId="116" xfId="0" applyFont="1" applyFill="1" applyBorder="1" applyAlignment="1">
      <alignment horizontal="right" vertical="center"/>
    </xf>
    <xf numFmtId="0" fontId="75" fillId="10" borderId="106" xfId="55" applyNumberFormat="1" applyFont="1" applyFill="1" applyBorder="1" applyAlignment="1">
      <alignment horizontal="right" vertical="center"/>
    </xf>
    <xf numFmtId="0" fontId="83" fillId="9" borderId="145" xfId="55" applyNumberFormat="1" applyFont="1" applyFill="1" applyBorder="1" applyAlignment="1">
      <alignment horizontal="right" vertical="center"/>
    </xf>
    <xf numFmtId="0" fontId="75" fillId="10" borderId="116" xfId="55" applyNumberFormat="1" applyFont="1" applyFill="1" applyBorder="1" applyAlignment="1">
      <alignment horizontal="right" vertical="center"/>
    </xf>
    <xf numFmtId="0" fontId="83" fillId="9" borderId="105" xfId="55" applyNumberFormat="1" applyFont="1" applyFill="1" applyBorder="1" applyAlignment="1">
      <alignment horizontal="right" vertical="center"/>
    </xf>
    <xf numFmtId="0" fontId="75" fillId="10" borderId="100" xfId="55" applyNumberFormat="1" applyFont="1" applyFill="1" applyBorder="1" applyAlignment="1">
      <alignment horizontal="right" vertical="center"/>
    </xf>
    <xf numFmtId="0" fontId="75" fillId="10" borderId="132" xfId="55" applyNumberFormat="1" applyFont="1" applyFill="1" applyBorder="1" applyAlignment="1">
      <alignment horizontal="right" vertical="center"/>
    </xf>
    <xf numFmtId="0" fontId="83" fillId="9" borderId="159" xfId="55" applyNumberFormat="1" applyFont="1" applyFill="1" applyBorder="1" applyAlignment="1">
      <alignment horizontal="right" vertical="center"/>
    </xf>
    <xf numFmtId="0" fontId="92" fillId="9" borderId="105" xfId="55" applyNumberFormat="1" applyFont="1" applyFill="1" applyBorder="1" applyAlignment="1">
      <alignment horizontal="right" vertical="center"/>
    </xf>
    <xf numFmtId="0" fontId="92" fillId="9" borderId="159" xfId="55" applyNumberFormat="1" applyFont="1" applyFill="1" applyBorder="1" applyAlignment="1">
      <alignment horizontal="right" vertical="center"/>
    </xf>
    <xf numFmtId="0" fontId="92" fillId="9" borderId="145" xfId="55" applyNumberFormat="1" applyFont="1" applyFill="1" applyBorder="1" applyAlignment="1">
      <alignment horizontal="right" vertical="center"/>
    </xf>
    <xf numFmtId="0" fontId="30" fillId="9" borderId="159" xfId="0" applyFont="1" applyFill="1" applyBorder="1" applyAlignment="1">
      <alignment horizontal="center" vertical="center"/>
    </xf>
    <xf numFmtId="10" fontId="93" fillId="10" borderId="106" xfId="114" applyNumberFormat="1" applyFont="1" applyFill="1" applyBorder="1" applyAlignment="1">
      <alignment horizontal="center" vertical="center"/>
    </xf>
    <xf numFmtId="10" fontId="93" fillId="10" borderId="105" xfId="114" applyNumberFormat="1" applyFont="1" applyFill="1" applyBorder="1" applyAlignment="1">
      <alignment horizontal="center" vertical="center"/>
    </xf>
    <xf numFmtId="10" fontId="93" fillId="10" borderId="136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10" fontId="93" fillId="10" borderId="109" xfId="114" applyNumberFormat="1" applyFont="1" applyFill="1" applyBorder="1" applyAlignment="1">
      <alignment horizontal="center" vertical="center"/>
    </xf>
    <xf numFmtId="0" fontId="91" fillId="9" borderId="3" xfId="55" applyNumberFormat="1" applyFont="1" applyFill="1" applyBorder="1" applyAlignment="1">
      <alignment vertical="center"/>
    </xf>
    <xf numFmtId="0" fontId="91" fillId="9" borderId="102" xfId="55" applyNumberFormat="1" applyFont="1" applyFill="1" applyBorder="1" applyAlignment="1">
      <alignment vertical="center"/>
    </xf>
    <xf numFmtId="0" fontId="91" fillId="9" borderId="111" xfId="55" applyNumberFormat="1" applyFont="1" applyFill="1" applyBorder="1" applyAlignment="1">
      <alignment vertical="center"/>
    </xf>
    <xf numFmtId="0" fontId="91" fillId="9" borderId="3" xfId="0" applyNumberFormat="1" applyFont="1" applyFill="1" applyBorder="1" applyAlignment="1">
      <alignment vertical="center"/>
    </xf>
    <xf numFmtId="0" fontId="91" fillId="9" borderId="96" xfId="0" applyNumberFormat="1" applyFont="1" applyFill="1" applyBorder="1" applyAlignment="1">
      <alignment vertical="center"/>
    </xf>
    <xf numFmtId="0" fontId="94" fillId="9" borderId="99" xfId="55" applyNumberFormat="1" applyFont="1" applyFill="1" applyBorder="1" applyAlignment="1">
      <alignment vertical="top"/>
    </xf>
    <xf numFmtId="0" fontId="94" fillId="9" borderId="103" xfId="55" applyNumberFormat="1" applyFont="1" applyFill="1" applyBorder="1" applyAlignment="1">
      <alignment vertical="top"/>
    </xf>
    <xf numFmtId="0" fontId="94" fillId="9" borderId="110" xfId="55" applyNumberFormat="1" applyFont="1" applyFill="1" applyBorder="1" applyAlignment="1">
      <alignment vertical="top"/>
    </xf>
    <xf numFmtId="0" fontId="94" fillId="9" borderId="3" xfId="55" applyNumberFormat="1" applyFont="1" applyFill="1" applyBorder="1" applyAlignment="1">
      <alignment vertical="top"/>
    </xf>
    <xf numFmtId="0" fontId="94" fillId="9" borderId="102" xfId="55" applyNumberFormat="1" applyFont="1" applyFill="1" applyBorder="1" applyAlignment="1">
      <alignment vertical="top"/>
    </xf>
    <xf numFmtId="0" fontId="94" fillId="9" borderId="111" xfId="55" applyNumberFormat="1" applyFont="1" applyFill="1" applyBorder="1" applyAlignment="1">
      <alignment vertical="top"/>
    </xf>
    <xf numFmtId="0" fontId="96" fillId="0" borderId="0" xfId="0" applyFont="1" applyAlignment="1">
      <alignment vertical="top"/>
    </xf>
    <xf numFmtId="0" fontId="91" fillId="9" borderId="111" xfId="0" applyNumberFormat="1" applyFont="1" applyFill="1" applyBorder="1" applyAlignment="1">
      <alignment vertical="center"/>
    </xf>
    <xf numFmtId="0" fontId="36" fillId="9" borderId="155" xfId="0" applyFont="1" applyFill="1" applyBorder="1" applyAlignment="1">
      <alignment vertical="center"/>
    </xf>
    <xf numFmtId="0" fontId="36" fillId="9" borderId="107" xfId="0" applyFont="1" applyFill="1" applyBorder="1" applyAlignment="1">
      <alignment vertical="center"/>
    </xf>
    <xf numFmtId="0" fontId="91" fillId="9" borderId="145" xfId="55" applyNumberFormat="1" applyFont="1" applyFill="1" applyBorder="1" applyAlignment="1">
      <alignment horizontal="right" vertical="center"/>
    </xf>
    <xf numFmtId="2" fontId="40" fillId="9" borderId="143" xfId="0" applyNumberFormat="1" applyFont="1" applyFill="1" applyBorder="1" applyAlignment="1">
      <alignment horizontal="center" vertical="center"/>
    </xf>
    <xf numFmtId="2" fontId="40" fillId="9" borderId="3" xfId="0" applyNumberFormat="1" applyFont="1" applyFill="1" applyBorder="1" applyAlignment="1">
      <alignment horizontal="center" vertical="center"/>
    </xf>
    <xf numFmtId="0" fontId="75" fillId="10" borderId="126" xfId="55" applyNumberFormat="1" applyFont="1" applyFill="1" applyBorder="1" applyAlignment="1">
      <alignment horizontal="right" vertical="center"/>
    </xf>
    <xf numFmtId="0" fontId="74" fillId="10" borderId="126" xfId="0" applyFont="1" applyFill="1" applyBorder="1" applyAlignment="1">
      <alignment horizontal="right" vertical="center"/>
    </xf>
    <xf numFmtId="0" fontId="83" fillId="9" borderId="169" xfId="55" applyNumberFormat="1" applyFont="1" applyFill="1" applyBorder="1" applyAlignment="1">
      <alignment horizontal="right" vertical="center"/>
    </xf>
    <xf numFmtId="0" fontId="92" fillId="9" borderId="169" xfId="55" applyNumberFormat="1" applyFont="1" applyFill="1" applyBorder="1" applyAlignment="1">
      <alignment horizontal="right" vertical="center"/>
    </xf>
    <xf numFmtId="0" fontId="30" fillId="9" borderId="169" xfId="0" applyFont="1" applyFill="1" applyBorder="1" applyAlignment="1">
      <alignment horizontal="center" vertical="center"/>
    </xf>
    <xf numFmtId="10" fontId="93" fillId="10" borderId="130" xfId="114" applyNumberFormat="1" applyFont="1" applyFill="1" applyBorder="1" applyAlignment="1">
      <alignment horizontal="center" vertical="center"/>
    </xf>
    <xf numFmtId="166" fontId="37" fillId="10" borderId="131" xfId="0" applyNumberFormat="1" applyFont="1" applyFill="1" applyBorder="1" applyAlignment="1">
      <alignment horizontal="center" vertical="center"/>
    </xf>
    <xf numFmtId="0" fontId="26" fillId="9" borderId="131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2" fontId="91" fillId="9" borderId="168" xfId="0" applyNumberFormat="1" applyFont="1" applyFill="1" applyBorder="1" applyAlignment="1">
      <alignment horizontal="center" vertical="center"/>
    </xf>
    <xf numFmtId="2" fontId="83" fillId="9" borderId="130" xfId="55" applyNumberFormat="1" applyFont="1" applyFill="1" applyBorder="1" applyAlignment="1">
      <alignment horizontal="center" vertical="center"/>
    </xf>
    <xf numFmtId="2" fontId="91" fillId="9" borderId="145" xfId="55" applyNumberFormat="1" applyFont="1" applyFill="1" applyBorder="1" applyAlignment="1">
      <alignment horizontal="right" vertical="center"/>
    </xf>
    <xf numFmtId="2" fontId="91" fillId="9" borderId="147" xfId="55" applyNumberFormat="1" applyFont="1" applyFill="1" applyBorder="1" applyAlignment="1">
      <alignment horizontal="right" vertical="center"/>
    </xf>
    <xf numFmtId="164" fontId="91" fillId="9" borderId="147" xfId="55" applyNumberFormat="1" applyFont="1" applyFill="1" applyBorder="1" applyAlignment="1">
      <alignment horizontal="right" vertical="center"/>
    </xf>
    <xf numFmtId="0" fontId="91" fillId="9" borderId="174" xfId="0" applyNumberFormat="1" applyFont="1" applyFill="1" applyBorder="1" applyAlignment="1">
      <alignment vertical="center"/>
    </xf>
    <xf numFmtId="0" fontId="91" fillId="9" borderId="128" xfId="55" applyNumberFormat="1" applyFont="1" applyFill="1" applyBorder="1" applyAlignment="1">
      <alignment vertical="center"/>
    </xf>
    <xf numFmtId="0" fontId="97" fillId="9" borderId="145" xfId="55" applyNumberFormat="1" applyFont="1" applyFill="1" applyBorder="1" applyAlignment="1">
      <alignment horizontal="left" vertical="center"/>
    </xf>
    <xf numFmtId="0" fontId="97" fillId="9" borderId="147" xfId="55" applyNumberFormat="1" applyFont="1" applyFill="1" applyBorder="1" applyAlignment="1">
      <alignment horizontal="right" vertical="center"/>
    </xf>
    <xf numFmtId="0" fontId="98" fillId="9" borderId="145" xfId="55" applyNumberFormat="1" applyFont="1" applyFill="1" applyBorder="1" applyAlignment="1">
      <alignment horizontal="left" vertical="center"/>
    </xf>
    <xf numFmtId="0" fontId="99" fillId="9" borderId="145" xfId="55" applyNumberFormat="1" applyFont="1" applyFill="1" applyBorder="1" applyAlignment="1">
      <alignment horizontal="left" vertical="center"/>
    </xf>
    <xf numFmtId="0" fontId="100" fillId="9" borderId="145" xfId="55" applyNumberFormat="1" applyFont="1" applyFill="1" applyBorder="1" applyAlignment="1">
      <alignment horizontal="right" vertical="center"/>
    </xf>
    <xf numFmtId="0" fontId="101" fillId="9" borderId="145" xfId="55" applyNumberFormat="1" applyFont="1" applyFill="1" applyBorder="1" applyAlignment="1">
      <alignment horizontal="right" vertical="center"/>
    </xf>
    <xf numFmtId="0" fontId="101" fillId="10" borderId="106" xfId="0" applyFont="1" applyFill="1" applyBorder="1" applyAlignment="1">
      <alignment horizontal="right" vertical="center"/>
    </xf>
    <xf numFmtId="0" fontId="100" fillId="10" borderId="106" xfId="55" applyNumberFormat="1" applyFont="1" applyFill="1" applyBorder="1" applyAlignment="1">
      <alignment horizontal="right" vertical="center"/>
    </xf>
    <xf numFmtId="0" fontId="102" fillId="9" borderId="100" xfId="0" applyFont="1" applyFill="1" applyBorder="1" applyAlignment="1">
      <alignment horizontal="center" vertical="center"/>
    </xf>
    <xf numFmtId="10" fontId="103" fillId="10" borderId="106" xfId="114" applyNumberFormat="1" applyFont="1" applyFill="1" applyBorder="1" applyAlignment="1">
      <alignment horizontal="center" vertical="center"/>
    </xf>
    <xf numFmtId="0" fontId="104" fillId="10" borderId="3" xfId="0" applyFont="1" applyFill="1" applyBorder="1" applyAlignment="1">
      <alignment horizontal="right" vertical="center"/>
    </xf>
    <xf numFmtId="0" fontId="104" fillId="10" borderId="106" xfId="0" applyFont="1" applyFill="1" applyBorder="1" applyAlignment="1">
      <alignment horizontal="right" vertical="center"/>
    </xf>
    <xf numFmtId="0" fontId="104" fillId="10" borderId="99" xfId="0" applyFont="1" applyFill="1" applyBorder="1" applyAlignment="1">
      <alignment horizontal="right" vertical="center"/>
    </xf>
    <xf numFmtId="0" fontId="105" fillId="10" borderId="106" xfId="0" applyFont="1" applyFill="1" applyBorder="1" applyAlignment="1">
      <alignment horizontal="right" vertical="center"/>
    </xf>
    <xf numFmtId="3" fontId="105" fillId="10" borderId="106" xfId="0" applyNumberFormat="1" applyFont="1" applyFill="1" applyBorder="1" applyAlignment="1">
      <alignment horizontal="right" vertical="center"/>
    </xf>
    <xf numFmtId="0" fontId="100" fillId="10" borderId="116" xfId="55" applyNumberFormat="1" applyFont="1" applyFill="1" applyBorder="1" applyAlignment="1">
      <alignment horizontal="right" vertical="center"/>
    </xf>
    <xf numFmtId="0" fontId="101" fillId="10" borderId="116" xfId="0" applyFont="1" applyFill="1" applyBorder="1" applyAlignment="1">
      <alignment horizontal="right" vertical="center"/>
    </xf>
    <xf numFmtId="0" fontId="101" fillId="9" borderId="105" xfId="55" applyNumberFormat="1" applyFont="1" applyFill="1" applyBorder="1" applyAlignment="1">
      <alignment horizontal="right" vertical="center"/>
    </xf>
    <xf numFmtId="0" fontId="100" fillId="9" borderId="105" xfId="55" applyNumberFormat="1" applyFont="1" applyFill="1" applyBorder="1" applyAlignment="1">
      <alignment horizontal="right" vertical="center"/>
    </xf>
    <xf numFmtId="0" fontId="102" fillId="9" borderId="97" xfId="0" applyFont="1" applyFill="1" applyBorder="1" applyAlignment="1">
      <alignment horizontal="center" vertical="center"/>
    </xf>
    <xf numFmtId="10" fontId="103" fillId="10" borderId="105" xfId="114" applyNumberFormat="1" applyFont="1" applyFill="1" applyBorder="1" applyAlignment="1">
      <alignment horizontal="center" vertical="center"/>
    </xf>
    <xf numFmtId="0" fontId="104" fillId="10" borderId="117" xfId="0" applyFont="1" applyFill="1" applyBorder="1" applyAlignment="1">
      <alignment horizontal="right" vertical="center"/>
    </xf>
    <xf numFmtId="0" fontId="104" fillId="10" borderId="116" xfId="0" applyFont="1" applyFill="1" applyBorder="1" applyAlignment="1">
      <alignment horizontal="right" vertical="center"/>
    </xf>
    <xf numFmtId="0" fontId="104" fillId="10" borderId="154" xfId="0" applyFont="1" applyFill="1" applyBorder="1" applyAlignment="1">
      <alignment horizontal="right" vertical="center"/>
    </xf>
    <xf numFmtId="0" fontId="105" fillId="10" borderId="116" xfId="0" applyFont="1" applyFill="1" applyBorder="1" applyAlignment="1">
      <alignment horizontal="right" vertical="center"/>
    </xf>
    <xf numFmtId="3" fontId="105" fillId="10" borderId="116" xfId="0" applyNumberFormat="1" applyFont="1" applyFill="1" applyBorder="1" applyAlignment="1">
      <alignment horizontal="right" vertical="center"/>
    </xf>
    <xf numFmtId="0" fontId="101" fillId="10" borderId="100" xfId="0" applyFont="1" applyFill="1" applyBorder="1" applyAlignment="1">
      <alignment horizontal="right" vertical="center"/>
    </xf>
    <xf numFmtId="0" fontId="100" fillId="10" borderId="100" xfId="55" applyNumberFormat="1" applyFont="1" applyFill="1" applyBorder="1" applyAlignment="1">
      <alignment horizontal="right" vertical="center"/>
    </xf>
    <xf numFmtId="0" fontId="104" fillId="10" borderId="101" xfId="0" applyFont="1" applyFill="1" applyBorder="1" applyAlignment="1">
      <alignment horizontal="right" vertical="center"/>
    </xf>
    <xf numFmtId="0" fontId="104" fillId="10" borderId="100" xfId="0" applyFont="1" applyFill="1" applyBorder="1" applyAlignment="1">
      <alignment horizontal="right" vertical="center"/>
    </xf>
    <xf numFmtId="0" fontId="104" fillId="10" borderId="153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3" fontId="105" fillId="10" borderId="100" xfId="0" applyNumberFormat="1" applyFont="1" applyFill="1" applyBorder="1" applyAlignment="1">
      <alignment horizontal="right" vertical="center"/>
    </xf>
    <xf numFmtId="0" fontId="104" fillId="10" borderId="96" xfId="0" applyFont="1" applyFill="1" applyBorder="1" applyAlignment="1">
      <alignment horizontal="right" vertical="center"/>
    </xf>
    <xf numFmtId="0" fontId="104" fillId="10" borderId="107" xfId="0" applyFont="1" applyFill="1" applyBorder="1" applyAlignment="1">
      <alignment horizontal="right" vertical="center"/>
    </xf>
    <xf numFmtId="0" fontId="104" fillId="10" borderId="97" xfId="0" applyFont="1" applyFill="1" applyBorder="1" applyAlignment="1">
      <alignment horizontal="right" vertical="center"/>
    </xf>
    <xf numFmtId="0" fontId="105" fillId="10" borderId="107" xfId="0" applyFont="1" applyFill="1" applyBorder="1" applyAlignment="1">
      <alignment horizontal="right" vertical="center"/>
    </xf>
    <xf numFmtId="3" fontId="105" fillId="10" borderId="107" xfId="0" applyNumberFormat="1" applyFont="1" applyFill="1" applyBorder="1" applyAlignment="1">
      <alignment horizontal="right" vertical="center"/>
    </xf>
    <xf numFmtId="2" fontId="97" fillId="9" borderId="145" xfId="55" applyNumberFormat="1" applyFont="1" applyFill="1" applyBorder="1" applyAlignment="1">
      <alignment horizontal="left" vertical="center"/>
    </xf>
    <xf numFmtId="2" fontId="106" fillId="9" borderId="106" xfId="55" applyNumberFormat="1" applyFont="1" applyFill="1" applyBorder="1" applyAlignment="1">
      <alignment horizontal="left" vertical="center"/>
    </xf>
    <xf numFmtId="164" fontId="107" fillId="9" borderId="106" xfId="55" applyNumberFormat="1" applyFont="1" applyFill="1" applyBorder="1" applyAlignment="1">
      <alignment horizontal="left" vertical="center"/>
    </xf>
    <xf numFmtId="2" fontId="97" fillId="9" borderId="140" xfId="0" applyNumberFormat="1" applyFont="1" applyFill="1" applyBorder="1" applyAlignment="1">
      <alignment horizontal="right" vertical="center"/>
    </xf>
    <xf numFmtId="2" fontId="106" fillId="9" borderId="105" xfId="55" applyNumberFormat="1" applyFont="1" applyFill="1" applyBorder="1" applyAlignment="1">
      <alignment horizontal="right" vertical="center"/>
    </xf>
    <xf numFmtId="164" fontId="107" fillId="9" borderId="105" xfId="55" applyNumberFormat="1" applyFont="1" applyFill="1" applyBorder="1" applyAlignment="1">
      <alignment horizontal="right" vertical="center"/>
    </xf>
    <xf numFmtId="2" fontId="98" fillId="9" borderId="146" xfId="0" applyNumberFormat="1" applyFont="1" applyFill="1" applyBorder="1" applyAlignment="1">
      <alignment horizontal="left" vertical="center"/>
    </xf>
    <xf numFmtId="164" fontId="108" fillId="9" borderId="106" xfId="55" applyNumberFormat="1" applyFont="1" applyFill="1" applyBorder="1" applyAlignment="1">
      <alignment horizontal="left" vertical="center"/>
    </xf>
    <xf numFmtId="1" fontId="99" fillId="9" borderId="145" xfId="55" applyNumberFormat="1" applyFont="1" applyFill="1" applyBorder="1" applyAlignment="1">
      <alignment horizontal="left" vertical="center"/>
    </xf>
    <xf numFmtId="2" fontId="108" fillId="9" borderId="106" xfId="55" applyNumberFormat="1" applyFont="1" applyFill="1" applyBorder="1" applyAlignment="1">
      <alignment horizontal="left" vertical="center"/>
    </xf>
    <xf numFmtId="165" fontId="107" fillId="9" borderId="106" xfId="55" applyNumberFormat="1" applyFont="1" applyFill="1" applyBorder="1" applyAlignment="1">
      <alignment horizontal="left" vertical="center"/>
    </xf>
    <xf numFmtId="1" fontId="99" fillId="9" borderId="140" xfId="0" applyNumberFormat="1" applyFont="1" applyFill="1" applyBorder="1" applyAlignment="1">
      <alignment horizontal="right" vertical="center"/>
    </xf>
    <xf numFmtId="2" fontId="108" fillId="9" borderId="105" xfId="55" applyNumberFormat="1" applyFont="1" applyFill="1" applyBorder="1" applyAlignment="1">
      <alignment horizontal="right" vertical="center"/>
    </xf>
    <xf numFmtId="165" fontId="107" fillId="9" borderId="105" xfId="55" applyNumberFormat="1" applyFont="1" applyFill="1" applyBorder="1" applyAlignment="1">
      <alignment horizontal="right" vertical="center"/>
    </xf>
    <xf numFmtId="1" fontId="99" fillId="9" borderId="146" xfId="0" applyNumberFormat="1" applyFont="1" applyFill="1" applyBorder="1" applyAlignment="1">
      <alignment horizontal="left" vertical="center"/>
    </xf>
    <xf numFmtId="2" fontId="107" fillId="9" borderId="109" xfId="55" applyNumberFormat="1" applyFont="1" applyFill="1" applyBorder="1" applyAlignment="1">
      <alignment vertical="center"/>
    </xf>
    <xf numFmtId="165" fontId="108" fillId="9" borderId="106" xfId="55" applyNumberFormat="1" applyFont="1" applyFill="1" applyBorder="1" applyAlignment="1">
      <alignment vertical="center"/>
    </xf>
    <xf numFmtId="0" fontId="109" fillId="29" borderId="34" xfId="0" applyFont="1" applyFill="1" applyBorder="1" applyAlignment="1">
      <alignment horizontal="center" vertical="center"/>
    </xf>
    <xf numFmtId="4" fontId="109" fillId="32" borderId="34" xfId="0" applyNumberFormat="1" applyFont="1" applyFill="1" applyBorder="1" applyAlignment="1">
      <alignment horizontal="center" vertical="center"/>
    </xf>
    <xf numFmtId="0" fontId="109" fillId="25" borderId="34" xfId="0" applyFont="1" applyFill="1" applyBorder="1" applyAlignment="1">
      <alignment horizontal="center" vertical="center"/>
    </xf>
    <xf numFmtId="0" fontId="109" fillId="29" borderId="93" xfId="0" applyFont="1" applyFill="1" applyBorder="1" applyAlignment="1">
      <alignment horizontal="center" vertical="center"/>
    </xf>
    <xf numFmtId="1" fontId="109" fillId="29" borderId="34" xfId="0" applyNumberFormat="1" applyFont="1" applyFill="1" applyBorder="1" applyAlignment="1">
      <alignment horizontal="center" vertical="center"/>
    </xf>
    <xf numFmtId="165" fontId="83" fillId="9" borderId="106" xfId="55" applyNumberFormat="1" applyFont="1" applyFill="1" applyBorder="1" applyAlignment="1">
      <alignment horizontal="center" vertical="center"/>
    </xf>
    <xf numFmtId="165" fontId="83" fillId="9" borderId="105" xfId="55" applyNumberFormat="1" applyFont="1" applyFill="1" applyBorder="1" applyAlignment="1">
      <alignment horizontal="center" vertical="center"/>
    </xf>
    <xf numFmtId="2" fontId="74" fillId="9" borderId="109" xfId="0" applyNumberFormat="1" applyFont="1" applyFill="1" applyBorder="1" applyAlignment="1">
      <alignment horizontal="center" vertical="center"/>
    </xf>
    <xf numFmtId="2" fontId="74" fillId="9" borderId="106" xfId="0" applyNumberFormat="1" applyFont="1" applyFill="1" applyBorder="1" applyAlignment="1">
      <alignment horizontal="center" vertical="center"/>
    </xf>
    <xf numFmtId="2" fontId="74" fillId="9" borderId="105" xfId="0" applyNumberFormat="1" applyFont="1" applyFill="1" applyBorder="1" applyAlignment="1">
      <alignment horizontal="center" vertical="center"/>
    </xf>
    <xf numFmtId="0" fontId="26" fillId="9" borderId="148" xfId="0" applyFont="1" applyFill="1" applyBorder="1" applyAlignment="1">
      <alignment horizontal="center" vertical="center"/>
    </xf>
    <xf numFmtId="2" fontId="91" fillId="9" borderId="144" xfId="0" applyNumberFormat="1" applyFont="1" applyFill="1" applyBorder="1" applyAlignment="1">
      <alignment horizontal="center" vertical="center"/>
    </xf>
    <xf numFmtId="2" fontId="83" fillId="9" borderId="136" xfId="55" applyNumberFormat="1" applyFont="1" applyFill="1" applyBorder="1" applyAlignment="1">
      <alignment horizontal="center" vertical="center"/>
    </xf>
    <xf numFmtId="0" fontId="83" fillId="9" borderId="152" xfId="55" applyNumberFormat="1" applyFont="1" applyFill="1" applyBorder="1" applyAlignment="1">
      <alignment horizontal="right" vertical="center"/>
    </xf>
    <xf numFmtId="164" fontId="91" fillId="9" borderId="167" xfId="0" applyNumberFormat="1" applyFont="1" applyFill="1" applyBorder="1" applyAlignment="1">
      <alignment horizontal="left" vertical="center"/>
    </xf>
    <xf numFmtId="0" fontId="94" fillId="9" borderId="135" xfId="55" applyNumberFormat="1" applyFont="1" applyFill="1" applyBorder="1" applyAlignment="1">
      <alignment vertical="top"/>
    </xf>
    <xf numFmtId="0" fontId="98" fillId="9" borderId="168" xfId="0" applyNumberFormat="1" applyFont="1" applyFill="1" applyBorder="1" applyAlignment="1">
      <alignment horizontal="right" vertical="center"/>
    </xf>
    <xf numFmtId="0" fontId="100" fillId="10" borderId="126" xfId="55" applyNumberFormat="1" applyFont="1" applyFill="1" applyBorder="1" applyAlignment="1">
      <alignment horizontal="right" vertical="center"/>
    </xf>
    <xf numFmtId="0" fontId="101" fillId="10" borderId="126" xfId="0" applyFont="1" applyFill="1" applyBorder="1" applyAlignment="1">
      <alignment horizontal="right" vertical="center"/>
    </xf>
    <xf numFmtId="0" fontId="101" fillId="9" borderId="130" xfId="55" applyNumberFormat="1" applyFont="1" applyFill="1" applyBorder="1" applyAlignment="1">
      <alignment horizontal="right" vertical="center"/>
    </xf>
    <xf numFmtId="0" fontId="100" fillId="9" borderId="130" xfId="55" applyNumberFormat="1" applyFont="1" applyFill="1" applyBorder="1" applyAlignment="1">
      <alignment horizontal="right" vertical="center"/>
    </xf>
    <xf numFmtId="0" fontId="102" fillId="9" borderId="169" xfId="0" applyFont="1" applyFill="1" applyBorder="1" applyAlignment="1">
      <alignment horizontal="center" vertical="center"/>
    </xf>
    <xf numFmtId="10" fontId="103" fillId="10" borderId="130" xfId="114" applyNumberFormat="1" applyFont="1" applyFill="1" applyBorder="1" applyAlignment="1">
      <alignment horizontal="center" vertical="center"/>
    </xf>
    <xf numFmtId="0" fontId="104" fillId="10" borderId="127" xfId="0" applyFont="1" applyFill="1" applyBorder="1" applyAlignment="1">
      <alignment horizontal="right" vertical="center"/>
    </xf>
    <xf numFmtId="0" fontId="104" fillId="10" borderId="126" xfId="0" applyFont="1" applyFill="1" applyBorder="1" applyAlignment="1">
      <alignment horizontal="right" vertical="center"/>
    </xf>
    <xf numFmtId="0" fontId="104" fillId="10" borderId="131" xfId="0" applyFont="1" applyFill="1" applyBorder="1" applyAlignment="1">
      <alignment horizontal="right" vertical="center"/>
    </xf>
    <xf numFmtId="0" fontId="105" fillId="10" borderId="126" xfId="0" applyFont="1" applyFill="1" applyBorder="1" applyAlignment="1">
      <alignment horizontal="right" vertical="center"/>
    </xf>
    <xf numFmtId="3" fontId="105" fillId="10" borderId="126" xfId="0" applyNumberFormat="1" applyFont="1" applyFill="1" applyBorder="1" applyAlignment="1">
      <alignment horizontal="right" vertical="center"/>
    </xf>
    <xf numFmtId="0" fontId="94" fillId="9" borderId="176" xfId="55" applyNumberFormat="1" applyFont="1" applyFill="1" applyBorder="1" applyAlignment="1">
      <alignment vertical="top"/>
    </xf>
    <xf numFmtId="2" fontId="98" fillId="9" borderId="173" xfId="0" applyNumberFormat="1" applyFont="1" applyFill="1" applyBorder="1" applyAlignment="1">
      <alignment horizontal="right" vertical="center"/>
    </xf>
    <xf numFmtId="2" fontId="106" fillId="9" borderId="130" xfId="55" applyNumberFormat="1" applyFont="1" applyFill="1" applyBorder="1" applyAlignment="1">
      <alignment horizontal="right" vertical="center"/>
    </xf>
    <xf numFmtId="164" fontId="108" fillId="9" borderId="130" xfId="55" applyNumberFormat="1" applyFont="1" applyFill="1" applyBorder="1" applyAlignment="1">
      <alignment horizontal="right" vertical="center"/>
    </xf>
    <xf numFmtId="0" fontId="110" fillId="9" borderId="145" xfId="55" applyNumberFormat="1" applyFont="1" applyFill="1" applyBorder="1" applyAlignment="1">
      <alignment horizontal="left" vertical="center"/>
    </xf>
    <xf numFmtId="0" fontId="110" fillId="9" borderId="147" xfId="55" applyNumberFormat="1" applyFont="1" applyFill="1" applyBorder="1" applyAlignment="1">
      <alignment horizontal="right" vertical="center"/>
    </xf>
    <xf numFmtId="0" fontId="111" fillId="9" borderId="145" xfId="55" applyNumberFormat="1" applyFont="1" applyFill="1" applyBorder="1" applyAlignment="1">
      <alignment horizontal="center" vertical="center"/>
    </xf>
    <xf numFmtId="0" fontId="111" fillId="9" borderId="147" xfId="55" applyNumberFormat="1" applyFont="1" applyFill="1" applyBorder="1" applyAlignment="1">
      <alignment horizontal="center" vertical="center"/>
    </xf>
    <xf numFmtId="0" fontId="83" fillId="9" borderId="145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7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79" fillId="9" borderId="177" xfId="0" applyNumberFormat="1" applyFont="1" applyFill="1" applyBorder="1" applyAlignment="1">
      <alignment horizontal="center" vertical="center"/>
    </xf>
    <xf numFmtId="0" fontId="23" fillId="9" borderId="178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79" xfId="0" applyFont="1" applyFill="1" applyBorder="1" applyAlignment="1">
      <alignment horizontal="center" vertical="center"/>
    </xf>
    <xf numFmtId="1" fontId="83" fillId="9" borderId="147" xfId="55" applyNumberFormat="1" applyFont="1" applyFill="1" applyBorder="1" applyAlignment="1">
      <alignment horizontal="center" vertical="center"/>
    </xf>
    <xf numFmtId="167" fontId="75" fillId="10" borderId="99" xfId="55" applyNumberFormat="1" applyFont="1" applyFill="1" applyBorder="1" applyAlignment="1">
      <alignment horizontal="right" vertical="center"/>
    </xf>
    <xf numFmtId="167" fontId="75" fillId="10" borderId="106" xfId="55" applyNumberFormat="1" applyFont="1" applyFill="1" applyBorder="1" applyAlignment="1">
      <alignment horizontal="right" vertical="center"/>
    </xf>
    <xf numFmtId="167" fontId="75" fillId="10" borderId="109" xfId="55" applyNumberFormat="1" applyFont="1" applyFill="1" applyBorder="1" applyAlignment="1">
      <alignment horizontal="right" vertical="center"/>
    </xf>
    <xf numFmtId="1" fontId="91" fillId="9" borderId="181" xfId="55" applyNumberFormat="1" applyFont="1" applyFill="1" applyBorder="1" applyAlignment="1">
      <alignment vertical="center"/>
    </xf>
    <xf numFmtId="2" fontId="91" fillId="9" borderId="182" xfId="55" applyNumberFormat="1" applyFont="1" applyFill="1" applyBorder="1" applyAlignment="1">
      <alignment horizontal="center" vertical="center"/>
    </xf>
    <xf numFmtId="164" fontId="111" fillId="9" borderId="147" xfId="55" applyNumberFormat="1" applyFont="1" applyFill="1" applyBorder="1" applyAlignment="1">
      <alignment horizontal="center" vertical="center"/>
    </xf>
    <xf numFmtId="164" fontId="111" fillId="9" borderId="106" xfId="55" applyNumberFormat="1" applyFont="1" applyFill="1" applyBorder="1" applyAlignment="1">
      <alignment horizontal="center" vertical="center"/>
    </xf>
    <xf numFmtId="164" fontId="111" fillId="9" borderId="109" xfId="55" applyNumberFormat="1" applyFont="1" applyFill="1" applyBorder="1" applyAlignment="1">
      <alignment horizontal="center" vertical="center"/>
    </xf>
    <xf numFmtId="0" fontId="80" fillId="12" borderId="165" xfId="55" applyNumberFormat="1" applyFont="1" applyFill="1" applyBorder="1" applyAlignment="1">
      <alignment horizontal="center" vertical="center"/>
    </xf>
    <xf numFmtId="0" fontId="80" fillId="12" borderId="166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13" fillId="10" borderId="108" xfId="0" applyFont="1" applyFill="1" applyBorder="1" applyAlignment="1">
      <alignment horizontal="left" vertical="center"/>
    </xf>
    <xf numFmtId="0" fontId="100" fillId="10" borderId="184" xfId="55" applyNumberFormat="1" applyFont="1" applyFill="1" applyBorder="1" applyAlignment="1">
      <alignment horizontal="right" vertical="center"/>
    </xf>
    <xf numFmtId="0" fontId="101" fillId="10" borderId="184" xfId="0" applyFont="1" applyFill="1" applyBorder="1" applyAlignment="1">
      <alignment horizontal="right" vertical="center"/>
    </xf>
    <xf numFmtId="0" fontId="101" fillId="9" borderId="185" xfId="55" applyNumberFormat="1" applyFont="1" applyFill="1" applyBorder="1" applyAlignment="1">
      <alignment horizontal="right" vertical="center"/>
    </xf>
    <xf numFmtId="0" fontId="100" fillId="9" borderId="185" xfId="55" applyNumberFormat="1" applyFont="1" applyFill="1" applyBorder="1" applyAlignment="1">
      <alignment horizontal="right" vertical="center"/>
    </xf>
    <xf numFmtId="0" fontId="102" fillId="9" borderId="186" xfId="0" applyFont="1" applyFill="1" applyBorder="1" applyAlignment="1">
      <alignment horizontal="center" vertical="center"/>
    </xf>
    <xf numFmtId="10" fontId="103" fillId="10" borderId="185" xfId="114" applyNumberFormat="1" applyFont="1" applyFill="1" applyBorder="1" applyAlignment="1">
      <alignment horizontal="center" vertical="center"/>
    </xf>
    <xf numFmtId="0" fontId="104" fillId="10" borderId="187" xfId="0" applyFont="1" applyFill="1" applyBorder="1" applyAlignment="1">
      <alignment horizontal="right" vertical="center"/>
    </xf>
    <xf numFmtId="0" fontId="104" fillId="10" borderId="184" xfId="0" applyFont="1" applyFill="1" applyBorder="1" applyAlignment="1">
      <alignment horizontal="right" vertical="center"/>
    </xf>
    <xf numFmtId="0" fontId="104" fillId="10" borderId="188" xfId="0" applyFont="1" applyFill="1" applyBorder="1" applyAlignment="1">
      <alignment horizontal="right" vertical="center"/>
    </xf>
    <xf numFmtId="0" fontId="105" fillId="10" borderId="184" xfId="0" applyFont="1" applyFill="1" applyBorder="1" applyAlignment="1">
      <alignment horizontal="right" vertical="center"/>
    </xf>
    <xf numFmtId="3" fontId="105" fillId="10" borderId="184" xfId="0" applyNumberFormat="1" applyFont="1" applyFill="1" applyBorder="1" applyAlignment="1">
      <alignment horizontal="right" vertical="center"/>
    </xf>
    <xf numFmtId="3" fontId="37" fillId="10" borderId="184" xfId="0" applyNumberFormat="1" applyFont="1" applyFill="1" applyBorder="1" applyAlignment="1">
      <alignment horizontal="right" vertical="center"/>
    </xf>
    <xf numFmtId="166" fontId="37" fillId="10" borderId="187" xfId="0" applyNumberFormat="1" applyFont="1" applyFill="1" applyBorder="1" applyAlignment="1">
      <alignment horizontal="center" vertical="center"/>
    </xf>
    <xf numFmtId="0" fontId="26" fillId="9" borderId="188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99" fillId="9" borderId="183" xfId="0" applyNumberFormat="1" applyFont="1" applyFill="1" applyBorder="1" applyAlignment="1">
      <alignment horizontal="right" vertical="center"/>
    </xf>
    <xf numFmtId="2" fontId="107" fillId="9" borderId="185" xfId="55" applyNumberFormat="1" applyFont="1" applyFill="1" applyBorder="1" applyAlignment="1">
      <alignment horizontal="right" vertical="center"/>
    </xf>
    <xf numFmtId="165" fontId="108" fillId="9" borderId="185" xfId="55" applyNumberFormat="1" applyFont="1" applyFill="1" applyBorder="1" applyAlignment="1">
      <alignment horizontal="right" vertical="center"/>
    </xf>
    <xf numFmtId="0" fontId="110" fillId="9" borderId="193" xfId="55" applyNumberFormat="1" applyFont="1" applyFill="1" applyBorder="1" applyAlignment="1">
      <alignment horizontal="right" vertical="center"/>
    </xf>
    <xf numFmtId="167" fontId="75" fillId="10" borderId="185" xfId="55" applyNumberFormat="1" applyFont="1" applyFill="1" applyBorder="1" applyAlignment="1">
      <alignment horizontal="right" vertical="center"/>
    </xf>
    <xf numFmtId="0" fontId="74" fillId="10" borderId="184" xfId="0" applyFont="1" applyFill="1" applyBorder="1" applyAlignment="1">
      <alignment horizontal="right" vertical="center"/>
    </xf>
    <xf numFmtId="0" fontId="83" fillId="9" borderId="186" xfId="55" applyNumberFormat="1" applyFont="1" applyFill="1" applyBorder="1" applyAlignment="1">
      <alignment horizontal="right" vertical="center"/>
    </xf>
    <xf numFmtId="0" fontId="30" fillId="9" borderId="186" xfId="0" applyFont="1" applyFill="1" applyBorder="1" applyAlignment="1">
      <alignment horizontal="center" vertical="center"/>
    </xf>
    <xf numFmtId="10" fontId="93" fillId="10" borderId="185" xfId="114" applyNumberFormat="1" applyFont="1" applyFill="1" applyBorder="1" applyAlignment="1">
      <alignment horizontal="center" vertical="center"/>
    </xf>
    <xf numFmtId="0" fontId="39" fillId="10" borderId="187" xfId="0" applyFont="1" applyFill="1" applyBorder="1" applyAlignment="1">
      <alignment horizontal="right" vertical="center"/>
    </xf>
    <xf numFmtId="0" fontId="39" fillId="10" borderId="184" xfId="0" applyFont="1" applyFill="1" applyBorder="1" applyAlignment="1">
      <alignment horizontal="right" vertical="center"/>
    </xf>
    <xf numFmtId="0" fontId="39" fillId="10" borderId="188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166" fontId="37" fillId="10" borderId="188" xfId="0" applyNumberFormat="1" applyFont="1" applyFill="1" applyBorder="1" applyAlignment="1">
      <alignment horizontal="center" vertical="center"/>
    </xf>
    <xf numFmtId="1" fontId="23" fillId="9" borderId="187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0" fontId="91" fillId="9" borderId="192" xfId="0" applyNumberFormat="1" applyFont="1" applyFill="1" applyBorder="1" applyAlignment="1">
      <alignment vertical="center"/>
    </xf>
    <xf numFmtId="0" fontId="94" fillId="9" borderId="195" xfId="55" applyNumberFormat="1" applyFont="1" applyFill="1" applyBorder="1" applyAlignment="1">
      <alignment vertical="top"/>
    </xf>
    <xf numFmtId="1" fontId="83" fillId="9" borderId="193" xfId="55" applyNumberFormat="1" applyFont="1" applyFill="1" applyBorder="1" applyAlignment="1">
      <alignment horizontal="center" vertical="center"/>
    </xf>
    <xf numFmtId="0" fontId="111" fillId="9" borderId="193" xfId="55" applyNumberFormat="1" applyFont="1" applyFill="1" applyBorder="1" applyAlignment="1">
      <alignment horizontal="center" vertical="center"/>
    </xf>
    <xf numFmtId="164" fontId="111" fillId="9" borderId="193" xfId="55" applyNumberFormat="1" applyFont="1" applyFill="1" applyBorder="1" applyAlignment="1">
      <alignment horizontal="center" vertical="center"/>
    </xf>
    <xf numFmtId="2" fontId="91" fillId="9" borderId="193" xfId="0" applyNumberFormat="1" applyFont="1" applyFill="1" applyBorder="1" applyAlignment="1">
      <alignment horizontal="left" vertical="center"/>
    </xf>
    <xf numFmtId="0" fontId="75" fillId="10" borderId="184" xfId="55" applyNumberFormat="1" applyFont="1" applyFill="1" applyBorder="1" applyAlignment="1">
      <alignment horizontal="right" vertical="center"/>
    </xf>
    <xf numFmtId="0" fontId="92" fillId="9" borderId="186" xfId="55" applyNumberFormat="1" applyFont="1" applyFill="1" applyBorder="1" applyAlignment="1">
      <alignment horizontal="right" vertical="center"/>
    </xf>
    <xf numFmtId="3" fontId="37" fillId="10" borderId="185" xfId="0" applyNumberFormat="1" applyFont="1" applyFill="1" applyBorder="1" applyAlignment="1">
      <alignment horizontal="right" vertical="center"/>
    </xf>
    <xf numFmtId="2" fontId="91" fillId="9" borderId="183" xfId="0" applyNumberFormat="1" applyFont="1" applyFill="1" applyBorder="1" applyAlignment="1">
      <alignment horizontal="center" vertical="center"/>
    </xf>
    <xf numFmtId="2" fontId="83" fillId="9" borderId="185" xfId="55" applyNumberFormat="1" applyFont="1" applyFill="1" applyBorder="1" applyAlignment="1">
      <alignment horizontal="center" vertical="center"/>
    </xf>
    <xf numFmtId="1" fontId="23" fillId="11" borderId="187" xfId="77" applyNumberFormat="1" applyFont="1" applyFill="1" applyBorder="1" applyAlignment="1">
      <alignment horizontal="center" vertical="center"/>
    </xf>
    <xf numFmtId="1" fontId="90" fillId="11" borderId="187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0" fillId="12" borderId="198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4" fillId="10" borderId="200" xfId="0" applyFont="1" applyFill="1" applyBorder="1" applyAlignment="1">
      <alignment horizontal="right" vertical="center"/>
    </xf>
    <xf numFmtId="0" fontId="75" fillId="10" borderId="188" xfId="55" applyNumberFormat="1" applyFont="1" applyFill="1" applyBorder="1" applyAlignment="1">
      <alignment horizontal="right" vertical="center"/>
    </xf>
    <xf numFmtId="0" fontId="30" fillId="9" borderId="188" xfId="0" applyFont="1" applyFill="1" applyBorder="1" applyAlignment="1">
      <alignment horizontal="center" vertical="center"/>
    </xf>
    <xf numFmtId="10" fontId="93" fillId="10" borderId="184" xfId="114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2" fontId="74" fillId="9" borderId="185" xfId="0" applyNumberFormat="1" applyFont="1" applyFill="1" applyBorder="1" applyAlignment="1">
      <alignment horizontal="center" vertical="center"/>
    </xf>
    <xf numFmtId="0" fontId="37" fillId="10" borderId="187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4" fillId="7" borderId="160" xfId="0" applyNumberFormat="1" applyFont="1" applyFill="1" applyBorder="1" applyAlignment="1">
      <alignment horizontal="center" vertical="center"/>
    </xf>
    <xf numFmtId="2" fontId="82" fillId="9" borderId="164" xfId="55" applyNumberFormat="1" applyFont="1" applyFill="1" applyBorder="1" applyAlignment="1">
      <alignment horizontal="center" vertical="center"/>
    </xf>
    <xf numFmtId="2" fontId="82" fillId="9" borderId="164" xfId="55" applyNumberFormat="1" applyFont="1" applyFill="1" applyBorder="1" applyAlignment="1">
      <alignment horizontal="center" vertical="center"/>
    </xf>
    <xf numFmtId="0" fontId="82" fillId="9" borderId="202" xfId="55" applyNumberFormat="1" applyFont="1" applyFill="1" applyBorder="1" applyAlignment="1">
      <alignment horizontal="center" vertical="center"/>
    </xf>
    <xf numFmtId="0" fontId="110" fillId="9" borderId="180" xfId="55" applyNumberFormat="1" applyFont="1" applyFill="1" applyBorder="1" applyAlignment="1">
      <alignment horizontal="center" vertical="center"/>
    </xf>
    <xf numFmtId="1" fontId="116" fillId="11" borderId="139" xfId="77" applyNumberFormat="1" applyFont="1" applyFill="1" applyBorder="1" applyAlignment="1">
      <alignment horizontal="center" vertical="center"/>
    </xf>
    <xf numFmtId="0" fontId="82" fillId="9" borderId="3" xfId="0" applyNumberFormat="1" applyFont="1" applyFill="1" applyBorder="1" applyAlignment="1">
      <alignment vertical="center"/>
    </xf>
    <xf numFmtId="0" fontId="115" fillId="9" borderId="196" xfId="0" applyNumberFormat="1" applyFont="1" applyFill="1" applyBorder="1" applyAlignment="1">
      <alignment vertical="top"/>
    </xf>
    <xf numFmtId="1" fontId="82" fillId="11" borderId="201" xfId="77" applyNumberFormat="1" applyFont="1" applyFill="1" applyBorder="1" applyAlignment="1">
      <alignment horizontal="center" vertical="center"/>
    </xf>
    <xf numFmtId="0" fontId="115" fillId="9" borderId="204" xfId="0" applyNumberFormat="1" applyFont="1" applyFill="1" applyBorder="1" applyAlignment="1">
      <alignment vertical="top"/>
    </xf>
    <xf numFmtId="0" fontId="110" fillId="9" borderId="3" xfId="0" applyNumberFormat="1" applyFont="1" applyFill="1" applyBorder="1" applyAlignment="1">
      <alignment vertical="center"/>
    </xf>
    <xf numFmtId="0" fontId="117" fillId="9" borderId="196" xfId="0" applyNumberFormat="1" applyFont="1" applyFill="1" applyBorder="1" applyAlignment="1">
      <alignment vertical="top"/>
    </xf>
    <xf numFmtId="1" fontId="110" fillId="11" borderId="137" xfId="77" applyNumberFormat="1" applyFont="1" applyFill="1" applyBorder="1" applyAlignment="1">
      <alignment horizontal="center" vertical="center"/>
    </xf>
    <xf numFmtId="0" fontId="117" fillId="9" borderId="203" xfId="0" applyNumberFormat="1" applyFont="1" applyFill="1" applyBorder="1" applyAlignment="1">
      <alignment vertical="top"/>
    </xf>
    <xf numFmtId="1" fontId="87" fillId="11" borderId="199" xfId="77" applyNumberFormat="1" applyFont="1" applyFill="1" applyBorder="1" applyAlignment="1">
      <alignment horizontal="center" vertical="center"/>
    </xf>
    <xf numFmtId="2" fontId="118" fillId="9" borderId="189" xfId="0" applyNumberFormat="1" applyFont="1" applyFill="1" applyBorder="1" applyAlignment="1">
      <alignment vertical="center"/>
    </xf>
    <xf numFmtId="0" fontId="117" fillId="9" borderId="96" xfId="0" applyNumberFormat="1" applyFont="1" applyFill="1" applyBorder="1" applyAlignment="1">
      <alignment vertical="top"/>
    </xf>
    <xf numFmtId="0" fontId="31" fillId="9" borderId="3" xfId="0" applyNumberFormat="1" applyFont="1" applyFill="1" applyBorder="1" applyAlignment="1">
      <alignment vertical="center"/>
    </xf>
    <xf numFmtId="2" fontId="119" fillId="9" borderId="96" xfId="0" applyNumberFormat="1" applyFont="1" applyFill="1" applyBorder="1" applyAlignment="1">
      <alignment vertical="center"/>
    </xf>
    <xf numFmtId="2" fontId="31" fillId="9" borderId="205" xfId="55" applyNumberFormat="1" applyFont="1" applyFill="1" applyBorder="1" applyAlignment="1">
      <alignment vertical="center"/>
    </xf>
    <xf numFmtId="1" fontId="25" fillId="9" borderId="207" xfId="0" applyNumberFormat="1" applyFont="1" applyFill="1" applyBorder="1" applyAlignment="1">
      <alignment horizontal="center" vertical="center"/>
    </xf>
    <xf numFmtId="0" fontId="91" fillId="9" borderId="189" xfId="55" applyNumberFormat="1" applyFont="1" applyFill="1" applyBorder="1" applyAlignment="1">
      <alignment vertical="center"/>
    </xf>
    <xf numFmtId="0" fontId="94" fillId="9" borderId="204" xfId="55" applyNumberFormat="1" applyFont="1" applyFill="1" applyBorder="1" applyAlignment="1">
      <alignment vertical="top"/>
    </xf>
    <xf numFmtId="3" fontId="37" fillId="10" borderId="130" xfId="0" applyNumberFormat="1" applyFont="1" applyFill="1" applyBorder="1" applyAlignment="1">
      <alignment horizontal="right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0" fontId="91" fillId="9" borderId="171" xfId="55" applyNumberFormat="1" applyFont="1" applyFill="1" applyBorder="1" applyAlignment="1">
      <alignment vertical="center"/>
    </xf>
    <xf numFmtId="0" fontId="31" fillId="9" borderId="206" xfId="55" applyNumberFormat="1" applyFont="1" applyFill="1" applyBorder="1" applyAlignment="1">
      <alignment horizontal="center" vertical="center"/>
    </xf>
    <xf numFmtId="0" fontId="120" fillId="9" borderId="196" xfId="0" applyNumberFormat="1" applyFont="1" applyFill="1" applyBorder="1" applyAlignment="1">
      <alignment vertical="top"/>
    </xf>
    <xf numFmtId="0" fontId="120" fillId="9" borderId="203" xfId="0" applyNumberFormat="1" applyFont="1" applyFill="1" applyBorder="1" applyAlignment="1">
      <alignment vertical="top"/>
    </xf>
    <xf numFmtId="0" fontId="95" fillId="9" borderId="3" xfId="0" applyNumberFormat="1" applyFont="1" applyFill="1" applyBorder="1" applyAlignment="1">
      <alignment vertical="top"/>
    </xf>
    <xf numFmtId="0" fontId="40" fillId="9" borderId="96" xfId="0" applyNumberFormat="1" applyFont="1" applyFill="1" applyBorder="1" applyAlignment="1">
      <alignment vertical="center"/>
    </xf>
    <xf numFmtId="0" fontId="95" fillId="9" borderId="96" xfId="0" applyNumberFormat="1" applyFont="1" applyFill="1" applyBorder="1" applyAlignment="1">
      <alignment vertical="top"/>
    </xf>
    <xf numFmtId="0" fontId="40" fillId="9" borderId="111" xfId="0" applyNumberFormat="1" applyFont="1" applyFill="1" applyBorder="1" applyAlignment="1">
      <alignment vertical="center"/>
    </xf>
    <xf numFmtId="0" fontId="95" fillId="9" borderId="111" xfId="0" applyNumberFormat="1" applyFont="1" applyFill="1" applyBorder="1" applyAlignment="1">
      <alignment vertical="top"/>
    </xf>
    <xf numFmtId="0" fontId="40" fillId="9" borderId="189" xfId="0" applyNumberFormat="1" applyFont="1" applyFill="1" applyBorder="1" applyAlignment="1">
      <alignment vertical="center"/>
    </xf>
    <xf numFmtId="0" fontId="95" fillId="9" borderId="189" xfId="0" applyNumberFormat="1" applyFont="1" applyFill="1" applyBorder="1" applyAlignment="1">
      <alignment vertical="top"/>
    </xf>
    <xf numFmtId="2" fontId="121" fillId="9" borderId="147" xfId="55" applyNumberFormat="1" applyFont="1" applyFill="1" applyBorder="1" applyAlignment="1">
      <alignment horizontal="right" vertical="center"/>
    </xf>
    <xf numFmtId="0" fontId="122" fillId="9" borderId="145" xfId="55" applyNumberFormat="1" applyFont="1" applyFill="1" applyBorder="1" applyAlignment="1">
      <alignment horizontal="left" vertical="center"/>
    </xf>
    <xf numFmtId="2" fontId="122" fillId="9" borderId="173" xfId="0" applyNumberFormat="1" applyFont="1" applyFill="1" applyBorder="1" applyAlignment="1">
      <alignment horizontal="left" vertical="center"/>
    </xf>
    <xf numFmtId="0" fontId="94" fillId="9" borderId="189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4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80" fillId="12" borderId="209" xfId="55" applyNumberFormat="1" applyFont="1" applyFill="1" applyBorder="1" applyAlignment="1">
      <alignment horizontal="center" vertical="center"/>
    </xf>
    <xf numFmtId="2" fontId="118" fillId="9" borderId="210" xfId="0" applyNumberFormat="1" applyFont="1" applyFill="1" applyBorder="1" applyAlignment="1">
      <alignment vertical="center"/>
    </xf>
    <xf numFmtId="0" fontId="115" fillId="9" borderId="211" xfId="0" applyNumberFormat="1" applyFont="1" applyFill="1" applyBorder="1" applyAlignment="1">
      <alignment vertical="top"/>
    </xf>
    <xf numFmtId="0" fontId="82" fillId="9" borderId="145" xfId="55" applyNumberFormat="1" applyFont="1" applyFill="1" applyBorder="1" applyAlignment="1">
      <alignment horizontal="center" vertical="center"/>
    </xf>
    <xf numFmtId="2" fontId="83" fillId="9" borderId="212" xfId="55" applyNumberFormat="1" applyFont="1" applyFill="1" applyBorder="1" applyAlignment="1">
      <alignment horizontal="center" vertical="center"/>
    </xf>
    <xf numFmtId="2" fontId="74" fillId="9" borderId="2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4" fillId="9" borderId="0" xfId="0" applyNumberFormat="1" applyFont="1" applyFill="1"/>
    <xf numFmtId="0" fontId="124" fillId="9" borderId="0" xfId="0" applyFont="1" applyFill="1" applyAlignment="1">
      <alignment horizontal="center"/>
    </xf>
    <xf numFmtId="2" fontId="83" fillId="9" borderId="189" xfId="0" applyNumberFormat="1" applyFont="1" applyFill="1" applyBorder="1" applyAlignment="1">
      <alignment horizontal="center" vertical="top"/>
    </xf>
    <xf numFmtId="1" fontId="117" fillId="11" borderId="137" xfId="77" applyNumberFormat="1" applyFont="1" applyFill="1" applyBorder="1" applyAlignment="1">
      <alignment horizontal="center" vertical="center"/>
    </xf>
    <xf numFmtId="1" fontId="126" fillId="11" borderId="137" xfId="77" applyNumberFormat="1" applyFont="1" applyFill="1" applyBorder="1" applyAlignment="1">
      <alignment horizontal="center" vertical="center"/>
    </xf>
    <xf numFmtId="1" fontId="115" fillId="11" borderId="201" xfId="77" applyNumberFormat="1" applyFont="1" applyFill="1" applyBorder="1" applyAlignment="1">
      <alignment horizontal="center" vertical="center"/>
    </xf>
    <xf numFmtId="1" fontId="117" fillId="11" borderId="199" xfId="77" applyNumberFormat="1" applyFont="1" applyFill="1" applyBorder="1" applyAlignment="1">
      <alignment horizontal="center" vertical="center"/>
    </xf>
    <xf numFmtId="1" fontId="126" fillId="11" borderId="139" xfId="77" applyNumberFormat="1" applyFont="1" applyFill="1" applyBorder="1" applyAlignment="1">
      <alignment horizontal="center" vertical="center"/>
    </xf>
    <xf numFmtId="1" fontId="115" fillId="11" borderId="139" xfId="77" applyNumberFormat="1" applyFont="1" applyFill="1" applyBorder="1" applyAlignment="1">
      <alignment horizontal="center" vertical="center"/>
    </xf>
    <xf numFmtId="0" fontId="127" fillId="9" borderId="147" xfId="55" applyNumberFormat="1" applyFont="1" applyFill="1" applyBorder="1" applyAlignment="1">
      <alignment horizontal="right" vertical="center"/>
    </xf>
    <xf numFmtId="0" fontId="127" fillId="9" borderId="183" xfId="0" applyNumberFormat="1" applyFont="1" applyFill="1" applyBorder="1" applyAlignment="1">
      <alignment horizontal="right" vertical="center"/>
    </xf>
    <xf numFmtId="0" fontId="113" fillId="10" borderId="104" xfId="0" applyFont="1" applyFill="1" applyBorder="1" applyAlignment="1">
      <alignment horizontal="right" vertical="center"/>
    </xf>
    <xf numFmtId="2" fontId="91" fillId="9" borderId="215" xfId="55" applyNumberFormat="1" applyFont="1" applyFill="1" applyBorder="1" applyAlignment="1">
      <alignment horizontal="center" vertical="center"/>
    </xf>
    <xf numFmtId="0" fontId="74" fillId="10" borderId="188" xfId="0" applyFont="1" applyFill="1" applyBorder="1" applyAlignment="1">
      <alignment horizontal="right" vertical="center"/>
    </xf>
    <xf numFmtId="0" fontId="74" fillId="10" borderId="97" xfId="0" applyFont="1" applyFill="1" applyBorder="1" applyAlignment="1">
      <alignment horizontal="right" vertical="center"/>
    </xf>
    <xf numFmtId="0" fontId="75" fillId="10" borderId="107" xfId="55" applyNumberFormat="1" applyFont="1" applyFill="1" applyBorder="1" applyAlignment="1">
      <alignment horizontal="right" vertical="center"/>
    </xf>
    <xf numFmtId="0" fontId="128" fillId="0" borderId="0" xfId="0" applyFont="1"/>
    <xf numFmtId="0" fontId="129" fillId="0" borderId="0" xfId="0" applyFont="1"/>
    <xf numFmtId="0" fontId="2" fillId="0" borderId="0" xfId="0" applyFont="1"/>
    <xf numFmtId="2" fontId="130" fillId="9" borderId="189" xfId="0" applyNumberFormat="1" applyFont="1" applyFill="1" applyBorder="1" applyAlignment="1">
      <alignment vertical="center"/>
    </xf>
    <xf numFmtId="0" fontId="8" fillId="4" borderId="98" xfId="31" applyFont="1" applyFill="1" applyBorder="1" applyAlignment="1">
      <alignment horizontal="center"/>
    </xf>
    <xf numFmtId="0" fontId="74" fillId="10" borderId="216" xfId="0" applyFont="1" applyFill="1" applyBorder="1" applyAlignment="1">
      <alignment horizontal="right" vertical="center"/>
    </xf>
    <xf numFmtId="0" fontId="37" fillId="10" borderId="188" xfId="55" applyNumberFormat="1" applyFont="1" applyFill="1" applyBorder="1" applyAlignment="1">
      <alignment horizontal="right" vertical="center"/>
    </xf>
    <xf numFmtId="166" fontId="37" fillId="10" borderId="217" xfId="0" applyNumberFormat="1" applyFont="1" applyFill="1" applyBorder="1" applyAlignment="1">
      <alignment horizontal="center" vertical="center"/>
    </xf>
    <xf numFmtId="0" fontId="117" fillId="9" borderId="218" xfId="0" applyNumberFormat="1" applyFont="1" applyFill="1" applyBorder="1" applyAlignment="1">
      <alignment vertical="top"/>
    </xf>
    <xf numFmtId="2" fontId="91" fillId="9" borderId="219" xfId="55" applyNumberFormat="1" applyFont="1" applyFill="1" applyBorder="1" applyAlignment="1">
      <alignment horizontal="center" vertical="center"/>
    </xf>
    <xf numFmtId="0" fontId="91" fillId="9" borderId="220" xfId="55" applyNumberFormat="1" applyFont="1" applyFill="1" applyBorder="1" applyAlignment="1">
      <alignment horizontal="center" vertical="center"/>
    </xf>
    <xf numFmtId="1" fontId="91" fillId="9" borderId="221" xfId="55" applyNumberFormat="1" applyFont="1" applyFill="1" applyBorder="1" applyAlignment="1">
      <alignment vertical="center"/>
    </xf>
    <xf numFmtId="2" fontId="91" fillId="9" borderId="222" xfId="55" applyNumberFormat="1" applyFont="1" applyFill="1" applyBorder="1" applyAlignment="1">
      <alignment horizontal="center" vertical="center"/>
    </xf>
    <xf numFmtId="2" fontId="40" fillId="9" borderId="183" xfId="0" applyNumberFormat="1" applyFont="1" applyFill="1" applyBorder="1" applyAlignment="1">
      <alignment horizontal="center" vertical="center"/>
    </xf>
    <xf numFmtId="2" fontId="40" fillId="9" borderId="223" xfId="0" applyNumberFormat="1" applyFont="1" applyFill="1" applyBorder="1" applyAlignment="1">
      <alignment horizontal="center" vertical="center"/>
    </xf>
    <xf numFmtId="0" fontId="30" fillId="9" borderId="184" xfId="0" applyFont="1" applyFill="1" applyBorder="1" applyAlignment="1">
      <alignment horizontal="center" vertical="center"/>
    </xf>
    <xf numFmtId="0" fontId="131" fillId="10" borderId="113" xfId="0" applyFont="1" applyFill="1" applyBorder="1" applyAlignment="1">
      <alignment horizontal="left" vertical="center"/>
    </xf>
    <xf numFmtId="0" fontId="131" fillId="10" borderId="224" xfId="0" applyFont="1" applyFill="1" applyBorder="1" applyAlignment="1">
      <alignment horizontal="left" vertical="center"/>
    </xf>
    <xf numFmtId="0" fontId="131" fillId="10" borderId="216" xfId="0" applyFont="1" applyFill="1" applyBorder="1" applyAlignment="1">
      <alignment horizontal="left" vertical="center"/>
    </xf>
    <xf numFmtId="0" fontId="95" fillId="9" borderId="3" xfId="0" applyNumberFormat="1" applyFont="1" applyFill="1" applyBorder="1" applyAlignment="1">
      <alignment horizontal="right" vertical="center"/>
    </xf>
    <xf numFmtId="0" fontId="40" fillId="9" borderId="3" xfId="0" applyNumberFormat="1" applyFont="1" applyFill="1" applyBorder="1" applyAlignment="1">
      <alignment horizontal="right" vertical="center"/>
    </xf>
    <xf numFmtId="0" fontId="40" fillId="9" borderId="96" xfId="0" applyNumberFormat="1" applyFont="1" applyFill="1" applyBorder="1" applyAlignment="1">
      <alignment horizontal="right" vertical="center"/>
    </xf>
    <xf numFmtId="0" fontId="95" fillId="9" borderId="96" xfId="0" applyNumberFormat="1" applyFont="1" applyFill="1" applyBorder="1" applyAlignment="1">
      <alignment horizontal="right" vertical="center"/>
    </xf>
    <xf numFmtId="0" fontId="40" fillId="9" borderId="111" xfId="0" applyNumberFormat="1" applyFont="1" applyFill="1" applyBorder="1" applyAlignment="1">
      <alignment horizontal="right" vertical="center"/>
    </xf>
    <xf numFmtId="0" fontId="95" fillId="9" borderId="111" xfId="0" applyNumberFormat="1" applyFont="1" applyFill="1" applyBorder="1" applyAlignment="1">
      <alignment horizontal="right" vertical="top"/>
    </xf>
    <xf numFmtId="0" fontId="95" fillId="9" borderId="96" xfId="0" applyNumberFormat="1" applyFont="1" applyFill="1" applyBorder="1" applyAlignment="1">
      <alignment horizontal="right" vertical="top"/>
    </xf>
    <xf numFmtId="0" fontId="95" fillId="9" borderId="3" xfId="0" applyNumberFormat="1" applyFont="1" applyFill="1" applyBorder="1" applyAlignment="1">
      <alignment horizontal="right" vertical="top"/>
    </xf>
    <xf numFmtId="0" fontId="40" fillId="9" borderId="189" xfId="0" applyNumberFormat="1" applyFont="1" applyFill="1" applyBorder="1" applyAlignment="1">
      <alignment horizontal="right" vertical="center"/>
    </xf>
    <xf numFmtId="0" fontId="95" fillId="9" borderId="189" xfId="0" applyNumberFormat="1" applyFont="1" applyFill="1" applyBorder="1" applyAlignment="1">
      <alignment horizontal="right" vertical="top"/>
    </xf>
    <xf numFmtId="0" fontId="40" fillId="9" borderId="152" xfId="0" applyNumberFormat="1" applyFont="1" applyFill="1" applyBorder="1" applyAlignment="1">
      <alignment vertical="center"/>
    </xf>
    <xf numFmtId="0" fontId="40" fillId="9" borderId="217" xfId="0" applyNumberFormat="1" applyFont="1" applyFill="1" applyBorder="1" applyAlignment="1">
      <alignment vertical="center"/>
    </xf>
    <xf numFmtId="0" fontId="95" fillId="9" borderId="187" xfId="0" applyNumberFormat="1" applyFont="1" applyFill="1" applyBorder="1" applyAlignment="1">
      <alignment vertical="top"/>
    </xf>
    <xf numFmtId="3" fontId="123" fillId="7" borderId="213" xfId="0" applyNumberFormat="1" applyFont="1" applyFill="1" applyBorder="1" applyAlignment="1">
      <alignment horizontal="center" vertical="center"/>
    </xf>
    <xf numFmtId="3" fontId="95" fillId="7" borderId="213" xfId="0" applyNumberFormat="1" applyFont="1" applyFill="1" applyBorder="1" applyAlignment="1">
      <alignment horizontal="center" vertical="center"/>
    </xf>
    <xf numFmtId="3" fontId="95" fillId="7" borderId="214" xfId="0" applyNumberFormat="1" applyFont="1" applyFill="1" applyBorder="1" applyAlignment="1">
      <alignment horizontal="center" vertical="center"/>
    </xf>
    <xf numFmtId="0" fontId="74" fillId="10" borderId="100" xfId="0" applyNumberFormat="1" applyFont="1" applyFill="1" applyBorder="1" applyAlignment="1">
      <alignment horizontal="right" vertical="center"/>
    </xf>
    <xf numFmtId="0" fontId="74" fillId="10" borderId="99" xfId="0" applyNumberFormat="1" applyFont="1" applyFill="1" applyBorder="1" applyAlignment="1">
      <alignment horizontal="right" vertical="center"/>
    </xf>
    <xf numFmtId="0" fontId="74" fillId="10" borderId="188" xfId="0" applyNumberFormat="1" applyFont="1" applyFill="1" applyBorder="1" applyAlignment="1">
      <alignment horizontal="right" vertical="center"/>
    </xf>
    <xf numFmtId="1" fontId="132" fillId="11" borderId="139" xfId="77" applyNumberFormat="1" applyFont="1" applyFill="1" applyBorder="1" applyAlignment="1">
      <alignment horizontal="center" vertical="center"/>
    </xf>
    <xf numFmtId="1" fontId="132" fillId="11" borderId="137" xfId="77" applyNumberFormat="1" applyFont="1" applyFill="1" applyBorder="1" applyAlignment="1">
      <alignment horizontal="center" vertical="center"/>
    </xf>
    <xf numFmtId="0" fontId="91" fillId="9" borderId="225" xfId="55" applyNumberFormat="1" applyFont="1" applyFill="1" applyBorder="1" applyAlignment="1">
      <alignment horizontal="center" vertical="center"/>
    </xf>
    <xf numFmtId="1" fontId="91" fillId="9" borderId="217" xfId="55" applyNumberFormat="1" applyFont="1" applyFill="1" applyBorder="1" applyAlignment="1">
      <alignment vertical="center"/>
    </xf>
    <xf numFmtId="1" fontId="82" fillId="11" borderId="226" xfId="77" applyNumberFormat="1" applyFont="1" applyFill="1" applyBorder="1" applyAlignment="1">
      <alignment horizontal="center" vertical="center"/>
    </xf>
    <xf numFmtId="0" fontId="125" fillId="0" borderId="3" xfId="0" applyFont="1" applyBorder="1" applyAlignment="1">
      <alignment horizontal="center"/>
    </xf>
    <xf numFmtId="3" fontId="40" fillId="7" borderId="214" xfId="0" applyNumberFormat="1" applyFont="1" applyFill="1" applyBorder="1" applyAlignment="1">
      <alignment horizontal="center" vertical="center"/>
    </xf>
    <xf numFmtId="2" fontId="83" fillId="9" borderId="162" xfId="0" applyNumberFormat="1" applyFont="1" applyFill="1" applyBorder="1" applyAlignment="1">
      <alignment horizontal="center" vertical="center"/>
    </xf>
    <xf numFmtId="2" fontId="83" fillId="9" borderId="163" xfId="0" applyNumberFormat="1" applyFont="1" applyFill="1" applyBorder="1" applyAlignment="1">
      <alignment horizontal="center" vertical="center"/>
    </xf>
    <xf numFmtId="2" fontId="83" fillId="9" borderId="161" xfId="0" applyNumberFormat="1" applyFont="1" applyFill="1" applyBorder="1" applyAlignment="1">
      <alignment horizontal="center" vertical="center"/>
    </xf>
    <xf numFmtId="2" fontId="83" fillId="9" borderId="197" xfId="0" applyNumberFormat="1" applyFont="1" applyFill="1" applyBorder="1" applyAlignment="1">
      <alignment horizontal="center" vertical="center"/>
    </xf>
    <xf numFmtId="2" fontId="83" fillId="9" borderId="172" xfId="0" applyNumberFormat="1" applyFont="1" applyFill="1" applyBorder="1" applyAlignment="1">
      <alignment horizontal="center" vertical="center"/>
    </xf>
    <xf numFmtId="0" fontId="13" fillId="9" borderId="155" xfId="0" applyFont="1" applyFill="1" applyBorder="1" applyAlignment="1">
      <alignment horizontal="center" vertical="center"/>
    </xf>
    <xf numFmtId="0" fontId="13" fillId="9" borderId="184" xfId="0" applyFont="1" applyFill="1" applyBorder="1" applyAlignment="1">
      <alignment horizontal="center" vertical="center"/>
    </xf>
    <xf numFmtId="0" fontId="36" fillId="9" borderId="155" xfId="0" applyFont="1" applyFill="1" applyBorder="1" applyAlignment="1">
      <alignment horizontal="center" vertical="center"/>
    </xf>
    <xf numFmtId="0" fontId="36" fillId="9" borderId="184" xfId="0" applyFont="1" applyFill="1" applyBorder="1" applyAlignment="1">
      <alignment horizontal="center" vertical="center"/>
    </xf>
    <xf numFmtId="2" fontId="83" fillId="9" borderId="175" xfId="0" applyNumberFormat="1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2" fillId="33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2" fillId="38" borderId="71" xfId="0" applyFont="1" applyFill="1" applyBorder="1" applyAlignment="1">
      <alignment horizontal="center" vertical="center"/>
    </xf>
    <xf numFmtId="0" fontId="47" fillId="38" borderId="71" xfId="0" applyFont="1" applyFill="1" applyBorder="1" applyAlignment="1">
      <alignment horizontal="center" vertical="center"/>
    </xf>
    <xf numFmtId="0" fontId="44" fillId="38" borderId="71" xfId="0" applyFont="1" applyFill="1" applyBorder="1" applyAlignment="1">
      <alignment horizontal="center" vertical="center"/>
    </xf>
    <xf numFmtId="0" fontId="57" fillId="34" borderId="73" xfId="0" applyFont="1" applyFill="1" applyBorder="1" applyAlignment="1">
      <alignment horizontal="center" vertical="center"/>
    </xf>
    <xf numFmtId="0" fontId="57" fillId="34" borderId="11" xfId="0" applyFont="1" applyFill="1" applyBorder="1" applyAlignment="1">
      <alignment horizontal="center" vertical="center"/>
    </xf>
    <xf numFmtId="0" fontId="57" fillId="34" borderId="94" xfId="0" applyFont="1" applyFill="1" applyBorder="1" applyAlignment="1">
      <alignment horizontal="center" vertical="center"/>
    </xf>
    <xf numFmtId="0" fontId="57" fillId="34" borderId="9" xfId="0" applyFont="1" applyFill="1" applyBorder="1" applyAlignment="1">
      <alignment horizontal="center" vertical="center"/>
    </xf>
    <xf numFmtId="0" fontId="57" fillId="34" borderId="3" xfId="0" applyFont="1" applyFill="1" applyBorder="1" applyAlignment="1">
      <alignment horizontal="center" vertical="center"/>
    </xf>
    <xf numFmtId="0" fontId="57" fillId="34" borderId="95" xfId="0" applyFont="1" applyFill="1" applyBorder="1" applyAlignment="1">
      <alignment horizontal="center" vertical="center"/>
    </xf>
    <xf numFmtId="1" fontId="57" fillId="31" borderId="11" xfId="0" applyNumberFormat="1" applyFont="1" applyFill="1" applyBorder="1" applyAlignment="1">
      <alignment horizontal="center" vertical="center"/>
    </xf>
    <xf numFmtId="1" fontId="57" fillId="31" borderId="74" xfId="0" applyNumberFormat="1" applyFont="1" applyFill="1" applyBorder="1" applyAlignment="1">
      <alignment horizontal="center" vertical="center"/>
    </xf>
    <xf numFmtId="1" fontId="57" fillId="31" borderId="3" xfId="0" applyNumberFormat="1" applyFont="1" applyFill="1" applyBorder="1" applyAlignment="1">
      <alignment horizontal="center" vertical="center"/>
    </xf>
    <xf numFmtId="1" fontId="57" fillId="31" borderId="12" xfId="0" applyNumberFormat="1" applyFont="1" applyFill="1" applyBorder="1" applyAlignment="1">
      <alignment horizontal="center" vertical="center"/>
    </xf>
    <xf numFmtId="0" fontId="62" fillId="34" borderId="71" xfId="0" applyFont="1" applyFill="1" applyBorder="1" applyAlignment="1">
      <alignment horizontal="center" vertical="center"/>
    </xf>
    <xf numFmtId="0" fontId="44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2" fillId="22" borderId="71" xfId="0" applyFont="1" applyFill="1" applyBorder="1" applyAlignment="1">
      <alignment horizontal="center" vertical="center"/>
    </xf>
    <xf numFmtId="0" fontId="44" fillId="34" borderId="59" xfId="0" applyFont="1" applyFill="1" applyBorder="1" applyAlignment="1">
      <alignment horizontal="center" vertical="center"/>
    </xf>
    <xf numFmtId="164" fontId="52" fillId="18" borderId="13" xfId="0" applyNumberFormat="1" applyFont="1" applyFill="1" applyBorder="1" applyAlignment="1">
      <alignment horizontal="center" vertical="center"/>
    </xf>
    <xf numFmtId="0" fontId="52" fillId="18" borderId="21" xfId="0" applyFont="1" applyFill="1" applyBorder="1" applyAlignment="1">
      <alignment horizontal="center" vertical="center"/>
    </xf>
    <xf numFmtId="0" fontId="44" fillId="38" borderId="59" xfId="0" applyFont="1" applyFill="1" applyBorder="1" applyAlignment="1">
      <alignment horizontal="center" vertical="center"/>
    </xf>
    <xf numFmtId="0" fontId="57" fillId="22" borderId="59" xfId="0" applyFont="1" applyFill="1" applyBorder="1" applyAlignment="1">
      <alignment horizontal="center" vertical="center"/>
    </xf>
    <xf numFmtId="0" fontId="57" fillId="33" borderId="71" xfId="0" applyFont="1" applyFill="1" applyBorder="1" applyAlignment="1">
      <alignment horizontal="center" vertical="center"/>
    </xf>
    <xf numFmtId="0" fontId="40" fillId="9" borderId="143" xfId="0" applyNumberFormat="1" applyFont="1" applyFill="1" applyBorder="1" applyAlignment="1">
      <alignment horizontal="center" vertical="center"/>
    </xf>
    <xf numFmtId="0" fontId="40" fillId="9" borderId="3" xfId="0" applyNumberFormat="1" applyFont="1" applyFill="1" applyBorder="1" applyAlignment="1">
      <alignment horizontal="center" vertical="center"/>
    </xf>
    <xf numFmtId="0" fontId="40" fillId="9" borderId="140" xfId="0" applyNumberFormat="1" applyFont="1" applyFill="1" applyBorder="1" applyAlignment="1">
      <alignment horizontal="center" vertical="center"/>
    </xf>
    <xf numFmtId="0" fontId="40" fillId="9" borderId="96" xfId="0" applyNumberFormat="1" applyFont="1" applyFill="1" applyBorder="1" applyAlignment="1">
      <alignment horizontal="center" vertical="center"/>
    </xf>
    <xf numFmtId="0" fontId="40" fillId="9" borderId="141" xfId="0" applyNumberFormat="1" applyFont="1" applyFill="1" applyBorder="1" applyAlignment="1">
      <alignment horizontal="center" vertical="center"/>
    </xf>
    <xf numFmtId="0" fontId="40" fillId="9" borderId="111" xfId="0" applyNumberFormat="1" applyFont="1" applyFill="1" applyBorder="1" applyAlignment="1">
      <alignment horizontal="center" vertical="center"/>
    </xf>
    <xf numFmtId="0" fontId="40" fillId="9" borderId="183" xfId="0" applyNumberFormat="1" applyFont="1" applyFill="1" applyBorder="1" applyAlignment="1">
      <alignment horizontal="center" vertical="center"/>
    </xf>
    <xf numFmtId="0" fontId="40" fillId="9" borderId="223" xfId="0" applyNumberFormat="1" applyFont="1" applyFill="1" applyBorder="1" applyAlignment="1">
      <alignment horizontal="center" vertical="center"/>
    </xf>
    <xf numFmtId="3" fontId="40" fillId="7" borderId="227" xfId="0" applyNumberFormat="1" applyFont="1" applyFill="1" applyBorder="1" applyAlignment="1">
      <alignment horizontal="center" vertical="center"/>
    </xf>
    <xf numFmtId="0" fontId="8" fillId="4" borderId="228" xfId="31" applyFont="1" applyFill="1" applyBorder="1" applyAlignment="1">
      <alignment horizontal="center"/>
    </xf>
    <xf numFmtId="0" fontId="28" fillId="4" borderId="2" xfId="31" applyFont="1" applyFill="1" applyAlignment="1">
      <alignment horizont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07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S2" sqref="S2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62" bestFit="1" customWidth="1"/>
    <col min="25" max="25" width="9" style="425" bestFit="1" customWidth="1"/>
    <col min="26" max="26" width="10.28515625" style="428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762" t="s">
        <v>126</v>
      </c>
      <c r="B1" s="763" t="s">
        <v>337</v>
      </c>
      <c r="C1" s="762" t="s">
        <v>306</v>
      </c>
      <c r="D1" s="762" t="s">
        <v>307</v>
      </c>
      <c r="E1" s="763" t="s">
        <v>338</v>
      </c>
      <c r="F1" s="762" t="s">
        <v>127</v>
      </c>
      <c r="G1" s="763" t="s">
        <v>304</v>
      </c>
      <c r="H1" s="763" t="s">
        <v>128</v>
      </c>
      <c r="I1" s="763" t="s">
        <v>129</v>
      </c>
      <c r="J1" s="763" t="s">
        <v>130</v>
      </c>
      <c r="K1" s="763" t="s">
        <v>308</v>
      </c>
      <c r="L1" s="763" t="s">
        <v>305</v>
      </c>
      <c r="M1" s="763" t="s">
        <v>131</v>
      </c>
      <c r="N1" s="763" t="s">
        <v>132</v>
      </c>
      <c r="O1" s="763" t="s">
        <v>133</v>
      </c>
      <c r="P1" s="764"/>
      <c r="Q1" s="774" t="s">
        <v>648</v>
      </c>
      <c r="R1" s="823"/>
      <c r="S1" s="660" t="s">
        <v>649</v>
      </c>
      <c r="T1" s="660" t="s">
        <v>649</v>
      </c>
      <c r="U1" s="411">
        <v>0</v>
      </c>
      <c r="V1" s="363">
        <v>0</v>
      </c>
      <c r="W1" s="274">
        <v>1</v>
      </c>
      <c r="X1" s="275">
        <f>W1</f>
        <v>1</v>
      </c>
      <c r="Y1" s="599">
        <v>120000</v>
      </c>
      <c r="Z1" s="651">
        <v>100</v>
      </c>
      <c r="AA1" s="600">
        <v>100</v>
      </c>
      <c r="AB1" s="422">
        <f>Y1*($AE$1*$AD$1)</f>
        <v>2163.2876712328766</v>
      </c>
      <c r="AC1" s="38">
        <f>AD1</f>
        <v>7</v>
      </c>
      <c r="AD1" s="54">
        <f>IF(AJ3&lt;&gt;0,2,IF(AJ4&lt;&gt;0,4,IF(AJ5&lt;&gt;0,5,IF(AJ6&lt;&gt;0,6,IF(AJ7&lt;&gt;0,7,IF(AJ8&lt;&gt;0,8,30))))))</f>
        <v>7</v>
      </c>
      <c r="AE1" s="53">
        <f>IF(AJ3&lt;&gt;0,AJ3/365,IF(AJ4&lt;&gt;0,AJ5/365,IF(AJ5&lt;&gt;0,AJ6/365,IF(AJ6&lt;&gt;0,AJ7/365,IF(AJ7&lt;&gt;0,AJ8/365,IF(AJ8&lt;&gt;0,AJ9/365,110/365))))))</f>
        <v>2.5753424657534245E-3</v>
      </c>
      <c r="AF1" s="378" t="s">
        <v>315</v>
      </c>
      <c r="AG1" s="378" t="s">
        <v>316</v>
      </c>
      <c r="AH1" s="378" t="s">
        <v>317</v>
      </c>
      <c r="AI1" s="378" t="s">
        <v>318</v>
      </c>
      <c r="AJ1" s="379" t="s">
        <v>313</v>
      </c>
      <c r="AK1" s="377" t="s">
        <v>314</v>
      </c>
      <c r="AL1" s="276" t="s">
        <v>312</v>
      </c>
    </row>
    <row r="2" spans="1:43" ht="12.75" customHeight="1">
      <c r="A2" s="698" t="str">
        <f>IF(A22&lt;&gt;"",A22,"")</f>
        <v>AL35D - spot</v>
      </c>
      <c r="B2" s="444">
        <f t="shared" ref="B2:B29" si="0">IF(A2&lt;&gt;"",VLOOKUP($A2,$A$58:$N$169,2,0),"")</f>
        <v>231750</v>
      </c>
      <c r="C2" s="436">
        <f t="shared" ref="C2:C29" si="1">IF(A2&lt;&gt;"",VLOOKUP($A2,$A$54:$N$169,3,0),"")</f>
        <v>34.4</v>
      </c>
      <c r="D2" s="336">
        <f t="shared" ref="D2:D29" si="2">IF(A2&lt;&gt;"",VLOOKUP($A2,$A$54:$N$169,4,0),"")</f>
        <v>34.700000000000003</v>
      </c>
      <c r="E2" s="435">
        <f t="shared" ref="E2:E29" si="3">IF(A2&lt;&gt;"",VLOOKUP($A2,$A$54:$N$169,5,0),"")</f>
        <v>200</v>
      </c>
      <c r="F2" s="376">
        <f t="shared" ref="F2:F29" si="4">IF($A2&lt;&gt;"",VLOOKUP($A2,$A$54:$N$169,6,0),"")</f>
        <v>34.511000000000003</v>
      </c>
      <c r="G2" s="446">
        <f t="shared" ref="G2:G29" si="5">IF($A2&lt;&gt;"",VLOOKUP($A2,$A$54:$N$169,7,0),"")</f>
        <v>-7.0999999999999995E-3</v>
      </c>
      <c r="H2" s="313">
        <f t="shared" ref="H2:H29" si="6">IF($A2&lt;&gt;"",VLOOKUP($A2,$A$54:$N$169,8,0),"")</f>
        <v>34.229999999999997</v>
      </c>
      <c r="I2" s="305">
        <f t="shared" ref="I2:I29" si="7">IF($A2&lt;&gt;"",VLOOKUP($A2,$A$54:$N$169,9,0),"")</f>
        <v>35.299999999999997</v>
      </c>
      <c r="J2" s="392">
        <f t="shared" ref="J2:J29" si="8">IF($A2&lt;&gt;"",VLOOKUP($A2,$A$54:$N$169,10,0),"")</f>
        <v>34.200000000000003</v>
      </c>
      <c r="K2" s="309">
        <f t="shared" ref="K2:K29" si="9">IF($A2&lt;&gt;"",VLOOKUP($A2,$A$54:$N$169,11,0),"")</f>
        <v>34.76</v>
      </c>
      <c r="L2" s="337">
        <f t="shared" ref="L2:L29" si="10">IF($A2&lt;&gt;"",VLOOKUP($A2,$A$54:$N$169,12,0),"")</f>
        <v>73041</v>
      </c>
      <c r="M2" s="309">
        <f t="shared" ref="M2:M29" si="11">IF($A2&lt;&gt;"",VLOOKUP($A2,$A$54:$N$169,13,0),"")</f>
        <v>211192</v>
      </c>
      <c r="N2" s="337">
        <f t="shared" ref="N2:N29" si="12">IF($A2&lt;&gt;"",VLOOKUP($A2,$A$54:$N$169,14,0),"")</f>
        <v>144</v>
      </c>
      <c r="O2" s="385">
        <f t="shared" ref="O2:O29" si="13">IF($A2&lt;&gt;"",VLOOKUP($A2,$A$54:$O$169,15,0),"")</f>
        <v>45330.684317129628</v>
      </c>
      <c r="P2" s="397">
        <v>1</v>
      </c>
      <c r="Q2" s="584">
        <v>0</v>
      </c>
      <c r="R2" s="577">
        <v>0</v>
      </c>
      <c r="S2" s="372">
        <v>0</v>
      </c>
      <c r="T2" s="329">
        <v>0</v>
      </c>
      <c r="U2" s="359">
        <v>0</v>
      </c>
      <c r="V2" s="417">
        <v>0</v>
      </c>
      <c r="W2" s="451">
        <v>0</v>
      </c>
      <c r="X2" s="456">
        <v>0</v>
      </c>
      <c r="Y2" s="419">
        <f>IFERROR(IF($Y$1&lt;&gt;"",INT($Y$1/(D5/100)),100),100)</f>
        <v>298</v>
      </c>
      <c r="Z2" s="545">
        <f>IFERROR($C2*(1-$V$1)/100*$Y2,"")</f>
        <v>102.51199999999999</v>
      </c>
      <c r="AA2" s="775">
        <f>IFERROR($Z2-$Z3,"")</f>
        <v>5.3799999999981196E-2</v>
      </c>
      <c r="AD2" s="402" t="s">
        <v>319</v>
      </c>
      <c r="AE2" s="408">
        <v>45331</v>
      </c>
      <c r="AF2" s="400">
        <v>1690000</v>
      </c>
      <c r="AG2" s="401">
        <v>0.95700000000000007</v>
      </c>
      <c r="AH2" s="401">
        <v>0.96</v>
      </c>
      <c r="AI2" s="400">
        <v>1332413627.6500001</v>
      </c>
      <c r="AJ2" s="405">
        <v>0.95700000000000007</v>
      </c>
      <c r="AK2" s="400"/>
      <c r="AN2" t="s">
        <v>635</v>
      </c>
    </row>
    <row r="3" spans="1:43" ht="12.75" customHeight="1">
      <c r="A3" s="697" t="s">
        <v>14</v>
      </c>
      <c r="B3" s="437">
        <f t="shared" si="0"/>
        <v>150</v>
      </c>
      <c r="C3" s="434">
        <f t="shared" si="1"/>
        <v>40.799999999999997</v>
      </c>
      <c r="D3" s="438">
        <f t="shared" si="2"/>
        <v>40.82</v>
      </c>
      <c r="E3" s="442">
        <f t="shared" si="3"/>
        <v>7981</v>
      </c>
      <c r="F3" s="317">
        <f t="shared" si="4"/>
        <v>40.82</v>
      </c>
      <c r="G3" s="447">
        <f t="shared" si="5"/>
        <v>-1.9E-3</v>
      </c>
      <c r="H3" s="312">
        <f t="shared" si="6"/>
        <v>40.700000000000003</v>
      </c>
      <c r="I3" s="303">
        <f t="shared" si="7"/>
        <v>41.15</v>
      </c>
      <c r="J3" s="389">
        <f t="shared" si="8"/>
        <v>40.552</v>
      </c>
      <c r="K3" s="307">
        <f t="shared" si="9"/>
        <v>40.899000000000001</v>
      </c>
      <c r="L3" s="310">
        <f t="shared" si="10"/>
        <v>46551395</v>
      </c>
      <c r="M3" s="307">
        <f t="shared" si="11"/>
        <v>113735937</v>
      </c>
      <c r="N3" s="310">
        <f t="shared" si="12"/>
        <v>48053</v>
      </c>
      <c r="O3" s="386">
        <f t="shared" si="13"/>
        <v>45330.687557870369</v>
      </c>
      <c r="P3" s="396">
        <v>2</v>
      </c>
      <c r="Q3" s="349">
        <v>0</v>
      </c>
      <c r="R3" s="578">
        <v>0</v>
      </c>
      <c r="S3" s="369">
        <v>0</v>
      </c>
      <c r="T3" s="328">
        <v>0</v>
      </c>
      <c r="U3" s="360">
        <v>0</v>
      </c>
      <c r="V3" s="418">
        <v>0</v>
      </c>
      <c r="W3" s="452">
        <v>0</v>
      </c>
      <c r="X3" s="457">
        <v>0</v>
      </c>
      <c r="Y3" s="420">
        <f>IFERROR(INT($Z2/($D3*(1+$V$1)/100)),0)</f>
        <v>251</v>
      </c>
      <c r="Z3" s="546">
        <f>$D3/100*INT($Y3)</f>
        <v>102.45820000000001</v>
      </c>
      <c r="AA3" s="776"/>
      <c r="AD3" s="49" t="s">
        <v>320</v>
      </c>
      <c r="AE3" s="409">
        <v>45332</v>
      </c>
      <c r="AF3" s="48"/>
      <c r="AG3" s="52"/>
      <c r="AH3" s="52"/>
      <c r="AI3" s="48"/>
      <c r="AJ3" s="406"/>
      <c r="AK3" s="48"/>
      <c r="AN3" t="s">
        <v>636</v>
      </c>
    </row>
    <row r="4" spans="1:43" ht="12.75" customHeight="1">
      <c r="A4" s="480" t="s">
        <v>13</v>
      </c>
      <c r="B4" s="444">
        <f t="shared" si="0"/>
        <v>1849</v>
      </c>
      <c r="C4" s="436">
        <f t="shared" si="1"/>
        <v>47920</v>
      </c>
      <c r="D4" s="433">
        <f t="shared" si="2"/>
        <v>47950</v>
      </c>
      <c r="E4" s="439">
        <f t="shared" si="3"/>
        <v>11939</v>
      </c>
      <c r="F4" s="376">
        <f t="shared" si="4"/>
        <v>47945</v>
      </c>
      <c r="G4" s="446">
        <f t="shared" si="5"/>
        <v>-2.1600000000000001E-2</v>
      </c>
      <c r="H4" s="313">
        <f t="shared" si="6"/>
        <v>49800</v>
      </c>
      <c r="I4" s="305">
        <f t="shared" si="7"/>
        <v>49950</v>
      </c>
      <c r="J4" s="392">
        <f t="shared" si="8"/>
        <v>47515</v>
      </c>
      <c r="K4" s="309">
        <f t="shared" si="9"/>
        <v>49005</v>
      </c>
      <c r="L4" s="337">
        <f t="shared" si="10"/>
        <v>69643209521</v>
      </c>
      <c r="M4" s="309">
        <f t="shared" si="11"/>
        <v>144261173</v>
      </c>
      <c r="N4" s="337">
        <f t="shared" si="12"/>
        <v>61397</v>
      </c>
      <c r="O4" s="385">
        <f t="shared" si="13"/>
        <v>45330.687696759262</v>
      </c>
      <c r="P4" s="397">
        <v>3</v>
      </c>
      <c r="Q4" s="352">
        <v>0</v>
      </c>
      <c r="R4" s="577">
        <v>0</v>
      </c>
      <c r="S4" s="372">
        <v>0</v>
      </c>
      <c r="T4" s="329">
        <v>0</v>
      </c>
      <c r="U4" s="359">
        <v>0</v>
      </c>
      <c r="V4" s="417">
        <v>0</v>
      </c>
      <c r="W4" s="453">
        <v>0</v>
      </c>
      <c r="X4" s="458">
        <v>0</v>
      </c>
      <c r="Y4" s="421">
        <f t="shared" ref="Y4:Y12" si="14">Y3</f>
        <v>251</v>
      </c>
      <c r="Z4" s="431">
        <f>$C4*(1-$V$1)/100*INT($Y4)</f>
        <v>120279.2</v>
      </c>
      <c r="AA4" s="777">
        <f>IFERROR($Z4-$Z5,"")</f>
        <v>81.19999999999709</v>
      </c>
      <c r="AD4" s="402" t="s">
        <v>321</v>
      </c>
      <c r="AE4" s="409">
        <v>45333</v>
      </c>
      <c r="AF4" s="400"/>
      <c r="AG4" s="401"/>
      <c r="AH4" s="401"/>
      <c r="AI4" s="400"/>
      <c r="AJ4" s="405"/>
      <c r="AK4" s="400"/>
      <c r="AL4" s="47"/>
      <c r="AN4" s="732" t="s">
        <v>637</v>
      </c>
    </row>
    <row r="5" spans="1:43" ht="12.75" customHeight="1">
      <c r="A5" s="699" t="str">
        <f>IF(A2&lt;&gt;"",Z22,"")</f>
        <v>AL35 - spot</v>
      </c>
      <c r="B5" s="469">
        <f t="shared" si="0"/>
        <v>500</v>
      </c>
      <c r="C5" s="470">
        <f t="shared" si="1"/>
        <v>39980</v>
      </c>
      <c r="D5" s="471">
        <f t="shared" si="2"/>
        <v>40200</v>
      </c>
      <c r="E5" s="472">
        <f t="shared" si="3"/>
        <v>6711</v>
      </c>
      <c r="F5" s="473">
        <f t="shared" si="4"/>
        <v>40200</v>
      </c>
      <c r="G5" s="474">
        <f t="shared" si="5"/>
        <v>-3.5699999999999996E-2</v>
      </c>
      <c r="H5" s="338">
        <f t="shared" si="6"/>
        <v>42850</v>
      </c>
      <c r="I5" s="339">
        <f t="shared" si="7"/>
        <v>43000</v>
      </c>
      <c r="J5" s="394">
        <f t="shared" si="8"/>
        <v>40000</v>
      </c>
      <c r="K5" s="340">
        <f t="shared" si="9"/>
        <v>41690</v>
      </c>
      <c r="L5" s="343">
        <f t="shared" si="10"/>
        <v>500769811</v>
      </c>
      <c r="M5" s="340">
        <f t="shared" si="11"/>
        <v>1228704</v>
      </c>
      <c r="N5" s="683">
        <f t="shared" si="12"/>
        <v>316</v>
      </c>
      <c r="O5" s="388">
        <f t="shared" si="13"/>
        <v>45330.687523148146</v>
      </c>
      <c r="P5" s="476">
        <v>4</v>
      </c>
      <c r="Q5" s="351">
        <v>0</v>
      </c>
      <c r="R5" s="684">
        <v>0</v>
      </c>
      <c r="S5" s="375">
        <v>0</v>
      </c>
      <c r="T5" s="685">
        <v>0</v>
      </c>
      <c r="U5" s="598">
        <v>0</v>
      </c>
      <c r="V5" s="418">
        <v>0</v>
      </c>
      <c r="W5" s="686">
        <v>0</v>
      </c>
      <c r="X5" s="568">
        <v>0</v>
      </c>
      <c r="Y5" s="478">
        <f>IFERROR($Z4/($D5*(1+$V$1)/100),0)</f>
        <v>299.20199004975126</v>
      </c>
      <c r="Z5" s="479">
        <f>IFERROR($D5/100*INT($Y5),"")</f>
        <v>120198</v>
      </c>
      <c r="AA5" s="779"/>
      <c r="AD5" s="49" t="s">
        <v>322</v>
      </c>
      <c r="AE5" s="409">
        <v>45334</v>
      </c>
      <c r="AF5" s="48"/>
      <c r="AG5" s="52"/>
      <c r="AH5" s="52"/>
      <c r="AI5" s="48"/>
      <c r="AJ5" s="406"/>
      <c r="AK5" s="48"/>
      <c r="AL5" s="47"/>
      <c r="AN5" t="s">
        <v>638</v>
      </c>
    </row>
    <row r="6" spans="1:43" ht="12.75" customHeight="1">
      <c r="A6" s="432" t="str">
        <f>IF(A22&lt;&gt;"",A22,"")</f>
        <v>AL35D - spot</v>
      </c>
      <c r="B6" s="444">
        <f t="shared" si="0"/>
        <v>231750</v>
      </c>
      <c r="C6" s="436">
        <f t="shared" si="1"/>
        <v>34.4</v>
      </c>
      <c r="D6" s="336">
        <f t="shared" si="2"/>
        <v>34.700000000000003</v>
      </c>
      <c r="E6" s="435">
        <f t="shared" si="3"/>
        <v>200</v>
      </c>
      <c r="F6" s="376">
        <f t="shared" si="4"/>
        <v>34.511000000000003</v>
      </c>
      <c r="G6" s="446">
        <f t="shared" si="5"/>
        <v>-7.0999999999999995E-3</v>
      </c>
      <c r="H6" s="311">
        <f t="shared" si="6"/>
        <v>34.229999999999997</v>
      </c>
      <c r="I6" s="302">
        <f t="shared" si="7"/>
        <v>35.299999999999997</v>
      </c>
      <c r="J6" s="390">
        <f t="shared" si="8"/>
        <v>34.200000000000003</v>
      </c>
      <c r="K6" s="306">
        <f t="shared" si="9"/>
        <v>34.76</v>
      </c>
      <c r="L6" s="345">
        <f t="shared" si="10"/>
        <v>73041</v>
      </c>
      <c r="M6" s="306">
        <f t="shared" si="11"/>
        <v>211192</v>
      </c>
      <c r="N6" s="345">
        <f t="shared" si="12"/>
        <v>144</v>
      </c>
      <c r="O6" s="381">
        <f t="shared" si="13"/>
        <v>45330.684317129628</v>
      </c>
      <c r="P6" s="397">
        <v>5</v>
      </c>
      <c r="Q6" s="585">
        <v>0</v>
      </c>
      <c r="R6" s="579">
        <v>0</v>
      </c>
      <c r="S6" s="370">
        <v>0</v>
      </c>
      <c r="T6" s="322">
        <v>0</v>
      </c>
      <c r="U6" s="597">
        <v>0</v>
      </c>
      <c r="V6" s="417">
        <v>0</v>
      </c>
      <c r="W6" s="451">
        <v>0</v>
      </c>
      <c r="X6" s="459">
        <v>0</v>
      </c>
      <c r="Y6" s="419">
        <f>IFERROR(IF($Y$1&lt;&gt;"",INT($Y$1/(D9/100)),100),100)</f>
        <v>298</v>
      </c>
      <c r="Z6" s="429">
        <f>IFERROR($C6*(1-$V$1)/100*$Y6,"")</f>
        <v>102.51199999999999</v>
      </c>
      <c r="AA6" s="775">
        <f>IFERROR($Z6-$Z7,"")</f>
        <v>0.16282999999998538</v>
      </c>
      <c r="AB6" s="301"/>
      <c r="AD6" s="402" t="s">
        <v>323</v>
      </c>
      <c r="AE6" s="409">
        <v>45335</v>
      </c>
      <c r="AF6" s="400"/>
      <c r="AG6" s="401"/>
      <c r="AH6" s="401"/>
      <c r="AI6" s="400"/>
      <c r="AJ6" s="405"/>
      <c r="AK6" s="400"/>
      <c r="AN6" t="s">
        <v>639</v>
      </c>
    </row>
    <row r="7" spans="1:43" ht="12.75" customHeight="1">
      <c r="A7" s="697" t="s">
        <v>18</v>
      </c>
      <c r="B7" s="437">
        <f t="shared" si="0"/>
        <v>100691</v>
      </c>
      <c r="C7" s="434">
        <f t="shared" si="1"/>
        <v>44.3</v>
      </c>
      <c r="D7" s="438">
        <f t="shared" si="2"/>
        <v>44.307000000000002</v>
      </c>
      <c r="E7" s="442">
        <f t="shared" si="3"/>
        <v>1</v>
      </c>
      <c r="F7" s="317">
        <f t="shared" si="4"/>
        <v>44.3</v>
      </c>
      <c r="G7" s="447">
        <f t="shared" si="5"/>
        <v>4.5000000000000005E-3</v>
      </c>
      <c r="H7" s="312">
        <f t="shared" si="6"/>
        <v>45.2</v>
      </c>
      <c r="I7" s="303">
        <f t="shared" si="7"/>
        <v>45.2</v>
      </c>
      <c r="J7" s="389">
        <f t="shared" si="8"/>
        <v>44.000999999999998</v>
      </c>
      <c r="K7" s="307">
        <f t="shared" si="9"/>
        <v>44.100999999999999</v>
      </c>
      <c r="L7" s="310">
        <f t="shared" si="10"/>
        <v>3391267</v>
      </c>
      <c r="M7" s="320">
        <f t="shared" si="11"/>
        <v>7657564</v>
      </c>
      <c r="N7" s="310">
        <f t="shared" si="12"/>
        <v>4122</v>
      </c>
      <c r="O7" s="380">
        <f t="shared" si="13"/>
        <v>45330.687523148146</v>
      </c>
      <c r="P7" s="396">
        <v>6</v>
      </c>
      <c r="Q7" s="349">
        <v>0</v>
      </c>
      <c r="R7" s="578">
        <v>0</v>
      </c>
      <c r="S7" s="369">
        <v>0</v>
      </c>
      <c r="T7" s="321">
        <v>0</v>
      </c>
      <c r="U7" s="360">
        <v>0</v>
      </c>
      <c r="V7" s="418">
        <v>0</v>
      </c>
      <c r="W7" s="452">
        <v>0</v>
      </c>
      <c r="X7" s="460">
        <v>0</v>
      </c>
      <c r="Y7" s="420">
        <f>IFERROR(INT($Z6/($D7*(1+$V$1)/100)),0)</f>
        <v>231</v>
      </c>
      <c r="Z7" s="430">
        <f>IFERROR($D7/100*INT($Y7),"")</f>
        <v>102.34917</v>
      </c>
      <c r="AA7" s="776"/>
      <c r="AD7" s="49" t="s">
        <v>324</v>
      </c>
      <c r="AE7" s="409">
        <v>45336</v>
      </c>
      <c r="AF7" s="48">
        <v>53041270.850000001</v>
      </c>
      <c r="AG7" s="52">
        <v>0.91</v>
      </c>
      <c r="AH7" s="52">
        <v>0.96499999999999997</v>
      </c>
      <c r="AI7" s="48">
        <v>176281.89</v>
      </c>
      <c r="AJ7" s="406">
        <v>0.91</v>
      </c>
      <c r="AK7" s="48">
        <v>15373813357</v>
      </c>
      <c r="AN7" t="s">
        <v>640</v>
      </c>
    </row>
    <row r="8" spans="1:43">
      <c r="A8" s="480" t="s">
        <v>16</v>
      </c>
      <c r="B8" s="444">
        <f t="shared" si="0"/>
        <v>434</v>
      </c>
      <c r="C8" s="436">
        <f t="shared" si="1"/>
        <v>51560</v>
      </c>
      <c r="D8" s="433">
        <f t="shared" si="2"/>
        <v>51800</v>
      </c>
      <c r="E8" s="439">
        <f t="shared" si="3"/>
        <v>50000</v>
      </c>
      <c r="F8" s="376">
        <f t="shared" si="4"/>
        <v>51760</v>
      </c>
      <c r="G8" s="446">
        <f t="shared" si="5"/>
        <v>-2.6099999999999998E-2</v>
      </c>
      <c r="H8" s="311">
        <f t="shared" si="6"/>
        <v>53000</v>
      </c>
      <c r="I8" s="302">
        <f t="shared" si="7"/>
        <v>54230</v>
      </c>
      <c r="J8" s="390">
        <f t="shared" si="8"/>
        <v>51300</v>
      </c>
      <c r="K8" s="306">
        <f t="shared" si="9"/>
        <v>53150</v>
      </c>
      <c r="L8" s="345">
        <f t="shared" si="10"/>
        <v>6134390286</v>
      </c>
      <c r="M8" s="306">
        <f t="shared" si="11"/>
        <v>11782061</v>
      </c>
      <c r="N8" s="345">
        <f t="shared" si="12"/>
        <v>5791</v>
      </c>
      <c r="O8" s="381">
        <f t="shared" si="13"/>
        <v>45330.685370370367</v>
      </c>
      <c r="P8" s="397">
        <v>7</v>
      </c>
      <c r="Q8" s="585">
        <v>0</v>
      </c>
      <c r="R8" s="579">
        <v>0</v>
      </c>
      <c r="S8" s="370">
        <v>0</v>
      </c>
      <c r="T8" s="322">
        <v>0</v>
      </c>
      <c r="U8" s="359">
        <v>0</v>
      </c>
      <c r="V8" s="417">
        <v>0</v>
      </c>
      <c r="W8" s="453">
        <v>0</v>
      </c>
      <c r="X8" s="461">
        <v>0</v>
      </c>
      <c r="Y8" s="421">
        <f t="shared" si="14"/>
        <v>231</v>
      </c>
      <c r="Z8" s="431">
        <f>IFERROR($C8*(1-$V$1)/100*INT($Y8),"")</f>
        <v>119103.6</v>
      </c>
      <c r="AA8" s="777">
        <f>IFERROR($Z8-$Z9,"")</f>
        <v>111.60000000000582</v>
      </c>
      <c r="AD8" s="402" t="s">
        <v>325</v>
      </c>
      <c r="AE8" s="409">
        <v>45337</v>
      </c>
      <c r="AF8" s="400">
        <v>30320047.039999999</v>
      </c>
      <c r="AG8" s="401">
        <v>0.94</v>
      </c>
      <c r="AH8" s="401">
        <v>0.94569999999999999</v>
      </c>
      <c r="AI8" s="400">
        <v>100529.79</v>
      </c>
      <c r="AJ8" s="405">
        <v>0.94</v>
      </c>
      <c r="AK8" s="400">
        <v>68579625914</v>
      </c>
      <c r="AN8" t="s">
        <v>641</v>
      </c>
    </row>
    <row r="9" spans="1:43" ht="12.75" customHeight="1">
      <c r="A9" s="641" t="str">
        <f>IF(A6&lt;&gt;"",Z22,"")</f>
        <v>AL35 - spot</v>
      </c>
      <c r="B9" s="642">
        <f t="shared" si="0"/>
        <v>500</v>
      </c>
      <c r="C9" s="625">
        <f t="shared" si="1"/>
        <v>39980</v>
      </c>
      <c r="D9" s="626">
        <f t="shared" si="2"/>
        <v>40200</v>
      </c>
      <c r="E9" s="643">
        <f t="shared" si="3"/>
        <v>6711</v>
      </c>
      <c r="F9" s="627">
        <f t="shared" si="4"/>
        <v>40200</v>
      </c>
      <c r="G9" s="628">
        <f t="shared" si="5"/>
        <v>-3.5699999999999996E-2</v>
      </c>
      <c r="H9" s="629">
        <f t="shared" si="6"/>
        <v>42850</v>
      </c>
      <c r="I9" s="630">
        <f t="shared" si="7"/>
        <v>43000</v>
      </c>
      <c r="J9" s="631">
        <f t="shared" si="8"/>
        <v>40000</v>
      </c>
      <c r="K9" s="632">
        <f t="shared" si="9"/>
        <v>41690</v>
      </c>
      <c r="L9" s="613">
        <f t="shared" si="10"/>
        <v>500769811</v>
      </c>
      <c r="M9" s="632">
        <f t="shared" si="11"/>
        <v>1228704</v>
      </c>
      <c r="N9" s="613">
        <f t="shared" si="12"/>
        <v>316</v>
      </c>
      <c r="O9" s="633">
        <f t="shared" si="13"/>
        <v>45330.687523148146</v>
      </c>
      <c r="P9" s="615">
        <v>8</v>
      </c>
      <c r="Q9" s="616">
        <v>0</v>
      </c>
      <c r="R9" s="634">
        <v>0</v>
      </c>
      <c r="S9" s="618">
        <v>0</v>
      </c>
      <c r="T9" s="680">
        <v>0</v>
      </c>
      <c r="U9" s="598">
        <v>0</v>
      </c>
      <c r="V9" s="648">
        <v>0</v>
      </c>
      <c r="W9" s="681">
        <v>0</v>
      </c>
      <c r="X9" s="682">
        <v>0</v>
      </c>
      <c r="Y9" s="645">
        <f>IFERROR($Z8/($D9*(1+$V$1)/100),0)</f>
        <v>296.27761194029853</v>
      </c>
      <c r="Z9" s="646">
        <f>IFERROR($D9/100*INT($Y9),"")</f>
        <v>118992</v>
      </c>
      <c r="AA9" s="778"/>
      <c r="AD9" s="49"/>
      <c r="AE9" s="409"/>
      <c r="AF9" s="403"/>
      <c r="AG9" s="404"/>
      <c r="AH9" s="404"/>
      <c r="AI9" s="403"/>
      <c r="AJ9" s="407"/>
      <c r="AK9" s="403"/>
      <c r="AN9" t="s">
        <v>642</v>
      </c>
    </row>
    <row r="10" spans="1:43" ht="12.75" customHeight="1">
      <c r="A10" s="432" t="s">
        <v>235</v>
      </c>
      <c r="B10" s="444">
        <f t="shared" si="0"/>
        <v>2600</v>
      </c>
      <c r="C10" s="436">
        <f t="shared" si="1"/>
        <v>40.299999999999997</v>
      </c>
      <c r="D10" s="336">
        <f t="shared" si="2"/>
        <v>40.9</v>
      </c>
      <c r="E10" s="435">
        <f t="shared" si="3"/>
        <v>796</v>
      </c>
      <c r="F10" s="376">
        <f t="shared" si="4"/>
        <v>40.581000000000003</v>
      </c>
      <c r="G10" s="446">
        <f t="shared" si="5"/>
        <v>7.1999999999999998E-3</v>
      </c>
      <c r="H10" s="311">
        <f t="shared" si="6"/>
        <v>40</v>
      </c>
      <c r="I10" s="302">
        <f t="shared" si="7"/>
        <v>41.4</v>
      </c>
      <c r="J10" s="390">
        <f t="shared" si="8"/>
        <v>40</v>
      </c>
      <c r="K10" s="306">
        <f t="shared" si="9"/>
        <v>40.29</v>
      </c>
      <c r="L10" s="345">
        <f t="shared" si="10"/>
        <v>15775</v>
      </c>
      <c r="M10" s="306">
        <f t="shared" si="11"/>
        <v>38714</v>
      </c>
      <c r="N10" s="345">
        <f t="shared" si="12"/>
        <v>132</v>
      </c>
      <c r="O10" s="381">
        <f t="shared" si="13"/>
        <v>45330.69568287037</v>
      </c>
      <c r="P10" s="397">
        <v>9</v>
      </c>
      <c r="Q10" s="585">
        <v>0</v>
      </c>
      <c r="R10" s="579">
        <v>0</v>
      </c>
      <c r="S10" s="370">
        <v>0</v>
      </c>
      <c r="T10" s="322">
        <v>0</v>
      </c>
      <c r="U10" s="597">
        <v>0</v>
      </c>
      <c r="V10" s="417">
        <v>0</v>
      </c>
      <c r="W10" s="454">
        <v>0</v>
      </c>
      <c r="X10" s="459">
        <v>0</v>
      </c>
      <c r="Y10" s="419">
        <f>IFERROR(IF($Y$1&lt;&gt;"",INT($Y$1/(D13/100)),100),100)</f>
        <v>248</v>
      </c>
      <c r="Z10" s="429">
        <f>IFERROR($C10*(1-$V$1)/100*$Y10,"")</f>
        <v>99.943999999999988</v>
      </c>
      <c r="AA10" s="775">
        <f>IFERROR($Z10-$Z11,"")</f>
        <v>0.22899999999998499</v>
      </c>
      <c r="AB10" s="301"/>
      <c r="AF10" s="277"/>
      <c r="AH10" s="277"/>
      <c r="AJ10" s="47"/>
      <c r="AK10" s="47"/>
      <c r="AN10" t="s">
        <v>643</v>
      </c>
    </row>
    <row r="11" spans="1:43" ht="12.75" customHeight="1">
      <c r="A11" s="481" t="s">
        <v>4</v>
      </c>
      <c r="B11" s="437">
        <f t="shared" si="0"/>
        <v>198</v>
      </c>
      <c r="C11" s="434">
        <f t="shared" si="1"/>
        <v>40.67</v>
      </c>
      <c r="D11" s="438">
        <f t="shared" si="2"/>
        <v>40.700000000000003</v>
      </c>
      <c r="E11" s="442">
        <f t="shared" si="3"/>
        <v>296171</v>
      </c>
      <c r="F11" s="317">
        <f t="shared" si="4"/>
        <v>40.700000000000003</v>
      </c>
      <c r="G11" s="447">
        <f t="shared" si="5"/>
        <v>0</v>
      </c>
      <c r="H11" s="312">
        <f t="shared" si="6"/>
        <v>40.581000000000003</v>
      </c>
      <c r="I11" s="303">
        <f t="shared" si="7"/>
        <v>41.14</v>
      </c>
      <c r="J11" s="389">
        <f t="shared" si="8"/>
        <v>40.57</v>
      </c>
      <c r="K11" s="307">
        <f t="shared" si="9"/>
        <v>40.700000000000003</v>
      </c>
      <c r="L11" s="310">
        <f t="shared" si="10"/>
        <v>10916273</v>
      </c>
      <c r="M11" s="307">
        <f t="shared" si="11"/>
        <v>26683674</v>
      </c>
      <c r="N11" s="310">
        <f t="shared" si="12"/>
        <v>11104</v>
      </c>
      <c r="O11" s="380">
        <f t="shared" si="13"/>
        <v>45330.708460648151</v>
      </c>
      <c r="P11" s="396">
        <v>10</v>
      </c>
      <c r="Q11" s="349">
        <v>0</v>
      </c>
      <c r="R11" s="578">
        <v>0</v>
      </c>
      <c r="S11" s="369">
        <v>0</v>
      </c>
      <c r="T11" s="321">
        <v>0</v>
      </c>
      <c r="U11" s="360">
        <v>0</v>
      </c>
      <c r="V11" s="418">
        <v>0</v>
      </c>
      <c r="W11" s="455">
        <v>0</v>
      </c>
      <c r="X11" s="460">
        <v>0</v>
      </c>
      <c r="Y11" s="420">
        <f>IFERROR(INT($Z10/($D11*(1+$V$1)/100)),0)</f>
        <v>245</v>
      </c>
      <c r="Z11" s="430">
        <f>IFERROR($D11/100*INT($Y11),"")</f>
        <v>99.715000000000003</v>
      </c>
      <c r="AA11" s="776"/>
      <c r="AN11" t="s">
        <v>644</v>
      </c>
    </row>
    <row r="12" spans="1:43" ht="12.75" customHeight="1">
      <c r="A12" s="480" t="s">
        <v>2</v>
      </c>
      <c r="B12" s="444">
        <f t="shared" si="0"/>
        <v>25000</v>
      </c>
      <c r="C12" s="436">
        <f t="shared" si="1"/>
        <v>48600</v>
      </c>
      <c r="D12" s="433">
        <f t="shared" si="2"/>
        <v>48625</v>
      </c>
      <c r="E12" s="439">
        <f t="shared" si="3"/>
        <v>166</v>
      </c>
      <c r="F12" s="376">
        <f t="shared" si="4"/>
        <v>48600</v>
      </c>
      <c r="G12" s="446">
        <f t="shared" si="5"/>
        <v>-1.03E-2</v>
      </c>
      <c r="H12" s="311">
        <f t="shared" si="6"/>
        <v>49215</v>
      </c>
      <c r="I12" s="302">
        <f t="shared" si="7"/>
        <v>49980</v>
      </c>
      <c r="J12" s="390">
        <f t="shared" si="8"/>
        <v>48400</v>
      </c>
      <c r="K12" s="306">
        <f t="shared" si="9"/>
        <v>49110</v>
      </c>
      <c r="L12" s="345">
        <f t="shared" si="10"/>
        <v>55589573866</v>
      </c>
      <c r="M12" s="306">
        <f t="shared" si="11"/>
        <v>113551777</v>
      </c>
      <c r="N12" s="345">
        <f t="shared" si="12"/>
        <v>25592</v>
      </c>
      <c r="O12" s="381">
        <f t="shared" si="13"/>
        <v>45330.708587962959</v>
      </c>
      <c r="P12" s="397">
        <v>11</v>
      </c>
      <c r="Q12" s="585">
        <v>0</v>
      </c>
      <c r="R12" s="579">
        <v>0</v>
      </c>
      <c r="S12" s="370">
        <v>0</v>
      </c>
      <c r="T12" s="322">
        <v>0</v>
      </c>
      <c r="U12" s="359">
        <v>0</v>
      </c>
      <c r="V12" s="417">
        <v>0</v>
      </c>
      <c r="W12" s="463">
        <v>0</v>
      </c>
      <c r="X12" s="461">
        <v>0</v>
      </c>
      <c r="Y12" s="421">
        <f t="shared" si="14"/>
        <v>245</v>
      </c>
      <c r="Z12" s="431">
        <f>IFERROR($C12*(1-$V$1)/100*INT($Y12),"")</f>
        <v>119070</v>
      </c>
      <c r="AA12" s="777">
        <f>IFERROR($Z12-$Z13,"")</f>
        <v>202.80000000000291</v>
      </c>
      <c r="AN12" t="s">
        <v>645</v>
      </c>
    </row>
    <row r="13" spans="1:43" ht="12.75" customHeight="1">
      <c r="A13" s="641" t="s">
        <v>190</v>
      </c>
      <c r="B13" s="642">
        <f t="shared" si="0"/>
        <v>52</v>
      </c>
      <c r="C13" s="625">
        <f t="shared" si="1"/>
        <v>48000</v>
      </c>
      <c r="D13" s="626">
        <f t="shared" si="2"/>
        <v>48320</v>
      </c>
      <c r="E13" s="643">
        <f t="shared" si="3"/>
        <v>70720</v>
      </c>
      <c r="F13" s="627">
        <f t="shared" si="4"/>
        <v>48320</v>
      </c>
      <c r="G13" s="628">
        <f t="shared" si="5"/>
        <v>-1.38E-2</v>
      </c>
      <c r="H13" s="629">
        <f t="shared" si="6"/>
        <v>49500</v>
      </c>
      <c r="I13" s="630">
        <f t="shared" si="7"/>
        <v>49500</v>
      </c>
      <c r="J13" s="631">
        <f t="shared" si="8"/>
        <v>47900</v>
      </c>
      <c r="K13" s="632">
        <f t="shared" si="9"/>
        <v>49000</v>
      </c>
      <c r="L13" s="613">
        <f t="shared" si="10"/>
        <v>667402531</v>
      </c>
      <c r="M13" s="632">
        <f t="shared" si="11"/>
        <v>1376820</v>
      </c>
      <c r="N13" s="613">
        <f t="shared" si="12"/>
        <v>372</v>
      </c>
      <c r="O13" s="633">
        <f t="shared" si="13"/>
        <v>45330.705069444448</v>
      </c>
      <c r="P13" s="615">
        <v>12</v>
      </c>
      <c r="Q13" s="616">
        <v>0</v>
      </c>
      <c r="R13" s="634">
        <v>0</v>
      </c>
      <c r="S13" s="618">
        <v>0</v>
      </c>
      <c r="T13" s="680">
        <v>0</v>
      </c>
      <c r="U13" s="360">
        <v>0</v>
      </c>
      <c r="V13" s="418">
        <v>0</v>
      </c>
      <c r="W13" s="636">
        <v>0</v>
      </c>
      <c r="X13" s="700">
        <v>0</v>
      </c>
      <c r="Y13" s="645">
        <f>IFERROR($Z12/($D13*(1+$V$1)/100),0)</f>
        <v>246.41970198675497</v>
      </c>
      <c r="Z13" s="646">
        <f>IFERROR($D13/100*INT($Y13),"")</f>
        <v>118867.2</v>
      </c>
      <c r="AA13" s="778"/>
      <c r="AN13" t="s">
        <v>645</v>
      </c>
    </row>
    <row r="14" spans="1:43" ht="12.75" hidden="1" customHeight="1">
      <c r="A14" s="432" t="s">
        <v>235</v>
      </c>
      <c r="B14" s="444">
        <f t="shared" si="0"/>
        <v>2600</v>
      </c>
      <c r="C14" s="436">
        <f t="shared" si="1"/>
        <v>40.299999999999997</v>
      </c>
      <c r="D14" s="336">
        <f t="shared" si="2"/>
        <v>40.9</v>
      </c>
      <c r="E14" s="435">
        <f t="shared" si="3"/>
        <v>796</v>
      </c>
      <c r="F14" s="376">
        <f t="shared" si="4"/>
        <v>40.581000000000003</v>
      </c>
      <c r="G14" s="446">
        <f t="shared" si="5"/>
        <v>7.1999999999999998E-3</v>
      </c>
      <c r="H14" s="313">
        <f t="shared" si="6"/>
        <v>40</v>
      </c>
      <c r="I14" s="305">
        <f t="shared" si="7"/>
        <v>41.4</v>
      </c>
      <c r="J14" s="392">
        <f t="shared" si="8"/>
        <v>40</v>
      </c>
      <c r="K14" s="309">
        <f t="shared" si="9"/>
        <v>40.29</v>
      </c>
      <c r="L14" s="337">
        <f t="shared" si="10"/>
        <v>15775</v>
      </c>
      <c r="M14" s="309">
        <f t="shared" si="11"/>
        <v>38714</v>
      </c>
      <c r="N14" s="337">
        <f t="shared" si="12"/>
        <v>132</v>
      </c>
      <c r="O14" s="383">
        <f t="shared" si="13"/>
        <v>45330.69568287037</v>
      </c>
      <c r="P14" s="397">
        <v>13</v>
      </c>
      <c r="Q14" s="352">
        <v>0</v>
      </c>
      <c r="R14" s="577">
        <v>0</v>
      </c>
      <c r="S14" s="372">
        <v>0</v>
      </c>
      <c r="T14" s="341">
        <v>0</v>
      </c>
      <c r="U14" s="359">
        <v>0</v>
      </c>
      <c r="V14" s="417">
        <v>0</v>
      </c>
      <c r="W14" s="454">
        <v>0</v>
      </c>
      <c r="X14" s="459">
        <v>0</v>
      </c>
      <c r="Y14" s="419">
        <v>100</v>
      </c>
      <c r="Z14" s="429">
        <f>IFERROR($C14*(1-$V$1)/100*$Y14,"")</f>
        <v>40.299999999999997</v>
      </c>
      <c r="AA14" s="775">
        <f>IFERROR($Z14-$Z15,"")</f>
        <v>0.22200000000000131</v>
      </c>
      <c r="AN14" t="s">
        <v>645</v>
      </c>
      <c r="AO14" s="47"/>
      <c r="AP14" s="47"/>
      <c r="AQ14" s="47"/>
    </row>
    <row r="15" spans="1:43" ht="12.75" hidden="1" customHeight="1">
      <c r="A15" s="482" t="s">
        <v>612</v>
      </c>
      <c r="B15" s="437">
        <f t="shared" si="0"/>
        <v>120</v>
      </c>
      <c r="C15" s="434">
        <f t="shared" si="1"/>
        <v>68.83</v>
      </c>
      <c r="D15" s="438">
        <f t="shared" si="2"/>
        <v>69.099999999999994</v>
      </c>
      <c r="E15" s="442">
        <f t="shared" si="3"/>
        <v>121230</v>
      </c>
      <c r="F15" s="317">
        <f t="shared" si="4"/>
        <v>69.099999999999994</v>
      </c>
      <c r="G15" s="447">
        <f t="shared" si="5"/>
        <v>-9.7999999999999997E-3</v>
      </c>
      <c r="H15" s="323">
        <f t="shared" si="6"/>
        <v>69.7</v>
      </c>
      <c r="I15" s="324">
        <f t="shared" si="7"/>
        <v>70.7</v>
      </c>
      <c r="J15" s="393">
        <f t="shared" si="8"/>
        <v>68.75</v>
      </c>
      <c r="K15" s="325">
        <f t="shared" si="9"/>
        <v>69.790000000000006</v>
      </c>
      <c r="L15" s="348">
        <f t="shared" si="10"/>
        <v>950370</v>
      </c>
      <c r="M15" s="325">
        <f t="shared" si="11"/>
        <v>1373390</v>
      </c>
      <c r="N15" s="348">
        <f t="shared" si="12"/>
        <v>323</v>
      </c>
      <c r="O15" s="384">
        <f t="shared" si="13"/>
        <v>45330.706388888888</v>
      </c>
      <c r="P15" s="396">
        <v>14</v>
      </c>
      <c r="Q15" s="586">
        <v>0</v>
      </c>
      <c r="R15" s="581">
        <v>0</v>
      </c>
      <c r="S15" s="373">
        <v>0</v>
      </c>
      <c r="T15" s="326">
        <v>0</v>
      </c>
      <c r="U15" s="360">
        <v>0</v>
      </c>
      <c r="V15" s="418">
        <v>0</v>
      </c>
      <c r="W15" s="455">
        <v>0</v>
      </c>
      <c r="X15" s="460">
        <v>0</v>
      </c>
      <c r="Y15" s="420">
        <f>IFERROR(INT($Z14/($D15*(1+$V$1)/100)),0)</f>
        <v>58</v>
      </c>
      <c r="Z15" s="430">
        <f>IFERROR($D15/100*INT($Y15),"")</f>
        <v>40.077999999999996</v>
      </c>
      <c r="AA15" s="776"/>
      <c r="AN15" t="s">
        <v>646</v>
      </c>
    </row>
    <row r="16" spans="1:43" ht="12.75" hidden="1" customHeight="1">
      <c r="A16" s="466" t="s">
        <v>610</v>
      </c>
      <c r="B16" s="444">
        <f t="shared" si="0"/>
        <v>56760</v>
      </c>
      <c r="C16" s="436">
        <f t="shared" si="1"/>
        <v>65.349999999999994</v>
      </c>
      <c r="D16" s="433">
        <f t="shared" si="2"/>
        <v>65.45</v>
      </c>
      <c r="E16" s="439">
        <f t="shared" si="3"/>
        <v>85780</v>
      </c>
      <c r="F16" s="376">
        <f t="shared" si="4"/>
        <v>65.45</v>
      </c>
      <c r="G16" s="446">
        <f t="shared" si="5"/>
        <v>-9.7999999999999997E-3</v>
      </c>
      <c r="H16" s="311">
        <f t="shared" si="6"/>
        <v>66</v>
      </c>
      <c r="I16" s="302">
        <f t="shared" si="7"/>
        <v>66.5</v>
      </c>
      <c r="J16" s="302">
        <f t="shared" si="8"/>
        <v>65.25</v>
      </c>
      <c r="K16" s="306">
        <f t="shared" si="9"/>
        <v>66.099999999999994</v>
      </c>
      <c r="L16" s="345">
        <f t="shared" si="10"/>
        <v>13570271</v>
      </c>
      <c r="M16" s="306">
        <f t="shared" si="11"/>
        <v>20658460</v>
      </c>
      <c r="N16" s="345">
        <f t="shared" si="12"/>
        <v>329</v>
      </c>
      <c r="O16" s="381">
        <f t="shared" si="13"/>
        <v>45330.704409722224</v>
      </c>
      <c r="P16" s="397">
        <v>15</v>
      </c>
      <c r="Q16" s="587">
        <v>0</v>
      </c>
      <c r="R16" s="579">
        <v>0</v>
      </c>
      <c r="S16" s="370">
        <v>0</v>
      </c>
      <c r="T16" s="322">
        <v>0</v>
      </c>
      <c r="U16" s="359">
        <v>0</v>
      </c>
      <c r="V16" s="417">
        <v>0</v>
      </c>
      <c r="W16" s="463">
        <v>0</v>
      </c>
      <c r="X16" s="461">
        <v>0</v>
      </c>
      <c r="Y16" s="421">
        <f t="shared" ref="Y16" si="15">Y15</f>
        <v>58</v>
      </c>
      <c r="Z16" s="431">
        <f>IFERROR($C16*(1-$V$1)/100*INT($Y16),"")</f>
        <v>37.902999999999999</v>
      </c>
      <c r="AA16" s="777">
        <f>IFERROR($Z16-$Z17,"")</f>
        <v>37.902999999999999</v>
      </c>
      <c r="AN16" t="s">
        <v>647</v>
      </c>
    </row>
    <row r="17" spans="1:42" ht="12.75" hidden="1" customHeight="1">
      <c r="A17" s="554" t="s">
        <v>234</v>
      </c>
      <c r="B17" s="440">
        <f t="shared" si="0"/>
        <v>0</v>
      </c>
      <c r="C17" s="358">
        <f t="shared" si="1"/>
        <v>0</v>
      </c>
      <c r="D17" s="441">
        <f t="shared" si="2"/>
        <v>0</v>
      </c>
      <c r="E17" s="443">
        <f t="shared" si="3"/>
        <v>0</v>
      </c>
      <c r="F17" s="445">
        <f t="shared" si="4"/>
        <v>0</v>
      </c>
      <c r="G17" s="448">
        <f t="shared" si="5"/>
        <v>0</v>
      </c>
      <c r="H17" s="353">
        <f t="shared" si="6"/>
        <v>0</v>
      </c>
      <c r="I17" s="354">
        <f t="shared" si="7"/>
        <v>0</v>
      </c>
      <c r="J17" s="391">
        <f t="shared" si="8"/>
        <v>0</v>
      </c>
      <c r="K17" s="356">
        <f t="shared" si="9"/>
        <v>40.375</v>
      </c>
      <c r="L17" s="355">
        <f t="shared" si="10"/>
        <v>0</v>
      </c>
      <c r="M17" s="356">
        <f t="shared" si="11"/>
        <v>0</v>
      </c>
      <c r="N17" s="355">
        <f t="shared" si="12"/>
        <v>0</v>
      </c>
      <c r="O17" s="382">
        <f t="shared" si="13"/>
        <v>0</v>
      </c>
      <c r="P17" s="550">
        <v>16</v>
      </c>
      <c r="Q17" s="398">
        <v>0</v>
      </c>
      <c r="R17" s="582">
        <v>0</v>
      </c>
      <c r="S17" s="371">
        <v>0</v>
      </c>
      <c r="T17" s="357">
        <v>0</v>
      </c>
      <c r="U17" s="360">
        <v>0</v>
      </c>
      <c r="V17" s="418">
        <v>0</v>
      </c>
      <c r="W17" s="483">
        <v>0</v>
      </c>
      <c r="X17" s="555">
        <v>0</v>
      </c>
      <c r="Y17" s="551">
        <f>IFERROR($Z16/($D17*(1+$V$1)/100),0)</f>
        <v>0</v>
      </c>
      <c r="Z17" s="552">
        <f>IFERROR($D17/100*INT($Y17),"")</f>
        <v>0</v>
      </c>
      <c r="AA17" s="784"/>
      <c r="AP17" s="732" t="s">
        <v>628</v>
      </c>
    </row>
    <row r="18" spans="1:42" ht="12.75" hidden="1" customHeight="1">
      <c r="A18" s="572" t="s">
        <v>13</v>
      </c>
      <c r="B18" s="590">
        <f t="shared" si="0"/>
        <v>1849</v>
      </c>
      <c r="C18" s="553">
        <f t="shared" si="1"/>
        <v>47920</v>
      </c>
      <c r="D18" s="336">
        <f t="shared" si="2"/>
        <v>47950</v>
      </c>
      <c r="E18" s="589">
        <f t="shared" si="3"/>
        <v>11939</v>
      </c>
      <c r="F18" s="376">
        <f t="shared" si="4"/>
        <v>47945</v>
      </c>
      <c r="G18" s="446">
        <f t="shared" si="5"/>
        <v>-2.1600000000000001E-2</v>
      </c>
      <c r="H18" s="313">
        <f t="shared" si="6"/>
        <v>49800</v>
      </c>
      <c r="I18" s="305">
        <f t="shared" si="7"/>
        <v>49950</v>
      </c>
      <c r="J18" s="392">
        <f t="shared" si="8"/>
        <v>47515</v>
      </c>
      <c r="K18" s="309">
        <f t="shared" si="9"/>
        <v>49005</v>
      </c>
      <c r="L18" s="337">
        <f t="shared" si="10"/>
        <v>69643209521</v>
      </c>
      <c r="M18" s="309">
        <f t="shared" si="11"/>
        <v>144261173</v>
      </c>
      <c r="N18" s="337">
        <f t="shared" si="12"/>
        <v>61397</v>
      </c>
      <c r="O18" s="383">
        <f t="shared" si="13"/>
        <v>45330.687696759262</v>
      </c>
      <c r="P18" s="397">
        <v>17</v>
      </c>
      <c r="Q18" s="352">
        <v>0</v>
      </c>
      <c r="R18" s="577">
        <v>0</v>
      </c>
      <c r="S18" s="372">
        <v>0</v>
      </c>
      <c r="T18" s="329">
        <v>0</v>
      </c>
      <c r="U18" s="359">
        <v>0</v>
      </c>
      <c r="V18" s="417">
        <v>0</v>
      </c>
      <c r="W18" s="454">
        <v>0</v>
      </c>
      <c r="X18" s="456">
        <v>0</v>
      </c>
      <c r="Y18" s="576">
        <f>IFERROR(IF($Y$1&lt;&gt;"",INT($Y$1/(D18/100)),100),100)</f>
        <v>250</v>
      </c>
      <c r="Z18" s="574" t="str">
        <f>A19</f>
        <v>GD30 - spot</v>
      </c>
      <c r="AA18" s="595">
        <f>IFERROR(INT(VLOOKUP($A18,$A$54:$N$169,6,0)*$Y18/100)/(VLOOKUP($Z18,$A$54:$N$169,6,0)/100),"")</f>
        <v>231.57264296754249</v>
      </c>
      <c r="AC18" s="301"/>
    </row>
    <row r="19" spans="1:42" ht="12.75" hidden="1" customHeight="1">
      <c r="A19" s="573" t="s">
        <v>16</v>
      </c>
      <c r="B19" s="410">
        <f t="shared" si="0"/>
        <v>434</v>
      </c>
      <c r="C19" s="434">
        <f t="shared" si="1"/>
        <v>51560</v>
      </c>
      <c r="D19" s="438">
        <f t="shared" si="2"/>
        <v>51800</v>
      </c>
      <c r="E19" s="410">
        <f t="shared" si="3"/>
        <v>50000</v>
      </c>
      <c r="F19" s="317">
        <f t="shared" si="4"/>
        <v>51760</v>
      </c>
      <c r="G19" s="447">
        <f t="shared" si="5"/>
        <v>-2.6099999999999998E-2</v>
      </c>
      <c r="H19" s="323">
        <f t="shared" si="6"/>
        <v>53000</v>
      </c>
      <c r="I19" s="324">
        <f t="shared" si="7"/>
        <v>54230</v>
      </c>
      <c r="J19" s="393">
        <f t="shared" si="8"/>
        <v>51300</v>
      </c>
      <c r="K19" s="325">
        <f t="shared" si="9"/>
        <v>53150</v>
      </c>
      <c r="L19" s="348">
        <f t="shared" si="10"/>
        <v>6134390286</v>
      </c>
      <c r="M19" s="325">
        <f t="shared" si="11"/>
        <v>11782061</v>
      </c>
      <c r="N19" s="348">
        <f t="shared" si="12"/>
        <v>5791</v>
      </c>
      <c r="O19" s="384">
        <f t="shared" si="13"/>
        <v>45330.685370370367</v>
      </c>
      <c r="P19" s="396">
        <v>18</v>
      </c>
      <c r="Q19" s="586">
        <v>0</v>
      </c>
      <c r="R19" s="581">
        <v>0</v>
      </c>
      <c r="S19" s="369">
        <v>0</v>
      </c>
      <c r="T19" s="328">
        <v>0</v>
      </c>
      <c r="U19" s="360">
        <v>0</v>
      </c>
      <c r="V19" s="418">
        <v>0</v>
      </c>
      <c r="W19" s="455">
        <v>0</v>
      </c>
      <c r="X19" s="457">
        <v>0</v>
      </c>
      <c r="Y19" s="588">
        <f>IFERROR(IF($Y$1&lt;&gt;"",INT($Y$1/(D19/100)),100),100)</f>
        <v>231</v>
      </c>
      <c r="Z19" s="575" t="str">
        <f>A18</f>
        <v>AL30 - spot</v>
      </c>
      <c r="AA19" s="594">
        <f>IFERROR(INT(VLOOKUP($A19,$A$54:$N$169,6,0)*$Y19/100)/(VLOOKUP($Z19,$A$54:$N$169,6,0)/100),"")</f>
        <v>249.3794973407029</v>
      </c>
    </row>
    <row r="20" spans="1:42" ht="12.75" hidden="1" customHeight="1">
      <c r="A20" s="572" t="s">
        <v>2</v>
      </c>
      <c r="B20" s="591">
        <f t="shared" si="0"/>
        <v>25000</v>
      </c>
      <c r="C20" s="553">
        <f t="shared" si="1"/>
        <v>48600</v>
      </c>
      <c r="D20" s="433">
        <f t="shared" si="2"/>
        <v>48625</v>
      </c>
      <c r="E20" s="589">
        <f t="shared" si="3"/>
        <v>166</v>
      </c>
      <c r="F20" s="376">
        <f t="shared" si="4"/>
        <v>48600</v>
      </c>
      <c r="G20" s="446">
        <f t="shared" si="5"/>
        <v>-1.03E-2</v>
      </c>
      <c r="H20" s="311">
        <f t="shared" si="6"/>
        <v>49215</v>
      </c>
      <c r="I20" s="302">
        <f t="shared" si="7"/>
        <v>49980</v>
      </c>
      <c r="J20" s="302">
        <f t="shared" si="8"/>
        <v>48400</v>
      </c>
      <c r="K20" s="306">
        <f t="shared" si="9"/>
        <v>49110</v>
      </c>
      <c r="L20" s="345">
        <f t="shared" si="10"/>
        <v>55589573866</v>
      </c>
      <c r="M20" s="306">
        <f t="shared" si="11"/>
        <v>113551777</v>
      </c>
      <c r="N20" s="345">
        <f t="shared" si="12"/>
        <v>25592</v>
      </c>
      <c r="O20" s="381">
        <f t="shared" si="13"/>
        <v>45330.708587962959</v>
      </c>
      <c r="P20" s="397">
        <v>19</v>
      </c>
      <c r="Q20" s="587">
        <v>0</v>
      </c>
      <c r="R20" s="579">
        <v>0</v>
      </c>
      <c r="S20" s="374">
        <v>0</v>
      </c>
      <c r="T20" s="327">
        <v>0</v>
      </c>
      <c r="U20" s="359">
        <v>0</v>
      </c>
      <c r="V20" s="417">
        <v>0</v>
      </c>
      <c r="W20" s="463">
        <v>0</v>
      </c>
      <c r="X20" s="458">
        <v>0</v>
      </c>
      <c r="Y20" s="576">
        <f t="shared" ref="Y20:Y21" si="16">IFERROR(IF($Y$1&lt;&gt;"",INT($Y$1/(D20/100)),100),100)</f>
        <v>246</v>
      </c>
      <c r="Z20" s="574" t="str">
        <f>A21</f>
        <v>GD30 - 48hs</v>
      </c>
      <c r="AA20" s="596">
        <f>IFERROR(INT(VLOOKUP($A20,$A$54:$N$169,6,0)*$Y20/100)/(VLOOKUP($Z20,$A$54:$N$169,6,0)/100),"")</f>
        <v>228.02975395765785</v>
      </c>
    </row>
    <row r="21" spans="1:42" ht="12.75" hidden="1" customHeight="1">
      <c r="A21" s="623" t="s">
        <v>5</v>
      </c>
      <c r="B21" s="624">
        <f t="shared" si="0"/>
        <v>51001</v>
      </c>
      <c r="C21" s="625">
        <f t="shared" si="1"/>
        <v>52430</v>
      </c>
      <c r="D21" s="626">
        <f t="shared" si="2"/>
        <v>52440</v>
      </c>
      <c r="E21" s="624">
        <f t="shared" si="3"/>
        <v>1600</v>
      </c>
      <c r="F21" s="627">
        <f t="shared" si="4"/>
        <v>52430</v>
      </c>
      <c r="G21" s="628">
        <f t="shared" si="5"/>
        <v>-7.9000000000000008E-3</v>
      </c>
      <c r="H21" s="629">
        <f t="shared" si="6"/>
        <v>53500</v>
      </c>
      <c r="I21" s="630">
        <f t="shared" si="7"/>
        <v>54490</v>
      </c>
      <c r="J21" s="631">
        <f t="shared" si="8"/>
        <v>52340</v>
      </c>
      <c r="K21" s="632">
        <f t="shared" si="9"/>
        <v>52850</v>
      </c>
      <c r="L21" s="613">
        <f t="shared" si="10"/>
        <v>16616996498</v>
      </c>
      <c r="M21" s="632">
        <f t="shared" si="11"/>
        <v>31497668</v>
      </c>
      <c r="N21" s="613">
        <f t="shared" si="12"/>
        <v>4306</v>
      </c>
      <c r="O21" s="633">
        <f t="shared" si="13"/>
        <v>45330.708379629628</v>
      </c>
      <c r="P21" s="396">
        <v>20</v>
      </c>
      <c r="Q21" s="616">
        <v>0</v>
      </c>
      <c r="R21" s="634">
        <v>0</v>
      </c>
      <c r="S21" s="618">
        <v>0</v>
      </c>
      <c r="T21" s="635">
        <v>0</v>
      </c>
      <c r="U21" s="360">
        <v>0</v>
      </c>
      <c r="V21" s="648">
        <v>0</v>
      </c>
      <c r="W21" s="636">
        <v>0</v>
      </c>
      <c r="X21" s="637">
        <v>0</v>
      </c>
      <c r="Y21" s="638">
        <f t="shared" si="16"/>
        <v>228</v>
      </c>
      <c r="Z21" s="639" t="str">
        <f>A20</f>
        <v>AL30 - 48hs</v>
      </c>
      <c r="AA21" s="640">
        <f>IFERROR(INT(VLOOKUP($A21,$A$54:$N$169,6,0)*$Y21/100)/(VLOOKUP($Z21,$A$54:$N$169,6,0)/100),"")</f>
        <v>245.96707818930042</v>
      </c>
    </row>
    <row r="22" spans="1:42" ht="12.75" hidden="1" customHeight="1">
      <c r="A22" s="485" t="s">
        <v>554</v>
      </c>
      <c r="B22" s="489">
        <f t="shared" si="0"/>
        <v>231750</v>
      </c>
      <c r="C22" s="490">
        <f t="shared" si="1"/>
        <v>34.4</v>
      </c>
      <c r="D22" s="491">
        <f t="shared" si="2"/>
        <v>34.700000000000003</v>
      </c>
      <c r="E22" s="492">
        <f t="shared" si="3"/>
        <v>200</v>
      </c>
      <c r="F22" s="493">
        <f t="shared" si="4"/>
        <v>34.511000000000003</v>
      </c>
      <c r="G22" s="494">
        <f t="shared" si="5"/>
        <v>-7.0999999999999995E-3</v>
      </c>
      <c r="H22" s="495">
        <f t="shared" si="6"/>
        <v>34.229999999999997</v>
      </c>
      <c r="I22" s="496">
        <f t="shared" si="7"/>
        <v>35.299999999999997</v>
      </c>
      <c r="J22" s="497">
        <f t="shared" si="8"/>
        <v>34.200000000000003</v>
      </c>
      <c r="K22" s="498">
        <f t="shared" si="9"/>
        <v>34.76</v>
      </c>
      <c r="L22" s="499">
        <f t="shared" si="10"/>
        <v>73041</v>
      </c>
      <c r="M22" s="498">
        <f t="shared" si="11"/>
        <v>211192</v>
      </c>
      <c r="N22" s="337">
        <f t="shared" si="12"/>
        <v>144</v>
      </c>
      <c r="O22" s="383">
        <f t="shared" si="13"/>
        <v>45330.684317129628</v>
      </c>
      <c r="P22" s="397">
        <v>21</v>
      </c>
      <c r="Q22" s="352">
        <v>0</v>
      </c>
      <c r="R22" s="583">
        <v>0</v>
      </c>
      <c r="S22" s="372">
        <v>0</v>
      </c>
      <c r="T22" s="341">
        <v>0</v>
      </c>
      <c r="U22" s="597">
        <v>0</v>
      </c>
      <c r="V22" s="412">
        <v>0</v>
      </c>
      <c r="W22" s="451">
        <v>0</v>
      </c>
      <c r="X22" s="456">
        <v>0</v>
      </c>
      <c r="Y22" s="523">
        <v>102.6865671641791</v>
      </c>
      <c r="Z22" s="524" t="s">
        <v>552</v>
      </c>
      <c r="AA22" s="525" t="s">
        <v>553</v>
      </c>
    </row>
    <row r="23" spans="1:42" ht="12.75" hidden="1" customHeight="1">
      <c r="A23" s="486" t="s">
        <v>235</v>
      </c>
      <c r="B23" s="500">
        <f t="shared" si="0"/>
        <v>2600</v>
      </c>
      <c r="C23" s="501">
        <f t="shared" si="1"/>
        <v>40.299999999999997</v>
      </c>
      <c r="D23" s="502">
        <f t="shared" si="2"/>
        <v>40.9</v>
      </c>
      <c r="E23" s="503">
        <f t="shared" si="3"/>
        <v>796</v>
      </c>
      <c r="F23" s="504">
        <f t="shared" si="4"/>
        <v>40.581000000000003</v>
      </c>
      <c r="G23" s="505">
        <f t="shared" si="5"/>
        <v>7.1999999999999998E-3</v>
      </c>
      <c r="H23" s="506">
        <f t="shared" si="6"/>
        <v>40</v>
      </c>
      <c r="I23" s="507">
        <f t="shared" si="7"/>
        <v>41.4</v>
      </c>
      <c r="J23" s="508">
        <f t="shared" si="8"/>
        <v>40</v>
      </c>
      <c r="K23" s="509">
        <f t="shared" si="9"/>
        <v>40.29</v>
      </c>
      <c r="L23" s="510">
        <f t="shared" si="10"/>
        <v>15775</v>
      </c>
      <c r="M23" s="509">
        <f t="shared" si="11"/>
        <v>38714</v>
      </c>
      <c r="N23" s="348">
        <f t="shared" si="12"/>
        <v>132</v>
      </c>
      <c r="O23" s="384">
        <f t="shared" si="13"/>
        <v>45330.69568287037</v>
      </c>
      <c r="P23" s="396">
        <v>22</v>
      </c>
      <c r="Q23" s="586">
        <v>0</v>
      </c>
      <c r="R23" s="581">
        <v>0</v>
      </c>
      <c r="S23" s="373">
        <v>0</v>
      </c>
      <c r="T23" s="326">
        <v>0</v>
      </c>
      <c r="U23" s="598">
        <v>0</v>
      </c>
      <c r="V23" s="413">
        <v>0</v>
      </c>
      <c r="W23" s="452">
        <v>0</v>
      </c>
      <c r="X23" s="457">
        <v>0</v>
      </c>
      <c r="Y23" s="526">
        <v>101.41024573094543</v>
      </c>
      <c r="Z23" s="527" t="s">
        <v>190</v>
      </c>
      <c r="AA23" s="528" t="s">
        <v>234</v>
      </c>
    </row>
    <row r="24" spans="1:42" ht="12.75" hidden="1" customHeight="1">
      <c r="A24" s="487" t="s">
        <v>565</v>
      </c>
      <c r="B24" s="489">
        <f t="shared" si="0"/>
        <v>250000</v>
      </c>
      <c r="C24" s="490">
        <f t="shared" si="1"/>
        <v>33</v>
      </c>
      <c r="D24" s="511">
        <f t="shared" si="2"/>
        <v>0</v>
      </c>
      <c r="E24" s="512">
        <f t="shared" si="3"/>
        <v>0</v>
      </c>
      <c r="F24" s="493">
        <f t="shared" si="4"/>
        <v>33.5</v>
      </c>
      <c r="G24" s="494">
        <f t="shared" si="5"/>
        <v>-5.0900000000000001E-2</v>
      </c>
      <c r="H24" s="513">
        <f t="shared" si="6"/>
        <v>33.5</v>
      </c>
      <c r="I24" s="514">
        <f t="shared" si="7"/>
        <v>33.5</v>
      </c>
      <c r="J24" s="515">
        <f t="shared" si="8"/>
        <v>33.5</v>
      </c>
      <c r="K24" s="516">
        <f t="shared" si="9"/>
        <v>35.299999999999997</v>
      </c>
      <c r="L24" s="517">
        <f t="shared" si="10"/>
        <v>838</v>
      </c>
      <c r="M24" s="516">
        <f t="shared" si="11"/>
        <v>2500</v>
      </c>
      <c r="N24" s="345">
        <f t="shared" si="12"/>
        <v>3</v>
      </c>
      <c r="O24" s="381">
        <f t="shared" si="13"/>
        <v>45330.510451388887</v>
      </c>
      <c r="P24" s="397">
        <v>23</v>
      </c>
      <c r="Q24" s="587">
        <v>0</v>
      </c>
      <c r="R24" s="579">
        <v>0</v>
      </c>
      <c r="S24" s="370">
        <v>0</v>
      </c>
      <c r="T24" s="322">
        <v>0</v>
      </c>
      <c r="U24" s="597">
        <v>0</v>
      </c>
      <c r="V24" s="412">
        <v>0</v>
      </c>
      <c r="W24" s="453">
        <v>0</v>
      </c>
      <c r="X24" s="458">
        <v>0</v>
      </c>
      <c r="Y24" s="529">
        <v>96.821515892420535</v>
      </c>
      <c r="Z24" s="524" t="s">
        <v>564</v>
      </c>
      <c r="AA24" s="530" t="s">
        <v>566</v>
      </c>
    </row>
    <row r="25" spans="1:42" ht="12.75" hidden="1" customHeight="1">
      <c r="A25" s="556" t="s">
        <v>610</v>
      </c>
      <c r="B25" s="557">
        <f t="shared" si="0"/>
        <v>56760</v>
      </c>
      <c r="C25" s="558">
        <f t="shared" si="1"/>
        <v>65.349999999999994</v>
      </c>
      <c r="D25" s="559">
        <f t="shared" si="2"/>
        <v>65.45</v>
      </c>
      <c r="E25" s="560">
        <f t="shared" si="3"/>
        <v>85780</v>
      </c>
      <c r="F25" s="561">
        <f t="shared" si="4"/>
        <v>65.45</v>
      </c>
      <c r="G25" s="562">
        <f t="shared" si="5"/>
        <v>-9.7999999999999997E-3</v>
      </c>
      <c r="H25" s="563">
        <f t="shared" si="6"/>
        <v>66</v>
      </c>
      <c r="I25" s="564">
        <f t="shared" si="7"/>
        <v>66.5</v>
      </c>
      <c r="J25" s="565">
        <f t="shared" si="8"/>
        <v>65.25</v>
      </c>
      <c r="K25" s="566">
        <f t="shared" si="9"/>
        <v>66.099999999999994</v>
      </c>
      <c r="L25" s="567">
        <f t="shared" si="10"/>
        <v>13570271</v>
      </c>
      <c r="M25" s="566">
        <f t="shared" si="11"/>
        <v>20658460</v>
      </c>
      <c r="N25" s="343">
        <f t="shared" si="12"/>
        <v>329</v>
      </c>
      <c r="O25" s="475">
        <f t="shared" si="13"/>
        <v>45330.704409722224</v>
      </c>
      <c r="P25" s="396">
        <v>24</v>
      </c>
      <c r="Q25" s="351">
        <v>0</v>
      </c>
      <c r="R25" s="580">
        <v>0</v>
      </c>
      <c r="S25" s="375">
        <v>0</v>
      </c>
      <c r="T25" s="477">
        <v>0</v>
      </c>
      <c r="U25" s="360">
        <v>0</v>
      </c>
      <c r="V25" s="413">
        <v>0</v>
      </c>
      <c r="W25" s="484">
        <v>0</v>
      </c>
      <c r="X25" s="568">
        <v>0</v>
      </c>
      <c r="Y25" s="569">
        <v>95.824175824175825</v>
      </c>
      <c r="Z25" s="570" t="s">
        <v>614</v>
      </c>
      <c r="AA25" s="571" t="s">
        <v>612</v>
      </c>
    </row>
    <row r="26" spans="1:42" ht="12.75" hidden="1" customHeight="1">
      <c r="A26" s="488" t="s">
        <v>576</v>
      </c>
      <c r="B26" s="489">
        <f t="shared" si="0"/>
        <v>8261</v>
      </c>
      <c r="C26" s="490">
        <f t="shared" si="1"/>
        <v>99700</v>
      </c>
      <c r="D26" s="491">
        <f t="shared" si="2"/>
        <v>99790</v>
      </c>
      <c r="E26" s="492">
        <f t="shared" si="3"/>
        <v>556</v>
      </c>
      <c r="F26" s="493">
        <f t="shared" si="4"/>
        <v>99700</v>
      </c>
      <c r="G26" s="494">
        <f t="shared" si="5"/>
        <v>-6.4000000000000003E-3</v>
      </c>
      <c r="H26" s="495">
        <f t="shared" si="6"/>
        <v>98500</v>
      </c>
      <c r="I26" s="496">
        <f t="shared" si="7"/>
        <v>100900</v>
      </c>
      <c r="J26" s="497">
        <f t="shared" si="8"/>
        <v>98110</v>
      </c>
      <c r="K26" s="498">
        <f t="shared" si="9"/>
        <v>100350</v>
      </c>
      <c r="L26" s="499">
        <f t="shared" si="10"/>
        <v>58486826</v>
      </c>
      <c r="M26" s="498">
        <f t="shared" si="11"/>
        <v>58850</v>
      </c>
      <c r="N26" s="337">
        <f t="shared" si="12"/>
        <v>295</v>
      </c>
      <c r="O26" s="385">
        <f t="shared" si="13"/>
        <v>45330.687743055554</v>
      </c>
      <c r="P26" s="397">
        <v>25</v>
      </c>
      <c r="Q26" s="352">
        <v>0</v>
      </c>
      <c r="R26" s="577">
        <v>0</v>
      </c>
      <c r="S26" s="372">
        <v>0</v>
      </c>
      <c r="T26" s="329">
        <v>0</v>
      </c>
      <c r="U26" s="359">
        <v>0</v>
      </c>
      <c r="V26" s="362">
        <v>0</v>
      </c>
      <c r="W26" s="416">
        <v>0</v>
      </c>
      <c r="X26" s="690">
        <v>0</v>
      </c>
      <c r="Y26" s="531">
        <v>117751.26963505373</v>
      </c>
      <c r="Z26" s="532" t="s">
        <v>580</v>
      </c>
      <c r="AA26" s="533" t="s">
        <v>578</v>
      </c>
    </row>
    <row r="27" spans="1:42" ht="12.75" hidden="1" customHeight="1">
      <c r="A27" s="723" t="s">
        <v>2</v>
      </c>
      <c r="B27" s="500">
        <f t="shared" si="0"/>
        <v>25000</v>
      </c>
      <c r="C27" s="501">
        <f t="shared" si="1"/>
        <v>48600</v>
      </c>
      <c r="D27" s="502">
        <f t="shared" si="2"/>
        <v>48625</v>
      </c>
      <c r="E27" s="503">
        <f t="shared" si="3"/>
        <v>166</v>
      </c>
      <c r="F27" s="504">
        <f t="shared" si="4"/>
        <v>48600</v>
      </c>
      <c r="G27" s="505">
        <f t="shared" si="5"/>
        <v>-1.03E-2</v>
      </c>
      <c r="H27" s="518">
        <f t="shared" si="6"/>
        <v>49215</v>
      </c>
      <c r="I27" s="519">
        <f t="shared" si="7"/>
        <v>49980</v>
      </c>
      <c r="J27" s="520">
        <f t="shared" si="8"/>
        <v>48400</v>
      </c>
      <c r="K27" s="521">
        <f t="shared" si="9"/>
        <v>49110</v>
      </c>
      <c r="L27" s="522">
        <f t="shared" si="10"/>
        <v>55589573866</v>
      </c>
      <c r="M27" s="521">
        <f t="shared" si="11"/>
        <v>113551777</v>
      </c>
      <c r="N27" s="310">
        <f t="shared" si="12"/>
        <v>25592</v>
      </c>
      <c r="O27" s="386">
        <f t="shared" si="13"/>
        <v>45330.708587962959</v>
      </c>
      <c r="P27" s="396">
        <v>26</v>
      </c>
      <c r="Q27" s="349">
        <v>0</v>
      </c>
      <c r="R27" s="578">
        <v>0</v>
      </c>
      <c r="S27" s="369">
        <v>0</v>
      </c>
      <c r="T27" s="328">
        <v>0</v>
      </c>
      <c r="U27" s="360">
        <v>0</v>
      </c>
      <c r="V27" s="361">
        <v>0</v>
      </c>
      <c r="W27" s="691">
        <v>0</v>
      </c>
      <c r="X27" s="692">
        <v>0</v>
      </c>
      <c r="Y27" s="534">
        <v>119290.40025553455</v>
      </c>
      <c r="Z27" s="535" t="s">
        <v>4</v>
      </c>
      <c r="AA27" s="536" t="s">
        <v>3</v>
      </c>
    </row>
    <row r="28" spans="1:42" ht="12.75" hidden="1" customHeight="1">
      <c r="A28" s="488" t="s">
        <v>613</v>
      </c>
      <c r="B28" s="489">
        <f t="shared" si="0"/>
        <v>120</v>
      </c>
      <c r="C28" s="490">
        <f t="shared" si="1"/>
        <v>81000</v>
      </c>
      <c r="D28" s="511">
        <f t="shared" si="2"/>
        <v>81500</v>
      </c>
      <c r="E28" s="512">
        <f t="shared" si="3"/>
        <v>13940</v>
      </c>
      <c r="F28" s="493">
        <f t="shared" si="4"/>
        <v>81500</v>
      </c>
      <c r="G28" s="494">
        <f t="shared" si="5"/>
        <v>-7.0999999999999995E-3</v>
      </c>
      <c r="H28" s="495">
        <f t="shared" si="6"/>
        <v>84000</v>
      </c>
      <c r="I28" s="496">
        <f t="shared" si="7"/>
        <v>84000</v>
      </c>
      <c r="J28" s="497">
        <f t="shared" si="8"/>
        <v>80690</v>
      </c>
      <c r="K28" s="498">
        <f t="shared" si="9"/>
        <v>82090</v>
      </c>
      <c r="L28" s="499">
        <f t="shared" si="10"/>
        <v>815243961</v>
      </c>
      <c r="M28" s="498">
        <f t="shared" si="11"/>
        <v>997770</v>
      </c>
      <c r="N28" s="337">
        <f t="shared" si="12"/>
        <v>343</v>
      </c>
      <c r="O28" s="385">
        <f t="shared" si="13"/>
        <v>45330.685011574074</v>
      </c>
      <c r="P28" s="397">
        <v>27</v>
      </c>
      <c r="Q28" s="352">
        <v>0</v>
      </c>
      <c r="R28" s="577">
        <v>0</v>
      </c>
      <c r="S28" s="372">
        <v>0</v>
      </c>
      <c r="T28" s="329">
        <v>0</v>
      </c>
      <c r="U28" s="359">
        <v>0</v>
      </c>
      <c r="V28" s="362">
        <v>0</v>
      </c>
      <c r="W28" s="693">
        <v>0</v>
      </c>
      <c r="X28" s="694">
        <v>0</v>
      </c>
      <c r="Y28" s="537">
        <v>123287.67123287672</v>
      </c>
      <c r="Z28" s="538" t="s">
        <v>609</v>
      </c>
      <c r="AA28" s="539" t="s">
        <v>611</v>
      </c>
    </row>
    <row r="29" spans="1:42" ht="12.75" hidden="1" customHeight="1">
      <c r="A29" s="724" t="s">
        <v>2</v>
      </c>
      <c r="B29" s="602">
        <f t="shared" si="0"/>
        <v>25000</v>
      </c>
      <c r="C29" s="603">
        <f t="shared" si="1"/>
        <v>48600</v>
      </c>
      <c r="D29" s="604">
        <f t="shared" si="2"/>
        <v>48625</v>
      </c>
      <c r="E29" s="605">
        <f t="shared" si="3"/>
        <v>166</v>
      </c>
      <c r="F29" s="606">
        <f t="shared" si="4"/>
        <v>48600</v>
      </c>
      <c r="G29" s="607">
        <f t="shared" si="5"/>
        <v>-1.03E-2</v>
      </c>
      <c r="H29" s="608">
        <f t="shared" si="6"/>
        <v>49215</v>
      </c>
      <c r="I29" s="609">
        <f t="shared" si="7"/>
        <v>49980</v>
      </c>
      <c r="J29" s="610">
        <f t="shared" si="8"/>
        <v>48400</v>
      </c>
      <c r="K29" s="611">
        <f t="shared" si="9"/>
        <v>49110</v>
      </c>
      <c r="L29" s="612">
        <f t="shared" si="10"/>
        <v>55589573866</v>
      </c>
      <c r="M29" s="611">
        <f t="shared" si="11"/>
        <v>113551777</v>
      </c>
      <c r="N29" s="613">
        <f t="shared" si="12"/>
        <v>25592</v>
      </c>
      <c r="O29" s="614">
        <f t="shared" si="13"/>
        <v>45330.708587962959</v>
      </c>
      <c r="P29" s="396">
        <v>28</v>
      </c>
      <c r="Q29" s="616">
        <v>0</v>
      </c>
      <c r="R29" s="617">
        <v>0</v>
      </c>
      <c r="S29" s="618">
        <v>0</v>
      </c>
      <c r="T29" s="619">
        <v>0</v>
      </c>
      <c r="U29" s="598">
        <v>0</v>
      </c>
      <c r="V29" s="647">
        <v>0</v>
      </c>
      <c r="W29" s="695">
        <v>0</v>
      </c>
      <c r="X29" s="696">
        <v>0</v>
      </c>
      <c r="Y29" s="620">
        <v>125128.86597938146</v>
      </c>
      <c r="Z29" s="621" t="s">
        <v>3</v>
      </c>
      <c r="AA29" s="622" t="s">
        <v>4</v>
      </c>
    </row>
    <row r="30" spans="1:42" ht="12.75" hidden="1" customHeight="1">
      <c r="A30" s="746" t="s">
        <v>590</v>
      </c>
      <c r="B30" s="331">
        <v>6</v>
      </c>
      <c r="C30" s="433">
        <v>30.01</v>
      </c>
      <c r="D30" s="342">
        <v>32</v>
      </c>
      <c r="E30" s="331">
        <v>5</v>
      </c>
      <c r="F30" s="376">
        <v>31.01</v>
      </c>
      <c r="G30" s="446">
        <v>-0.62649999999999995</v>
      </c>
      <c r="H30" s="313">
        <v>88</v>
      </c>
      <c r="I30" s="305">
        <v>89</v>
      </c>
      <c r="J30" s="392">
        <v>17</v>
      </c>
      <c r="K30" s="309">
        <v>83.034999999999997</v>
      </c>
      <c r="L30" s="337">
        <v>148040285</v>
      </c>
      <c r="M30" s="337">
        <v>39296</v>
      </c>
      <c r="N30" s="337">
        <v>2847</v>
      </c>
      <c r="O30" s="385">
        <v>45330.708321759259</v>
      </c>
      <c r="P30" s="397">
        <v>29</v>
      </c>
      <c r="Q30" s="352">
        <v>0</v>
      </c>
      <c r="R30" s="366">
        <v>0</v>
      </c>
      <c r="S30" s="372">
        <v>0</v>
      </c>
      <c r="T30" s="329">
        <v>0</v>
      </c>
      <c r="U30" s="597">
        <v>0</v>
      </c>
      <c r="V30" s="362">
        <v>0</v>
      </c>
      <c r="W30" s="750">
        <v>0</v>
      </c>
      <c r="X30" s="749">
        <v>0</v>
      </c>
      <c r="Y30" s="467">
        <v>0</v>
      </c>
      <c r="Z30" s="468">
        <v>0</v>
      </c>
      <c r="AA30" s="335"/>
    </row>
    <row r="31" spans="1:42" ht="12.75" hidden="1" customHeight="1">
      <c r="A31" s="747" t="s">
        <v>591</v>
      </c>
      <c r="B31" s="316">
        <v>26</v>
      </c>
      <c r="C31" s="315">
        <v>17</v>
      </c>
      <c r="D31" s="728">
        <v>19</v>
      </c>
      <c r="E31" s="316">
        <v>97</v>
      </c>
      <c r="F31" s="314">
        <v>19</v>
      </c>
      <c r="G31" s="449">
        <v>-0.63359999999999994</v>
      </c>
      <c r="H31" s="312">
        <v>50</v>
      </c>
      <c r="I31" s="303">
        <v>59.99</v>
      </c>
      <c r="J31" s="389">
        <v>10.000999999999999</v>
      </c>
      <c r="K31" s="307">
        <v>51.868000000000002</v>
      </c>
      <c r="L31" s="310">
        <v>64567267</v>
      </c>
      <c r="M31" s="310">
        <v>25172</v>
      </c>
      <c r="N31" s="310">
        <v>1817</v>
      </c>
      <c r="O31" s="386">
        <v>45330.708310185182</v>
      </c>
      <c r="P31" s="396">
        <v>30</v>
      </c>
      <c r="Q31" s="349">
        <v>0</v>
      </c>
      <c r="R31" s="367">
        <v>0</v>
      </c>
      <c r="S31" s="369">
        <v>0</v>
      </c>
      <c r="T31" s="328">
        <v>0</v>
      </c>
      <c r="U31" s="360">
        <v>0</v>
      </c>
      <c r="V31" s="361">
        <v>0</v>
      </c>
      <c r="W31" s="751">
        <v>0</v>
      </c>
      <c r="X31" s="752">
        <v>0</v>
      </c>
      <c r="Y31" s="423">
        <v>0</v>
      </c>
      <c r="Z31" s="426">
        <v>0</v>
      </c>
      <c r="AA31" s="335"/>
    </row>
    <row r="32" spans="1:42" ht="12.75" hidden="1" customHeight="1">
      <c r="A32" s="746" t="s">
        <v>592</v>
      </c>
      <c r="B32" s="331">
        <v>7</v>
      </c>
      <c r="C32" s="433">
        <v>8.65</v>
      </c>
      <c r="D32" s="342">
        <v>10</v>
      </c>
      <c r="E32" s="331">
        <v>77</v>
      </c>
      <c r="F32" s="376">
        <v>10</v>
      </c>
      <c r="G32" s="446">
        <v>-0.66930000000000012</v>
      </c>
      <c r="H32" s="318">
        <v>35</v>
      </c>
      <c r="I32" s="304">
        <v>35</v>
      </c>
      <c r="J32" s="395">
        <v>6.11</v>
      </c>
      <c r="K32" s="308">
        <v>30.241</v>
      </c>
      <c r="L32" s="330">
        <v>13525221</v>
      </c>
      <c r="M32" s="330">
        <v>10127</v>
      </c>
      <c r="N32" s="330">
        <v>1247</v>
      </c>
      <c r="O32" s="387">
        <v>45330.708298611113</v>
      </c>
      <c r="P32" s="397">
        <v>31</v>
      </c>
      <c r="Q32" s="350">
        <v>0</v>
      </c>
      <c r="R32" s="368">
        <v>0</v>
      </c>
      <c r="S32" s="374">
        <v>0</v>
      </c>
      <c r="T32" s="327">
        <v>0</v>
      </c>
      <c r="U32" s="359">
        <v>0</v>
      </c>
      <c r="V32" s="362">
        <v>0</v>
      </c>
      <c r="W32" s="753">
        <v>0</v>
      </c>
      <c r="X32" s="754">
        <v>0</v>
      </c>
      <c r="Y32" s="424">
        <v>0</v>
      </c>
      <c r="Z32" s="427">
        <v>0</v>
      </c>
      <c r="AA32" s="335"/>
    </row>
    <row r="33" spans="1:27" ht="12.75" hidden="1" customHeight="1">
      <c r="A33" s="747" t="s">
        <v>593</v>
      </c>
      <c r="B33" s="316">
        <v>2</v>
      </c>
      <c r="C33" s="315">
        <v>6</v>
      </c>
      <c r="D33" s="728">
        <v>6.9</v>
      </c>
      <c r="E33" s="316">
        <v>6</v>
      </c>
      <c r="F33" s="314">
        <v>6</v>
      </c>
      <c r="G33" s="449">
        <v>-0.68019999999999992</v>
      </c>
      <c r="H33" s="312">
        <v>20.92</v>
      </c>
      <c r="I33" s="303">
        <v>21</v>
      </c>
      <c r="J33" s="389">
        <v>4</v>
      </c>
      <c r="K33" s="307">
        <v>18.763000000000002</v>
      </c>
      <c r="L33" s="310">
        <v>11139458</v>
      </c>
      <c r="M33" s="310">
        <v>13155</v>
      </c>
      <c r="N33" s="310">
        <v>1029</v>
      </c>
      <c r="O33" s="386">
        <v>45330.707604166666</v>
      </c>
      <c r="P33" s="396">
        <v>32</v>
      </c>
      <c r="Q33" s="349">
        <v>0</v>
      </c>
      <c r="R33" s="367">
        <v>0</v>
      </c>
      <c r="S33" s="369">
        <v>0</v>
      </c>
      <c r="T33" s="328">
        <v>0</v>
      </c>
      <c r="U33" s="360">
        <v>0</v>
      </c>
      <c r="V33" s="361">
        <v>0</v>
      </c>
      <c r="W33" s="751">
        <v>0</v>
      </c>
      <c r="X33" s="755">
        <v>0</v>
      </c>
      <c r="Y33" s="423">
        <v>0</v>
      </c>
      <c r="Z33" s="426">
        <v>0</v>
      </c>
      <c r="AA33" s="335"/>
    </row>
    <row r="34" spans="1:27" ht="12.75" hidden="1" customHeight="1">
      <c r="A34" s="746" t="s">
        <v>594</v>
      </c>
      <c r="B34" s="331">
        <v>7</v>
      </c>
      <c r="C34" s="433">
        <v>3.1</v>
      </c>
      <c r="D34" s="342">
        <v>3.9990000000000001</v>
      </c>
      <c r="E34" s="331">
        <v>44</v>
      </c>
      <c r="F34" s="376">
        <v>3.9990000000000001</v>
      </c>
      <c r="G34" s="446">
        <v>-0.60089999999999999</v>
      </c>
      <c r="H34" s="318">
        <v>12</v>
      </c>
      <c r="I34" s="304">
        <v>12</v>
      </c>
      <c r="J34" s="395">
        <v>3</v>
      </c>
      <c r="K34" s="308">
        <v>10.022</v>
      </c>
      <c r="L34" s="330">
        <v>2305068</v>
      </c>
      <c r="M34" s="330">
        <v>5094</v>
      </c>
      <c r="N34" s="330">
        <v>850</v>
      </c>
      <c r="O34" s="387">
        <v>45330.708252314813</v>
      </c>
      <c r="P34" s="397">
        <v>33</v>
      </c>
      <c r="Q34" s="350">
        <v>0</v>
      </c>
      <c r="R34" s="368">
        <v>0</v>
      </c>
      <c r="S34" s="374">
        <v>0</v>
      </c>
      <c r="T34" s="327">
        <v>0</v>
      </c>
      <c r="U34" s="359">
        <v>0</v>
      </c>
      <c r="V34" s="362">
        <v>0</v>
      </c>
      <c r="W34" s="753">
        <v>0</v>
      </c>
      <c r="X34" s="754">
        <v>0</v>
      </c>
      <c r="Y34" s="424">
        <v>0</v>
      </c>
      <c r="Z34" s="427">
        <v>0</v>
      </c>
      <c r="AA34" s="335"/>
    </row>
    <row r="35" spans="1:27" ht="12.75" hidden="1" customHeight="1">
      <c r="A35" s="747" t="s">
        <v>595</v>
      </c>
      <c r="B35" s="316">
        <v>10</v>
      </c>
      <c r="C35" s="315">
        <v>1.53</v>
      </c>
      <c r="D35" s="728">
        <v>1.89</v>
      </c>
      <c r="E35" s="316">
        <v>1</v>
      </c>
      <c r="F35" s="314">
        <v>1.53</v>
      </c>
      <c r="G35" s="449">
        <v>-0.67459999999999998</v>
      </c>
      <c r="H35" s="312">
        <v>4.95</v>
      </c>
      <c r="I35" s="303">
        <v>6.5</v>
      </c>
      <c r="J35" s="389">
        <v>1.5</v>
      </c>
      <c r="K35" s="307">
        <v>4.7030000000000003</v>
      </c>
      <c r="L35" s="310">
        <v>6187444</v>
      </c>
      <c r="M35" s="310">
        <v>22872</v>
      </c>
      <c r="N35" s="310">
        <v>1542</v>
      </c>
      <c r="O35" s="386">
        <v>45330.708252314813</v>
      </c>
      <c r="P35" s="396">
        <v>34</v>
      </c>
      <c r="Q35" s="349">
        <v>0</v>
      </c>
      <c r="R35" s="367">
        <v>0</v>
      </c>
      <c r="S35" s="369">
        <v>0</v>
      </c>
      <c r="T35" s="328">
        <v>0</v>
      </c>
      <c r="U35" s="360">
        <v>0</v>
      </c>
      <c r="V35" s="361">
        <v>0</v>
      </c>
      <c r="W35" s="751">
        <v>0</v>
      </c>
      <c r="X35" s="755">
        <v>0</v>
      </c>
      <c r="Y35" s="423">
        <v>0</v>
      </c>
      <c r="Z35" s="426">
        <v>0</v>
      </c>
      <c r="AA35" s="335"/>
    </row>
    <row r="36" spans="1:27" ht="12.75" hidden="1" customHeight="1">
      <c r="A36" s="746" t="s">
        <v>629</v>
      </c>
      <c r="B36" s="331">
        <v>50</v>
      </c>
      <c r="C36" s="433">
        <v>0.8</v>
      </c>
      <c r="D36" s="342">
        <v>1.2</v>
      </c>
      <c r="E36" s="331">
        <v>1689</v>
      </c>
      <c r="F36" s="376">
        <v>1</v>
      </c>
      <c r="G36" s="446">
        <v>-0.54170000000000007</v>
      </c>
      <c r="H36" s="318">
        <v>2.7</v>
      </c>
      <c r="I36" s="304">
        <v>2.7</v>
      </c>
      <c r="J36" s="395">
        <v>1</v>
      </c>
      <c r="K36" s="308">
        <v>2.1819999999999999</v>
      </c>
      <c r="L36" s="330">
        <v>638084</v>
      </c>
      <c r="M36" s="330">
        <v>5180</v>
      </c>
      <c r="N36" s="330">
        <v>546</v>
      </c>
      <c r="O36" s="387">
        <v>45330.707766203705</v>
      </c>
      <c r="P36" s="397">
        <v>35</v>
      </c>
      <c r="Q36" s="350">
        <v>0</v>
      </c>
      <c r="R36" s="368">
        <v>0</v>
      </c>
      <c r="S36" s="374">
        <v>0</v>
      </c>
      <c r="T36" s="327">
        <v>0</v>
      </c>
      <c r="U36" s="359">
        <v>0</v>
      </c>
      <c r="V36" s="362">
        <v>0</v>
      </c>
      <c r="W36" s="753">
        <v>0</v>
      </c>
      <c r="X36" s="754">
        <v>0</v>
      </c>
      <c r="Y36" s="424">
        <v>0</v>
      </c>
      <c r="Z36" s="427">
        <v>0</v>
      </c>
      <c r="AA36" s="335"/>
    </row>
    <row r="37" spans="1:27" ht="12.75" hidden="1" customHeight="1">
      <c r="A37" s="747" t="s">
        <v>630</v>
      </c>
      <c r="B37" s="316">
        <v>77</v>
      </c>
      <c r="C37" s="315">
        <v>0.6</v>
      </c>
      <c r="D37" s="728">
        <v>0.999</v>
      </c>
      <c r="E37" s="316">
        <v>1</v>
      </c>
      <c r="F37" s="314">
        <v>0.999</v>
      </c>
      <c r="G37" s="449">
        <v>-0.4677</v>
      </c>
      <c r="H37" s="312">
        <v>2</v>
      </c>
      <c r="I37" s="303">
        <v>2</v>
      </c>
      <c r="J37" s="389">
        <v>0.51</v>
      </c>
      <c r="K37" s="307">
        <v>1.877</v>
      </c>
      <c r="L37" s="310">
        <v>308282</v>
      </c>
      <c r="M37" s="310">
        <v>2960</v>
      </c>
      <c r="N37" s="310">
        <v>452</v>
      </c>
      <c r="O37" s="386">
        <v>45330.706122685187</v>
      </c>
      <c r="P37" s="396">
        <v>36</v>
      </c>
      <c r="Q37" s="349">
        <v>0</v>
      </c>
      <c r="R37" s="367">
        <v>0</v>
      </c>
      <c r="S37" s="369">
        <v>0</v>
      </c>
      <c r="T37" s="328">
        <v>0</v>
      </c>
      <c r="U37" s="360">
        <v>0</v>
      </c>
      <c r="V37" s="361">
        <v>0</v>
      </c>
      <c r="W37" s="751">
        <v>0</v>
      </c>
      <c r="X37" s="755">
        <v>0</v>
      </c>
      <c r="Y37" s="423">
        <v>0</v>
      </c>
      <c r="Z37" s="426">
        <v>0</v>
      </c>
      <c r="AA37" s="335"/>
    </row>
    <row r="38" spans="1:27" ht="12.75" hidden="1" customHeight="1">
      <c r="A38" s="746" t="s">
        <v>631</v>
      </c>
      <c r="B38" s="331">
        <v>1</v>
      </c>
      <c r="C38" s="433">
        <v>0.2</v>
      </c>
      <c r="D38" s="342">
        <v>0.88</v>
      </c>
      <c r="E38" s="331">
        <v>5</v>
      </c>
      <c r="F38" s="376">
        <v>0.88</v>
      </c>
      <c r="G38" s="446">
        <v>-0.313</v>
      </c>
      <c r="H38" s="318">
        <v>1.4</v>
      </c>
      <c r="I38" s="304">
        <v>1.4</v>
      </c>
      <c r="J38" s="395">
        <v>0.501</v>
      </c>
      <c r="K38" s="308">
        <v>1.2809999999999999</v>
      </c>
      <c r="L38" s="330">
        <v>305273</v>
      </c>
      <c r="M38" s="330">
        <v>3173</v>
      </c>
      <c r="N38" s="330">
        <v>635</v>
      </c>
      <c r="O38" s="387">
        <v>45330.707928240743</v>
      </c>
      <c r="P38" s="397">
        <v>37</v>
      </c>
      <c r="Q38" s="350">
        <v>0</v>
      </c>
      <c r="R38" s="368">
        <v>0</v>
      </c>
      <c r="S38" s="374">
        <v>0</v>
      </c>
      <c r="T38" s="327">
        <v>0</v>
      </c>
      <c r="U38" s="359">
        <v>0</v>
      </c>
      <c r="V38" s="362">
        <v>0</v>
      </c>
      <c r="W38" s="753">
        <v>0</v>
      </c>
      <c r="X38" s="754">
        <v>0</v>
      </c>
      <c r="Y38" s="424">
        <v>0</v>
      </c>
      <c r="Z38" s="427">
        <v>0</v>
      </c>
      <c r="AA38" s="335"/>
    </row>
    <row r="39" spans="1:27" ht="12.75" hidden="1" customHeight="1">
      <c r="A39" s="747" t="s">
        <v>632</v>
      </c>
      <c r="B39" s="316">
        <v>50</v>
      </c>
      <c r="C39" s="315">
        <v>0.33</v>
      </c>
      <c r="D39" s="728">
        <v>0.55000000000000004</v>
      </c>
      <c r="E39" s="316">
        <v>1</v>
      </c>
      <c r="F39" s="314">
        <v>0.32</v>
      </c>
      <c r="G39" s="449">
        <v>-0.70689999999999997</v>
      </c>
      <c r="H39" s="312">
        <v>1.44</v>
      </c>
      <c r="I39" s="303">
        <v>1.44</v>
      </c>
      <c r="J39" s="389">
        <v>0.3</v>
      </c>
      <c r="K39" s="307">
        <v>1.0920000000000001</v>
      </c>
      <c r="L39" s="310">
        <v>328624</v>
      </c>
      <c r="M39" s="310">
        <v>4473</v>
      </c>
      <c r="N39" s="310">
        <v>909</v>
      </c>
      <c r="O39" s="386">
        <v>45330.707291666666</v>
      </c>
      <c r="P39" s="396">
        <v>38</v>
      </c>
      <c r="Q39" s="349">
        <v>0</v>
      </c>
      <c r="R39" s="367">
        <v>0</v>
      </c>
      <c r="S39" s="369">
        <v>0</v>
      </c>
      <c r="T39" s="328">
        <v>0</v>
      </c>
      <c r="U39" s="360">
        <v>0</v>
      </c>
      <c r="V39" s="361">
        <v>0</v>
      </c>
      <c r="W39" s="751">
        <v>0</v>
      </c>
      <c r="X39" s="755">
        <v>0</v>
      </c>
      <c r="Y39" s="423">
        <v>0</v>
      </c>
      <c r="Z39" s="426">
        <v>0</v>
      </c>
      <c r="AA39" s="335"/>
    </row>
    <row r="40" spans="1:27" ht="12.75" hidden="1" customHeight="1">
      <c r="A40" s="746" t="s">
        <v>633</v>
      </c>
      <c r="B40" s="331">
        <v>1</v>
      </c>
      <c r="C40" s="433">
        <v>0.3</v>
      </c>
      <c r="D40" s="342">
        <v>1.49</v>
      </c>
      <c r="E40" s="331">
        <v>100</v>
      </c>
      <c r="F40" s="376">
        <v>0.35</v>
      </c>
      <c r="G40" s="446">
        <v>-0.6089</v>
      </c>
      <c r="H40" s="318">
        <v>0.7</v>
      </c>
      <c r="I40" s="304">
        <v>0.85</v>
      </c>
      <c r="J40" s="395">
        <v>0.2</v>
      </c>
      <c r="K40" s="308">
        <v>0.89500000000000002</v>
      </c>
      <c r="L40" s="330">
        <v>111665</v>
      </c>
      <c r="M40" s="330">
        <v>3096</v>
      </c>
      <c r="N40" s="330">
        <v>498</v>
      </c>
      <c r="O40" s="387">
        <v>45330.707928240743</v>
      </c>
      <c r="P40" s="397">
        <v>39</v>
      </c>
      <c r="Q40" s="350">
        <v>0</v>
      </c>
      <c r="R40" s="368">
        <v>0</v>
      </c>
      <c r="S40" s="374">
        <v>0</v>
      </c>
      <c r="T40" s="327">
        <v>0</v>
      </c>
      <c r="U40" s="359">
        <v>0</v>
      </c>
      <c r="V40" s="362">
        <v>0</v>
      </c>
      <c r="W40" s="753">
        <v>0</v>
      </c>
      <c r="X40" s="754">
        <v>0</v>
      </c>
      <c r="Y40" s="424">
        <v>0</v>
      </c>
      <c r="Z40" s="427">
        <v>0</v>
      </c>
      <c r="AA40" s="335"/>
    </row>
    <row r="41" spans="1:27" ht="12.75" hidden="1" customHeight="1">
      <c r="A41" s="748" t="s">
        <v>634</v>
      </c>
      <c r="B41" s="653">
        <v>100</v>
      </c>
      <c r="C41" s="625">
        <v>0.27</v>
      </c>
      <c r="D41" s="727">
        <v>0.32</v>
      </c>
      <c r="E41" s="653">
        <v>1</v>
      </c>
      <c r="F41" s="745">
        <v>0.27</v>
      </c>
      <c r="G41" s="655">
        <v>-0.64040000000000008</v>
      </c>
      <c r="H41" s="629">
        <v>0.5</v>
      </c>
      <c r="I41" s="630">
        <v>0.53</v>
      </c>
      <c r="J41" s="631">
        <v>0.2</v>
      </c>
      <c r="K41" s="632">
        <v>0.751</v>
      </c>
      <c r="L41" s="613">
        <v>502117</v>
      </c>
      <c r="M41" s="613">
        <v>15808</v>
      </c>
      <c r="N41" s="613">
        <v>510</v>
      </c>
      <c r="O41" s="614">
        <v>45330.708009259259</v>
      </c>
      <c r="P41" s="396">
        <v>40</v>
      </c>
      <c r="Q41" s="616">
        <v>0</v>
      </c>
      <c r="R41" s="656">
        <v>0</v>
      </c>
      <c r="S41" s="618">
        <v>0</v>
      </c>
      <c r="T41" s="635">
        <v>0</v>
      </c>
      <c r="U41" s="360">
        <v>0</v>
      </c>
      <c r="V41" s="361">
        <v>0</v>
      </c>
      <c r="W41" s="757">
        <v>0</v>
      </c>
      <c r="X41" s="758">
        <v>0</v>
      </c>
      <c r="Y41" s="743">
        <v>0</v>
      </c>
      <c r="Z41" s="744">
        <v>0</v>
      </c>
      <c r="AA41" s="335"/>
    </row>
    <row r="42" spans="1:27" ht="12.75" customHeight="1">
      <c r="A42" s="746" t="s">
        <v>596</v>
      </c>
      <c r="B42" s="331">
        <v>24</v>
      </c>
      <c r="C42" s="433">
        <v>0.04</v>
      </c>
      <c r="D42" s="342">
        <v>0.15</v>
      </c>
      <c r="E42" s="331">
        <v>35</v>
      </c>
      <c r="F42" s="376">
        <v>0.04</v>
      </c>
      <c r="G42" s="446">
        <v>-0.2</v>
      </c>
      <c r="H42" s="313">
        <v>0.04</v>
      </c>
      <c r="I42" s="305">
        <v>0.04</v>
      </c>
      <c r="J42" s="392">
        <v>0.04</v>
      </c>
      <c r="K42" s="309">
        <v>0.05</v>
      </c>
      <c r="L42" s="337">
        <v>504</v>
      </c>
      <c r="M42" s="337">
        <v>126</v>
      </c>
      <c r="N42" s="337">
        <v>26</v>
      </c>
      <c r="O42" s="385">
        <v>45330.707835648151</v>
      </c>
      <c r="P42" s="397">
        <v>41</v>
      </c>
      <c r="Q42" s="352">
        <v>0</v>
      </c>
      <c r="R42" s="366">
        <v>0</v>
      </c>
      <c r="S42" s="372">
        <v>0</v>
      </c>
      <c r="T42" s="329">
        <v>0</v>
      </c>
      <c r="U42" s="597">
        <v>0</v>
      </c>
      <c r="V42" s="768">
        <v>0</v>
      </c>
      <c r="W42" s="750">
        <v>0</v>
      </c>
      <c r="X42" s="756">
        <v>0</v>
      </c>
      <c r="Y42" s="815">
        <v>0</v>
      </c>
      <c r="Z42" s="816">
        <v>0</v>
      </c>
      <c r="AA42" s="335"/>
    </row>
    <row r="43" spans="1:27" ht="12.75" customHeight="1">
      <c r="A43" s="747" t="s">
        <v>597</v>
      </c>
      <c r="B43" s="316">
        <v>50</v>
      </c>
      <c r="C43" s="315">
        <v>0.02</v>
      </c>
      <c r="D43" s="728">
        <v>0.16</v>
      </c>
      <c r="E43" s="316">
        <v>35</v>
      </c>
      <c r="F43" s="314"/>
      <c r="G43" s="449"/>
      <c r="H43" s="312"/>
      <c r="I43" s="303"/>
      <c r="J43" s="389"/>
      <c r="K43" s="307">
        <v>7.3999999999999996E-2</v>
      </c>
      <c r="L43" s="310"/>
      <c r="M43" s="310"/>
      <c r="N43" s="310"/>
      <c r="O43" s="386"/>
      <c r="P43" s="396">
        <v>42</v>
      </c>
      <c r="Q43" s="349">
        <v>0</v>
      </c>
      <c r="R43" s="367">
        <v>0</v>
      </c>
      <c r="S43" s="369">
        <v>0</v>
      </c>
      <c r="T43" s="328">
        <v>0</v>
      </c>
      <c r="U43" s="360">
        <v>0</v>
      </c>
      <c r="V43" s="769">
        <v>0</v>
      </c>
      <c r="W43" s="751">
        <v>0</v>
      </c>
      <c r="X43" s="755">
        <v>0</v>
      </c>
      <c r="Y43" s="817">
        <v>0</v>
      </c>
      <c r="Z43" s="818">
        <v>0</v>
      </c>
      <c r="AA43" s="335"/>
    </row>
    <row r="44" spans="1:27" ht="12.75" customHeight="1">
      <c r="A44" s="746" t="s">
        <v>598</v>
      </c>
      <c r="B44" s="331">
        <v>10</v>
      </c>
      <c r="C44" s="433">
        <v>0.111</v>
      </c>
      <c r="D44" s="342">
        <v>0.19</v>
      </c>
      <c r="E44" s="331">
        <v>36</v>
      </c>
      <c r="F44" s="376">
        <v>0.19</v>
      </c>
      <c r="G44" s="446">
        <v>0.46149999999999997</v>
      </c>
      <c r="H44" s="318">
        <v>0.19</v>
      </c>
      <c r="I44" s="304">
        <v>0.19</v>
      </c>
      <c r="J44" s="395">
        <v>0.185</v>
      </c>
      <c r="K44" s="308">
        <v>0.13</v>
      </c>
      <c r="L44" s="330">
        <v>4466</v>
      </c>
      <c r="M44" s="330">
        <v>239</v>
      </c>
      <c r="N44" s="330">
        <v>28</v>
      </c>
      <c r="O44" s="387">
        <v>45330.656122685185</v>
      </c>
      <c r="P44" s="397">
        <v>43</v>
      </c>
      <c r="Q44" s="350">
        <v>0</v>
      </c>
      <c r="R44" s="368">
        <v>0</v>
      </c>
      <c r="S44" s="374">
        <v>0</v>
      </c>
      <c r="T44" s="327">
        <v>0</v>
      </c>
      <c r="U44" s="359">
        <v>0</v>
      </c>
      <c r="V44" s="768">
        <v>0</v>
      </c>
      <c r="W44" s="753">
        <v>0</v>
      </c>
      <c r="X44" s="754">
        <v>0</v>
      </c>
      <c r="Y44" s="819">
        <v>0</v>
      </c>
      <c r="Z44" s="820">
        <v>0</v>
      </c>
      <c r="AA44" s="335"/>
    </row>
    <row r="45" spans="1:27" ht="12.75" customHeight="1">
      <c r="A45" s="747" t="s">
        <v>599</v>
      </c>
      <c r="B45" s="316">
        <v>29</v>
      </c>
      <c r="C45" s="315">
        <v>0.15</v>
      </c>
      <c r="D45" s="728">
        <v>0.19</v>
      </c>
      <c r="E45" s="316">
        <v>45</v>
      </c>
      <c r="F45" s="314">
        <v>0.15</v>
      </c>
      <c r="G45" s="449">
        <v>-0.17579999999999998</v>
      </c>
      <c r="H45" s="312">
        <v>0.26</v>
      </c>
      <c r="I45" s="303">
        <v>0.26</v>
      </c>
      <c r="J45" s="389">
        <v>0.107</v>
      </c>
      <c r="K45" s="307">
        <v>0.182</v>
      </c>
      <c r="L45" s="310">
        <v>1041</v>
      </c>
      <c r="M45" s="310">
        <v>51</v>
      </c>
      <c r="N45" s="310">
        <v>10</v>
      </c>
      <c r="O45" s="386">
        <v>45330.692025462966</v>
      </c>
      <c r="P45" s="396">
        <v>44</v>
      </c>
      <c r="Q45" s="349">
        <v>0</v>
      </c>
      <c r="R45" s="367">
        <v>0</v>
      </c>
      <c r="S45" s="369">
        <v>0</v>
      </c>
      <c r="T45" s="328">
        <v>0</v>
      </c>
      <c r="U45" s="360">
        <v>0</v>
      </c>
      <c r="V45" s="769">
        <v>0</v>
      </c>
      <c r="W45" s="751">
        <v>0</v>
      </c>
      <c r="X45" s="755">
        <v>0</v>
      </c>
      <c r="Y45" s="817">
        <v>0</v>
      </c>
      <c r="Z45" s="818">
        <v>0</v>
      </c>
      <c r="AA45" s="335"/>
    </row>
    <row r="46" spans="1:27" ht="12.75" customHeight="1">
      <c r="A46" s="746" t="s">
        <v>600</v>
      </c>
      <c r="B46" s="331">
        <v>389</v>
      </c>
      <c r="C46" s="433">
        <v>0.18</v>
      </c>
      <c r="D46" s="342">
        <v>0.3</v>
      </c>
      <c r="E46" s="331">
        <v>886</v>
      </c>
      <c r="F46" s="376">
        <v>0.16</v>
      </c>
      <c r="G46" s="446">
        <v>-0.11109999999999999</v>
      </c>
      <c r="H46" s="318">
        <v>0.105</v>
      </c>
      <c r="I46" s="304">
        <v>0.3</v>
      </c>
      <c r="J46" s="395">
        <v>0.105</v>
      </c>
      <c r="K46" s="308">
        <v>0.18</v>
      </c>
      <c r="L46" s="330">
        <v>44844</v>
      </c>
      <c r="M46" s="330">
        <v>2132</v>
      </c>
      <c r="N46" s="330">
        <v>79</v>
      </c>
      <c r="O46" s="387">
        <v>45330.689965277779</v>
      </c>
      <c r="P46" s="397">
        <v>45</v>
      </c>
      <c r="Q46" s="350">
        <v>0</v>
      </c>
      <c r="R46" s="368">
        <v>0</v>
      </c>
      <c r="S46" s="374">
        <v>0</v>
      </c>
      <c r="T46" s="327">
        <v>0</v>
      </c>
      <c r="U46" s="359">
        <v>0</v>
      </c>
      <c r="V46" s="768">
        <v>0</v>
      </c>
      <c r="W46" s="753">
        <v>0</v>
      </c>
      <c r="X46" s="754">
        <v>0</v>
      </c>
      <c r="Y46" s="819">
        <v>0</v>
      </c>
      <c r="Z46" s="820">
        <v>0</v>
      </c>
      <c r="AA46" s="335"/>
    </row>
    <row r="47" spans="1:27" ht="12.75" customHeight="1">
      <c r="A47" s="747" t="s">
        <v>601</v>
      </c>
      <c r="B47" s="316">
        <v>55</v>
      </c>
      <c r="C47" s="315">
        <v>0.4</v>
      </c>
      <c r="D47" s="728">
        <v>1</v>
      </c>
      <c r="E47" s="316">
        <v>294</v>
      </c>
      <c r="F47" s="314">
        <v>0.4</v>
      </c>
      <c r="G47" s="449">
        <v>0.21210000000000001</v>
      </c>
      <c r="H47" s="312">
        <v>0.38</v>
      </c>
      <c r="I47" s="303">
        <v>0.5</v>
      </c>
      <c r="J47" s="389">
        <v>0.11</v>
      </c>
      <c r="K47" s="307">
        <v>0.33</v>
      </c>
      <c r="L47" s="310">
        <v>30352</v>
      </c>
      <c r="M47" s="310">
        <v>1225</v>
      </c>
      <c r="N47" s="310">
        <v>192</v>
      </c>
      <c r="O47" s="386">
        <v>45330.707916666666</v>
      </c>
      <c r="P47" s="396">
        <v>46</v>
      </c>
      <c r="Q47" s="349">
        <v>0</v>
      </c>
      <c r="R47" s="367">
        <v>0</v>
      </c>
      <c r="S47" s="369">
        <v>0</v>
      </c>
      <c r="T47" s="328">
        <v>0</v>
      </c>
      <c r="U47" s="360">
        <v>0</v>
      </c>
      <c r="V47" s="769">
        <v>0</v>
      </c>
      <c r="W47" s="751">
        <v>0</v>
      </c>
      <c r="X47" s="755">
        <v>0</v>
      </c>
      <c r="Y47" s="817">
        <v>0</v>
      </c>
      <c r="Z47" s="818">
        <v>0</v>
      </c>
      <c r="AA47" s="335"/>
    </row>
    <row r="48" spans="1:27" ht="12.75" customHeight="1">
      <c r="A48" s="746" t="s">
        <v>602</v>
      </c>
      <c r="B48" s="331">
        <v>20</v>
      </c>
      <c r="C48" s="433">
        <v>0.29099999999999998</v>
      </c>
      <c r="D48" s="342">
        <v>0.65</v>
      </c>
      <c r="E48" s="331">
        <v>15</v>
      </c>
      <c r="F48" s="376">
        <v>0.63</v>
      </c>
      <c r="G48" s="446">
        <v>1.3161</v>
      </c>
      <c r="H48" s="318">
        <v>0.249</v>
      </c>
      <c r="I48" s="304">
        <v>0.89</v>
      </c>
      <c r="J48" s="395">
        <v>0.125</v>
      </c>
      <c r="K48" s="308">
        <v>0.27200000000000002</v>
      </c>
      <c r="L48" s="330">
        <v>163919</v>
      </c>
      <c r="M48" s="330">
        <v>5444</v>
      </c>
      <c r="N48" s="330">
        <v>814</v>
      </c>
      <c r="O48" s="387">
        <v>45330.708240740743</v>
      </c>
      <c r="P48" s="397">
        <v>47</v>
      </c>
      <c r="Q48" s="350">
        <v>0</v>
      </c>
      <c r="R48" s="368">
        <v>0</v>
      </c>
      <c r="S48" s="374">
        <v>0</v>
      </c>
      <c r="T48" s="327">
        <v>0</v>
      </c>
      <c r="U48" s="359">
        <v>0</v>
      </c>
      <c r="V48" s="768">
        <v>0</v>
      </c>
      <c r="W48" s="753">
        <v>0</v>
      </c>
      <c r="X48" s="754">
        <v>0</v>
      </c>
      <c r="Y48" s="819">
        <v>0</v>
      </c>
      <c r="Z48" s="820">
        <v>0</v>
      </c>
      <c r="AA48" s="335"/>
    </row>
    <row r="49" spans="1:41" ht="12.75" customHeight="1">
      <c r="A49" s="747" t="s">
        <v>603</v>
      </c>
      <c r="B49" s="316">
        <v>44</v>
      </c>
      <c r="C49" s="315">
        <v>0.67100000000000004</v>
      </c>
      <c r="D49" s="728">
        <v>1.1399999999999999</v>
      </c>
      <c r="E49" s="316">
        <v>14</v>
      </c>
      <c r="F49" s="314">
        <v>1.1399999999999999</v>
      </c>
      <c r="G49" s="449">
        <v>0.61929999999999996</v>
      </c>
      <c r="H49" s="312">
        <v>0.6</v>
      </c>
      <c r="I49" s="303">
        <v>1.35</v>
      </c>
      <c r="J49" s="389">
        <v>0.36</v>
      </c>
      <c r="K49" s="307">
        <v>0.70399999999999996</v>
      </c>
      <c r="L49" s="310">
        <v>340126</v>
      </c>
      <c r="M49" s="310">
        <v>4088</v>
      </c>
      <c r="N49" s="310">
        <v>590</v>
      </c>
      <c r="O49" s="386">
        <v>45330.708171296297</v>
      </c>
      <c r="P49" s="396">
        <v>48</v>
      </c>
      <c r="Q49" s="349">
        <v>0</v>
      </c>
      <c r="R49" s="367">
        <v>0</v>
      </c>
      <c r="S49" s="369">
        <v>0</v>
      </c>
      <c r="T49" s="328">
        <v>0</v>
      </c>
      <c r="U49" s="360">
        <v>0</v>
      </c>
      <c r="V49" s="769">
        <v>0</v>
      </c>
      <c r="W49" s="751">
        <v>0</v>
      </c>
      <c r="X49" s="755">
        <v>0</v>
      </c>
      <c r="Y49" s="817">
        <v>0</v>
      </c>
      <c r="Z49" s="818">
        <v>0</v>
      </c>
      <c r="AA49" s="335"/>
    </row>
    <row r="50" spans="1:41" ht="12.75" customHeight="1">
      <c r="A50" s="746" t="s">
        <v>604</v>
      </c>
      <c r="B50" s="331">
        <v>29</v>
      </c>
      <c r="C50" s="433">
        <v>1.55</v>
      </c>
      <c r="D50" s="342">
        <v>2.1</v>
      </c>
      <c r="E50" s="331">
        <v>10</v>
      </c>
      <c r="F50" s="376">
        <v>1.7</v>
      </c>
      <c r="G50" s="446">
        <v>0.46289999999999998</v>
      </c>
      <c r="H50" s="318">
        <v>1.29</v>
      </c>
      <c r="I50" s="304">
        <v>3.2</v>
      </c>
      <c r="J50" s="395">
        <v>0.85</v>
      </c>
      <c r="K50" s="308">
        <v>1.1619999999999999</v>
      </c>
      <c r="L50" s="330">
        <v>512322</v>
      </c>
      <c r="M50" s="330">
        <v>3561</v>
      </c>
      <c r="N50" s="330">
        <v>424</v>
      </c>
      <c r="O50" s="387">
        <v>45330.708240740743</v>
      </c>
      <c r="P50" s="397">
        <v>49</v>
      </c>
      <c r="Q50" s="350">
        <v>0</v>
      </c>
      <c r="R50" s="368">
        <v>0</v>
      </c>
      <c r="S50" s="374">
        <v>0</v>
      </c>
      <c r="T50" s="327">
        <v>0</v>
      </c>
      <c r="U50" s="359">
        <v>0</v>
      </c>
      <c r="V50" s="768">
        <v>0</v>
      </c>
      <c r="W50" s="753">
        <v>0</v>
      </c>
      <c r="X50" s="754">
        <v>0</v>
      </c>
      <c r="Y50" s="819">
        <v>0</v>
      </c>
      <c r="Z50" s="820">
        <v>0</v>
      </c>
      <c r="AA50" s="335"/>
    </row>
    <row r="51" spans="1:41" ht="12.75" customHeight="1">
      <c r="A51" s="747" t="s">
        <v>605</v>
      </c>
      <c r="B51" s="316">
        <v>50</v>
      </c>
      <c r="C51" s="315">
        <v>4</v>
      </c>
      <c r="D51" s="728">
        <v>5</v>
      </c>
      <c r="E51" s="316">
        <v>13</v>
      </c>
      <c r="F51" s="314">
        <v>4.8</v>
      </c>
      <c r="G51" s="449">
        <v>1.4805999999999999</v>
      </c>
      <c r="H51" s="312">
        <v>1.9990000000000001</v>
      </c>
      <c r="I51" s="303">
        <v>6.99</v>
      </c>
      <c r="J51" s="389">
        <v>0.5</v>
      </c>
      <c r="K51" s="307">
        <v>1.9350000000000001</v>
      </c>
      <c r="L51" s="310">
        <v>2232279</v>
      </c>
      <c r="M51" s="310">
        <v>6634</v>
      </c>
      <c r="N51" s="310">
        <v>1211</v>
      </c>
      <c r="O51" s="386">
        <v>45330.708287037036</v>
      </c>
      <c r="P51" s="396">
        <v>50</v>
      </c>
      <c r="Q51" s="349">
        <v>0</v>
      </c>
      <c r="R51" s="367">
        <v>0</v>
      </c>
      <c r="S51" s="369">
        <v>0</v>
      </c>
      <c r="T51" s="328">
        <v>0</v>
      </c>
      <c r="U51" s="360">
        <v>0</v>
      </c>
      <c r="V51" s="769">
        <v>0</v>
      </c>
      <c r="W51" s="751">
        <v>0</v>
      </c>
      <c r="X51" s="755">
        <v>0</v>
      </c>
      <c r="Y51" s="817">
        <v>0</v>
      </c>
      <c r="Z51" s="818">
        <v>0</v>
      </c>
      <c r="AA51" s="335"/>
    </row>
    <row r="52" spans="1:41" ht="12.75" customHeight="1">
      <c r="A52" s="746" t="s">
        <v>606</v>
      </c>
      <c r="B52" s="331">
        <v>12</v>
      </c>
      <c r="C52" s="433">
        <v>7</v>
      </c>
      <c r="D52" s="342">
        <v>9</v>
      </c>
      <c r="E52" s="331">
        <v>309</v>
      </c>
      <c r="F52" s="376">
        <v>8</v>
      </c>
      <c r="G52" s="446">
        <v>1.1816</v>
      </c>
      <c r="H52" s="318">
        <v>4.45</v>
      </c>
      <c r="I52" s="304">
        <v>13.5</v>
      </c>
      <c r="J52" s="395">
        <v>1</v>
      </c>
      <c r="K52" s="308">
        <v>3.6669999999999998</v>
      </c>
      <c r="L52" s="330">
        <v>7319782</v>
      </c>
      <c r="M52" s="330">
        <v>11265</v>
      </c>
      <c r="N52" s="330">
        <v>1524</v>
      </c>
      <c r="O52" s="387">
        <v>45330.708298611113</v>
      </c>
      <c r="P52" s="397">
        <v>51</v>
      </c>
      <c r="Q52" s="350">
        <v>0</v>
      </c>
      <c r="R52" s="368">
        <v>0</v>
      </c>
      <c r="S52" s="374">
        <v>0</v>
      </c>
      <c r="T52" s="327">
        <v>0</v>
      </c>
      <c r="U52" s="359">
        <v>0</v>
      </c>
      <c r="V52" s="768">
        <v>2</v>
      </c>
      <c r="W52" s="753">
        <v>1240</v>
      </c>
      <c r="X52" s="754">
        <v>620</v>
      </c>
      <c r="Y52" s="819">
        <v>5866551</v>
      </c>
      <c r="Z52" s="820">
        <v>5866458</v>
      </c>
      <c r="AA52" s="335"/>
    </row>
    <row r="53" spans="1:41" ht="12.75" customHeight="1">
      <c r="A53" s="748" t="s">
        <v>607</v>
      </c>
      <c r="B53" s="653">
        <v>10</v>
      </c>
      <c r="C53" s="625">
        <v>17.7</v>
      </c>
      <c r="D53" s="727">
        <v>19.899999999999999</v>
      </c>
      <c r="E53" s="653">
        <v>29</v>
      </c>
      <c r="F53" s="745">
        <v>19.899999999999999</v>
      </c>
      <c r="G53" s="655">
        <v>1.6972</v>
      </c>
      <c r="H53" s="629">
        <v>8.49</v>
      </c>
      <c r="I53" s="630">
        <v>24</v>
      </c>
      <c r="J53" s="631">
        <v>5.25</v>
      </c>
      <c r="K53" s="632">
        <v>7.3780000000000001</v>
      </c>
      <c r="L53" s="613">
        <v>25501783</v>
      </c>
      <c r="M53" s="613">
        <v>18543</v>
      </c>
      <c r="N53" s="613">
        <v>1935</v>
      </c>
      <c r="O53" s="614">
        <v>45330.70826388889</v>
      </c>
      <c r="P53" s="396">
        <v>52</v>
      </c>
      <c r="Q53" s="616">
        <v>0</v>
      </c>
      <c r="R53" s="656">
        <v>0</v>
      </c>
      <c r="S53" s="618">
        <v>0</v>
      </c>
      <c r="T53" s="635">
        <v>0</v>
      </c>
      <c r="U53" s="360">
        <v>0</v>
      </c>
      <c r="V53" s="769">
        <v>0</v>
      </c>
      <c r="W53" s="757">
        <v>0</v>
      </c>
      <c r="X53" s="758">
        <v>0</v>
      </c>
      <c r="Y53" s="821"/>
      <c r="Z53" s="822">
        <v>0</v>
      </c>
      <c r="AA53" s="335"/>
    </row>
    <row r="54" spans="1:41" ht="12.75" customHeight="1">
      <c r="A54" s="365" t="s">
        <v>335</v>
      </c>
      <c r="B54" s="331">
        <v>44</v>
      </c>
      <c r="C54" s="433">
        <v>2254</v>
      </c>
      <c r="D54" s="342">
        <v>2266</v>
      </c>
      <c r="E54" s="331">
        <v>30</v>
      </c>
      <c r="F54" s="376">
        <v>2260</v>
      </c>
      <c r="G54" s="446">
        <v>-6.1699999999999998E-2</v>
      </c>
      <c r="H54" s="313">
        <v>2399</v>
      </c>
      <c r="I54" s="305">
        <v>2489</v>
      </c>
      <c r="J54" s="392">
        <v>2247</v>
      </c>
      <c r="K54" s="309">
        <v>2408.75</v>
      </c>
      <c r="L54" s="337">
        <v>133843885</v>
      </c>
      <c r="M54" s="309">
        <v>57562</v>
      </c>
      <c r="N54" s="337">
        <v>911</v>
      </c>
      <c r="O54" s="385">
        <v>45330.686655092592</v>
      </c>
      <c r="P54" s="397">
        <v>53</v>
      </c>
      <c r="Q54" s="352">
        <v>0</v>
      </c>
      <c r="R54" s="366">
        <v>0</v>
      </c>
      <c r="S54" s="372">
        <v>0</v>
      </c>
      <c r="T54" s="329">
        <v>0</v>
      </c>
      <c r="U54" s="359">
        <v>0</v>
      </c>
      <c r="V54" s="362">
        <v>0</v>
      </c>
      <c r="W54" s="759">
        <v>0</v>
      </c>
      <c r="X54" s="690">
        <v>0</v>
      </c>
      <c r="Y54" s="593">
        <f>IF(D54&lt;&gt;0,($C55*(1-$V$1))-$D54,0)</f>
        <v>14</v>
      </c>
      <c r="Z54" s="742">
        <f>$F55*($AE$1*$AD$1)</f>
        <v>41.408931506849314</v>
      </c>
      <c r="AA54" s="782" t="str">
        <f>MID($A54,1,5)</f>
        <v xml:space="preserve">GGAL </v>
      </c>
    </row>
    <row r="55" spans="1:41" ht="12.75" customHeight="1">
      <c r="A55" s="735" t="s">
        <v>336</v>
      </c>
      <c r="B55" s="653">
        <v>12301</v>
      </c>
      <c r="C55" s="625">
        <v>2280</v>
      </c>
      <c r="D55" s="727">
        <v>2295</v>
      </c>
      <c r="E55" s="642">
        <v>2000</v>
      </c>
      <c r="F55" s="745">
        <v>2297</v>
      </c>
      <c r="G55" s="655">
        <v>-4.82E-2</v>
      </c>
      <c r="H55" s="629">
        <v>2378</v>
      </c>
      <c r="I55" s="630">
        <v>2450</v>
      </c>
      <c r="J55" s="631">
        <v>2270</v>
      </c>
      <c r="K55" s="632">
        <v>2413.5500000000002</v>
      </c>
      <c r="L55" s="613">
        <v>6123477799</v>
      </c>
      <c r="M55" s="632">
        <v>2618365</v>
      </c>
      <c r="N55" s="613">
        <v>5762</v>
      </c>
      <c r="O55" s="614">
        <v>45330.70826388889</v>
      </c>
      <c r="P55" s="615">
        <v>54</v>
      </c>
      <c r="Q55" s="616">
        <v>0</v>
      </c>
      <c r="R55" s="656">
        <v>0</v>
      </c>
      <c r="S55" s="618">
        <v>0</v>
      </c>
      <c r="T55" s="635">
        <v>0</v>
      </c>
      <c r="U55" s="360">
        <v>0</v>
      </c>
      <c r="V55" s="361">
        <v>0</v>
      </c>
      <c r="W55" s="760">
        <v>0</v>
      </c>
      <c r="X55" s="761">
        <v>0</v>
      </c>
      <c r="Y55" s="770">
        <f>IFERROR(IF($Y$1&lt;&gt;"",INT($Y$1/(D54)),100),100)</f>
        <v>52</v>
      </c>
      <c r="Z55" s="771"/>
      <c r="AA55" s="783"/>
    </row>
    <row r="56" spans="1:41" ht="12.75" hidden="1" customHeight="1">
      <c r="A56" s="365" t="s">
        <v>582</v>
      </c>
      <c r="B56" s="332">
        <v>57</v>
      </c>
      <c r="C56" s="765">
        <v>2110.5</v>
      </c>
      <c r="D56" s="766">
        <v>2135</v>
      </c>
      <c r="E56" s="332">
        <v>34</v>
      </c>
      <c r="F56" s="376">
        <v>2131</v>
      </c>
      <c r="G56" s="446">
        <v>-5.0999999999999997E-2</v>
      </c>
      <c r="H56" s="313">
        <v>2215</v>
      </c>
      <c r="I56" s="305">
        <v>2299</v>
      </c>
      <c r="J56" s="392">
        <v>2105</v>
      </c>
      <c r="K56" s="309">
        <v>2245.75</v>
      </c>
      <c r="L56" s="337">
        <v>97026410</v>
      </c>
      <c r="M56" s="309">
        <v>44623</v>
      </c>
      <c r="N56" s="337">
        <v>1038</v>
      </c>
      <c r="O56" s="385">
        <v>45330.687384259261</v>
      </c>
      <c r="P56" s="397">
        <v>55</v>
      </c>
      <c r="Q56" s="352">
        <v>0</v>
      </c>
      <c r="R56" s="366">
        <v>0</v>
      </c>
      <c r="S56" s="372">
        <v>0</v>
      </c>
      <c r="T56" s="329">
        <v>0</v>
      </c>
      <c r="U56" s="359">
        <v>0</v>
      </c>
      <c r="V56" s="362">
        <v>0</v>
      </c>
      <c r="W56" s="759">
        <v>0</v>
      </c>
      <c r="X56" s="690">
        <v>0</v>
      </c>
      <c r="Y56" s="593">
        <f>IF(D56&lt;&gt;0,($C57*(1-$V$1))-$D56,0)</f>
        <v>48</v>
      </c>
      <c r="Z56" s="742">
        <f>$F57*($AE$1*$AD$1)</f>
        <v>39.660273972602738</v>
      </c>
      <c r="AA56" s="780" t="str">
        <f>MID($A56,1,5)</f>
        <v xml:space="preserve">PAMP </v>
      </c>
    </row>
    <row r="57" spans="1:41" ht="12.75" hidden="1" customHeight="1">
      <c r="A57" s="735" t="s">
        <v>583</v>
      </c>
      <c r="B57" s="736">
        <v>10</v>
      </c>
      <c r="C57" s="767">
        <v>2183</v>
      </c>
      <c r="D57" s="767">
        <v>2200</v>
      </c>
      <c r="E57" s="736">
        <v>1728</v>
      </c>
      <c r="F57" s="654">
        <v>2200</v>
      </c>
      <c r="G57" s="655">
        <v>-5.3E-3</v>
      </c>
      <c r="H57" s="629">
        <v>2201</v>
      </c>
      <c r="I57" s="630">
        <v>2226</v>
      </c>
      <c r="J57" s="631">
        <v>2134.8000000000002</v>
      </c>
      <c r="K57" s="632">
        <v>2211.8000000000002</v>
      </c>
      <c r="L57" s="613">
        <v>1305199081</v>
      </c>
      <c r="M57" s="632">
        <v>596020</v>
      </c>
      <c r="N57" s="613">
        <v>5718</v>
      </c>
      <c r="O57" s="737">
        <v>45330.708032407405</v>
      </c>
      <c r="P57" s="396">
        <v>56</v>
      </c>
      <c r="Q57" s="616">
        <v>0</v>
      </c>
      <c r="R57" s="656">
        <v>0</v>
      </c>
      <c r="S57" s="618">
        <v>0</v>
      </c>
      <c r="T57" s="635">
        <v>0</v>
      </c>
      <c r="U57" s="598">
        <v>0</v>
      </c>
      <c r="V57" s="649">
        <v>0</v>
      </c>
      <c r="W57" s="760">
        <v>0</v>
      </c>
      <c r="X57" s="761">
        <v>0</v>
      </c>
      <c r="Y57" s="740">
        <f>IFERROR(IF($Y$1&lt;&gt;"",INT($Y$1/(D56)),100),100)</f>
        <v>56</v>
      </c>
      <c r="Z57" s="741"/>
      <c r="AA57" s="781"/>
    </row>
    <row r="58" spans="1:41" ht="12.75" customHeight="1">
      <c r="A58" s="365" t="s">
        <v>13</v>
      </c>
      <c r="B58" s="331">
        <v>1849</v>
      </c>
      <c r="C58" s="433">
        <v>47920</v>
      </c>
      <c r="D58" s="342">
        <v>47950</v>
      </c>
      <c r="E58" s="331">
        <v>11939</v>
      </c>
      <c r="F58" s="376">
        <v>47945</v>
      </c>
      <c r="G58" s="446">
        <v>-2.1600000000000001E-2</v>
      </c>
      <c r="H58" s="313">
        <v>49800</v>
      </c>
      <c r="I58" s="305">
        <v>49950</v>
      </c>
      <c r="J58" s="392">
        <v>47515</v>
      </c>
      <c r="K58" s="309">
        <v>49005</v>
      </c>
      <c r="L58" s="337">
        <v>69643209521</v>
      </c>
      <c r="M58" s="309">
        <v>144261173</v>
      </c>
      <c r="N58" s="337">
        <v>61397</v>
      </c>
      <c r="O58" s="385">
        <v>45330.687696759262</v>
      </c>
      <c r="P58" s="397">
        <v>57</v>
      </c>
      <c r="Q58" s="352">
        <v>0</v>
      </c>
      <c r="R58" s="366">
        <v>0</v>
      </c>
      <c r="S58" s="372">
        <v>0</v>
      </c>
      <c r="T58" s="329">
        <v>0</v>
      </c>
      <c r="U58" s="597">
        <v>0</v>
      </c>
      <c r="V58" s="674">
        <v>1</v>
      </c>
      <c r="W58" s="670">
        <f t="shared" ref="W58:W62" si="17">(V58*X58)</f>
        <v>495</v>
      </c>
      <c r="X58" s="738">
        <v>495</v>
      </c>
      <c r="Y58" s="593">
        <f>IF(D58&lt;&gt;0,($C59*(1-$V$1))-$D58,0)</f>
        <v>650</v>
      </c>
      <c r="Z58" s="739"/>
      <c r="AA58" s="464"/>
      <c r="AB58" s="38"/>
      <c r="AC58" s="711">
        <v>108</v>
      </c>
      <c r="AE58" s="47">
        <v>0.41599999999999998</v>
      </c>
      <c r="AF58" s="47">
        <f>AC58*AE58</f>
        <v>44.927999999999997</v>
      </c>
      <c r="AI58" s="47">
        <v>412616</v>
      </c>
      <c r="AJ58">
        <v>424259</v>
      </c>
      <c r="AN58" s="730"/>
      <c r="AO58" s="731"/>
    </row>
    <row r="59" spans="1:41" ht="12.75" customHeight="1">
      <c r="A59" s="725" t="s">
        <v>2</v>
      </c>
      <c r="B59" s="316">
        <v>25000</v>
      </c>
      <c r="C59" s="315">
        <v>48600</v>
      </c>
      <c r="D59" s="728">
        <v>48625</v>
      </c>
      <c r="E59" s="729">
        <v>166</v>
      </c>
      <c r="F59" s="317">
        <v>48600</v>
      </c>
      <c r="G59" s="449">
        <v>-1.03E-2</v>
      </c>
      <c r="H59" s="312">
        <v>49215</v>
      </c>
      <c r="I59" s="303">
        <v>49980</v>
      </c>
      <c r="J59" s="389">
        <v>48400</v>
      </c>
      <c r="K59" s="307">
        <v>49110</v>
      </c>
      <c r="L59" s="310">
        <v>55589573866</v>
      </c>
      <c r="M59" s="307">
        <v>113551777</v>
      </c>
      <c r="N59" s="310">
        <v>25592</v>
      </c>
      <c r="O59" s="386">
        <v>45330.708587962959</v>
      </c>
      <c r="P59" s="396">
        <v>58</v>
      </c>
      <c r="Q59" s="349">
        <v>0</v>
      </c>
      <c r="R59" s="367">
        <v>0</v>
      </c>
      <c r="S59" s="369">
        <v>0</v>
      </c>
      <c r="T59" s="328">
        <v>0</v>
      </c>
      <c r="U59" s="360">
        <v>0</v>
      </c>
      <c r="V59" s="672">
        <v>0</v>
      </c>
      <c r="W59" s="676">
        <f>V58*(F58/100)</f>
        <v>479.45</v>
      </c>
      <c r="X59" s="673"/>
      <c r="Y59" s="664">
        <f>IFERROR(INT($Y$1/(F58/100)),"")</f>
        <v>250</v>
      </c>
      <c r="Z59" s="592"/>
      <c r="AA59" s="465"/>
      <c r="AB59" s="38"/>
      <c r="AC59" s="711">
        <v>111</v>
      </c>
      <c r="AE59" s="47">
        <v>0.41034999999999999</v>
      </c>
      <c r="AF59" s="47">
        <f t="shared" ref="AF59:AF61" si="18">AC59*AE59</f>
        <v>45.548850000000002</v>
      </c>
      <c r="AI59" s="47">
        <v>416994</v>
      </c>
      <c r="AN59" s="730"/>
      <c r="AO59" s="731"/>
    </row>
    <row r="60" spans="1:41" ht="12.75" customHeight="1">
      <c r="A60" s="319" t="s">
        <v>15</v>
      </c>
      <c r="B60" s="331">
        <v>12212</v>
      </c>
      <c r="C60" s="433">
        <v>38.619999999999997</v>
      </c>
      <c r="D60" s="342">
        <v>39</v>
      </c>
      <c r="E60" s="331">
        <v>210011</v>
      </c>
      <c r="F60" s="701">
        <v>38.619999999999997</v>
      </c>
      <c r="G60" s="450">
        <v>-1.2199999999999999E-2</v>
      </c>
      <c r="H60" s="318">
        <v>39.158000000000001</v>
      </c>
      <c r="I60" s="304">
        <v>39.33</v>
      </c>
      <c r="J60" s="395">
        <v>38.5</v>
      </c>
      <c r="K60" s="308">
        <v>39.1</v>
      </c>
      <c r="L60" s="330">
        <v>8690165</v>
      </c>
      <c r="M60" s="308">
        <v>22289422</v>
      </c>
      <c r="N60" s="330">
        <v>4940</v>
      </c>
      <c r="O60" s="387">
        <v>45330.687696759262</v>
      </c>
      <c r="P60" s="397">
        <v>59</v>
      </c>
      <c r="Q60" s="350">
        <v>0</v>
      </c>
      <c r="R60" s="368">
        <v>0</v>
      </c>
      <c r="S60" s="374">
        <v>0</v>
      </c>
      <c r="T60" s="327">
        <v>0</v>
      </c>
      <c r="U60" s="359">
        <v>0</v>
      </c>
      <c r="V60" s="415">
        <v>0</v>
      </c>
      <c r="W60" s="677">
        <f t="shared" si="17"/>
        <v>0</v>
      </c>
      <c r="X60" s="688"/>
      <c r="Y60" s="679">
        <f>IF(D60&lt;&gt;0,($C61*(1-$V$1))-$D60,0)</f>
        <v>-0.34000000000000341</v>
      </c>
      <c r="Z60" s="431">
        <f>IFERROR(IF(C60&lt;&gt;"",$Y$1/(D58/100)*(C60/100),""),"")</f>
        <v>96.650677789363911</v>
      </c>
      <c r="AA60" s="547">
        <f>IFERROR($AA$1/(D60/100)*(C58/100),"")</f>
        <v>122871.79487179487</v>
      </c>
      <c r="AB60" s="38"/>
      <c r="AC60" s="712"/>
      <c r="AF60" s="47">
        <f t="shared" si="18"/>
        <v>0</v>
      </c>
      <c r="AN60" s="730"/>
      <c r="AO60" s="731"/>
    </row>
    <row r="61" spans="1:41" ht="12.75" customHeight="1">
      <c r="A61" s="399" t="s">
        <v>3</v>
      </c>
      <c r="B61" s="316">
        <v>10000</v>
      </c>
      <c r="C61" s="315">
        <v>38.659999999999997</v>
      </c>
      <c r="D61" s="728">
        <v>38.899000000000001</v>
      </c>
      <c r="E61" s="729">
        <v>32145</v>
      </c>
      <c r="F61" s="317">
        <v>38.799999999999997</v>
      </c>
      <c r="G61" s="449">
        <v>-2.5000000000000001E-3</v>
      </c>
      <c r="H61" s="312">
        <v>38.5</v>
      </c>
      <c r="I61" s="303">
        <v>39.25</v>
      </c>
      <c r="J61" s="389">
        <v>38.5</v>
      </c>
      <c r="K61" s="307">
        <v>38.9</v>
      </c>
      <c r="L61" s="310">
        <v>193679</v>
      </c>
      <c r="M61" s="307">
        <v>497351</v>
      </c>
      <c r="N61" s="310">
        <v>80</v>
      </c>
      <c r="O61" s="386">
        <v>45330.69189814815</v>
      </c>
      <c r="P61" s="396">
        <v>60</v>
      </c>
      <c r="Q61" s="349">
        <v>0</v>
      </c>
      <c r="R61" s="367">
        <v>0</v>
      </c>
      <c r="S61" s="369">
        <v>0</v>
      </c>
      <c r="T61" s="328">
        <v>0</v>
      </c>
      <c r="U61" s="360">
        <v>0</v>
      </c>
      <c r="V61" s="414">
        <v>0</v>
      </c>
      <c r="W61" s="678">
        <f>V60*(F60/100)</f>
        <v>0</v>
      </c>
      <c r="X61" s="689"/>
      <c r="Y61" s="687">
        <f>IFERROR(INT($AA$1/(F60/100)),"")</f>
        <v>258</v>
      </c>
      <c r="Z61" s="430">
        <f>IFERROR(IF(C61&lt;&gt;"",$Y$1/(D59/100)*(C61/100),""),"")</f>
        <v>95.407712082262194</v>
      </c>
      <c r="AA61" s="549">
        <f>IFERROR($AA$1/(D61/100)*(C59/100),"")</f>
        <v>124938.94444587264</v>
      </c>
      <c r="AB61" s="38"/>
      <c r="AC61" s="713"/>
      <c r="AD61" s="710"/>
      <c r="AE61" s="710"/>
      <c r="AF61" s="710">
        <f t="shared" si="18"/>
        <v>0</v>
      </c>
      <c r="AN61" s="730"/>
      <c r="AO61" s="731"/>
    </row>
    <row r="62" spans="1:41" ht="12.75" customHeight="1">
      <c r="A62" s="601" t="s">
        <v>14</v>
      </c>
      <c r="B62" s="331">
        <v>150</v>
      </c>
      <c r="C62" s="433">
        <v>40.799999999999997</v>
      </c>
      <c r="D62" s="342">
        <v>40.82</v>
      </c>
      <c r="E62" s="331">
        <v>7981</v>
      </c>
      <c r="F62" s="701">
        <v>40.82</v>
      </c>
      <c r="G62" s="450">
        <v>-1.9E-3</v>
      </c>
      <c r="H62" s="318">
        <v>40.700000000000003</v>
      </c>
      <c r="I62" s="304">
        <v>41.15</v>
      </c>
      <c r="J62" s="395">
        <v>40.552</v>
      </c>
      <c r="K62" s="308">
        <v>40.899000000000001</v>
      </c>
      <c r="L62" s="330">
        <v>46551395</v>
      </c>
      <c r="M62" s="308">
        <v>113735937</v>
      </c>
      <c r="N62" s="330">
        <v>48053</v>
      </c>
      <c r="O62" s="387">
        <v>45330.687557870369</v>
      </c>
      <c r="P62" s="397">
        <v>61</v>
      </c>
      <c r="Q62" s="350">
        <v>0</v>
      </c>
      <c r="R62" s="368">
        <v>0</v>
      </c>
      <c r="S62" s="374">
        <v>0</v>
      </c>
      <c r="T62" s="327">
        <v>0</v>
      </c>
      <c r="U62" s="359">
        <v>0</v>
      </c>
      <c r="V62" s="665">
        <v>219</v>
      </c>
      <c r="W62" s="666">
        <f t="shared" si="17"/>
        <v>90.468900000000005</v>
      </c>
      <c r="X62" s="667">
        <v>0.41310000000000002</v>
      </c>
      <c r="Y62" s="661">
        <f>IF(D62&lt;&gt;0,($C63*(1-$V$1))-$D62,0)</f>
        <v>-0.14999999999999858</v>
      </c>
      <c r="Z62" s="429">
        <f>IFERROR(IF(C62&lt;&gt;"",$Y$1/(D58/100)*(C62/100),""),"")</f>
        <v>102.10636079249217</v>
      </c>
      <c r="AA62" s="548">
        <f>IFERROR($Z$1/(D62/100)*(C58/100),"")</f>
        <v>117393.43459088681</v>
      </c>
      <c r="AB62" s="38"/>
      <c r="AC62" s="714">
        <f>SUM(AC58:AC61)</f>
        <v>219</v>
      </c>
      <c r="AD62" s="715"/>
      <c r="AE62" s="715"/>
      <c r="AF62" s="715">
        <f>SUM(AF58:AF61)</f>
        <v>90.476849999999999</v>
      </c>
    </row>
    <row r="63" spans="1:41" ht="12.75" customHeight="1">
      <c r="A63" s="652" t="s">
        <v>4</v>
      </c>
      <c r="B63" s="653">
        <v>198</v>
      </c>
      <c r="C63" s="625">
        <v>40.67</v>
      </c>
      <c r="D63" s="727">
        <v>40.700000000000003</v>
      </c>
      <c r="E63" s="642">
        <v>296171</v>
      </c>
      <c r="F63" s="654">
        <v>40.700000000000003</v>
      </c>
      <c r="G63" s="655"/>
      <c r="H63" s="629">
        <v>40.581000000000003</v>
      </c>
      <c r="I63" s="630">
        <v>41.14</v>
      </c>
      <c r="J63" s="631">
        <v>40.57</v>
      </c>
      <c r="K63" s="632">
        <v>40.700000000000003</v>
      </c>
      <c r="L63" s="613">
        <v>10916273</v>
      </c>
      <c r="M63" s="632">
        <v>26683674</v>
      </c>
      <c r="N63" s="613">
        <v>11104</v>
      </c>
      <c r="O63" s="614">
        <v>45330.708460648151</v>
      </c>
      <c r="P63" s="396">
        <v>62</v>
      </c>
      <c r="Q63" s="616">
        <v>0</v>
      </c>
      <c r="R63" s="656">
        <v>0</v>
      </c>
      <c r="S63" s="618">
        <v>0</v>
      </c>
      <c r="T63" s="635">
        <v>0</v>
      </c>
      <c r="U63" s="598">
        <v>0</v>
      </c>
      <c r="V63" s="772">
        <v>0</v>
      </c>
      <c r="W63" s="716">
        <f>V62*(F62/100)</f>
        <v>89.395800000000008</v>
      </c>
      <c r="X63" s="669"/>
      <c r="Y63" s="663">
        <f>IFERROR(INT($Z$1/(F62/100)),"")</f>
        <v>244</v>
      </c>
      <c r="Z63" s="646">
        <f>IFERROR(IF(C63&lt;&gt;"",$Y$1/(D59/100)*(C63/100),""),"")</f>
        <v>100.3681233933162</v>
      </c>
      <c r="AA63" s="657">
        <f>IFERROR($Z$1/(D63/100)*(C59/100),"")</f>
        <v>119410.31941031941</v>
      </c>
      <c r="AB63" s="38"/>
      <c r="AC63" s="773">
        <f>AF62/AC62</f>
        <v>0.41313630136986301</v>
      </c>
      <c r="AD63" s="773"/>
      <c r="AE63" s="773"/>
      <c r="AF63" s="773"/>
    </row>
    <row r="64" spans="1:41" ht="12.75" customHeight="1">
      <c r="A64" s="365" t="s">
        <v>16</v>
      </c>
      <c r="B64" s="331">
        <v>434</v>
      </c>
      <c r="C64" s="433">
        <v>51560</v>
      </c>
      <c r="D64" s="342">
        <v>51800</v>
      </c>
      <c r="E64" s="331">
        <v>50000</v>
      </c>
      <c r="F64" s="376">
        <v>51760</v>
      </c>
      <c r="G64" s="446">
        <v>-2.6099999999999998E-2</v>
      </c>
      <c r="H64" s="313">
        <v>53000</v>
      </c>
      <c r="I64" s="305">
        <v>54230</v>
      </c>
      <c r="J64" s="392">
        <v>51300</v>
      </c>
      <c r="K64" s="309">
        <v>53150</v>
      </c>
      <c r="L64" s="337">
        <v>6134390286</v>
      </c>
      <c r="M64" s="309">
        <v>11782061</v>
      </c>
      <c r="N64" s="337">
        <v>5791</v>
      </c>
      <c r="O64" s="385">
        <v>45330.685370370367</v>
      </c>
      <c r="P64" s="397">
        <v>63</v>
      </c>
      <c r="Q64" s="352">
        <v>0</v>
      </c>
      <c r="R64" s="366">
        <v>0</v>
      </c>
      <c r="S64" s="372">
        <v>0</v>
      </c>
      <c r="T64" s="329">
        <v>0</v>
      </c>
      <c r="U64" s="650">
        <v>0</v>
      </c>
      <c r="V64" s="412">
        <v>0</v>
      </c>
      <c r="W64" s="670">
        <f t="shared" ref="W64:W76" si="19">(V64*X64)</f>
        <v>0</v>
      </c>
      <c r="X64" s="671">
        <v>541</v>
      </c>
      <c r="Y64" s="593">
        <f>IF(D64&lt;&gt;0,($C65*(1-$V$1))-$D64,0)</f>
        <v>630</v>
      </c>
      <c r="Z64" s="726"/>
      <c r="AA64" s="464"/>
      <c r="AB64" s="38"/>
      <c r="AC64" s="659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725" t="s">
        <v>5</v>
      </c>
      <c r="B65" s="316">
        <v>51001</v>
      </c>
      <c r="C65" s="315">
        <v>52430</v>
      </c>
      <c r="D65" s="728">
        <v>52440</v>
      </c>
      <c r="E65" s="729">
        <v>1600</v>
      </c>
      <c r="F65" s="317">
        <v>52430</v>
      </c>
      <c r="G65" s="449">
        <v>-7.9000000000000008E-3</v>
      </c>
      <c r="H65" s="312">
        <v>53500</v>
      </c>
      <c r="I65" s="303">
        <v>54490</v>
      </c>
      <c r="J65" s="389">
        <v>52340</v>
      </c>
      <c r="K65" s="307">
        <v>52850</v>
      </c>
      <c r="L65" s="310">
        <v>16616996498</v>
      </c>
      <c r="M65" s="307">
        <v>31497668</v>
      </c>
      <c r="N65" s="310">
        <v>4306</v>
      </c>
      <c r="O65" s="386">
        <v>45330.708379629628</v>
      </c>
      <c r="P65" s="396">
        <v>64</v>
      </c>
      <c r="Q65" s="349">
        <v>0</v>
      </c>
      <c r="R65" s="367">
        <v>0</v>
      </c>
      <c r="S65" s="369">
        <v>0</v>
      </c>
      <c r="T65" s="328">
        <v>0</v>
      </c>
      <c r="U65" s="360">
        <v>0</v>
      </c>
      <c r="V65" s="672">
        <v>0</v>
      </c>
      <c r="W65" s="676">
        <f>V64*(F64/100)</f>
        <v>0</v>
      </c>
      <c r="X65" s="673"/>
      <c r="Y65" s="664">
        <f>IFERROR(INT($Y$1/(F64/100)),"")</f>
        <v>231</v>
      </c>
      <c r="Z65" s="592"/>
      <c r="AA65" s="465"/>
      <c r="AB65" s="38"/>
      <c r="AC65" s="659">
        <v>64423</v>
      </c>
      <c r="AE65" s="47">
        <v>1.4400000000000001E-3</v>
      </c>
      <c r="AF65" s="47">
        <f t="shared" ref="AF65:AF67" si="20">AC65*AE65</f>
        <v>92.769120000000001</v>
      </c>
    </row>
    <row r="66" spans="1:32" ht="12.75" customHeight="1">
      <c r="A66" s="319" t="s">
        <v>17</v>
      </c>
      <c r="B66" s="331">
        <v>100000</v>
      </c>
      <c r="C66" s="433">
        <v>41.75</v>
      </c>
      <c r="D66" s="342">
        <v>42.9</v>
      </c>
      <c r="E66" s="331">
        <v>48976</v>
      </c>
      <c r="F66" s="701">
        <v>42.106999999999999</v>
      </c>
      <c r="G66" s="450">
        <v>2.5000000000000001E-3</v>
      </c>
      <c r="H66" s="318">
        <v>42</v>
      </c>
      <c r="I66" s="304">
        <v>43.6</v>
      </c>
      <c r="J66" s="395">
        <v>41.814</v>
      </c>
      <c r="K66" s="308">
        <v>42</v>
      </c>
      <c r="L66" s="330">
        <v>76796</v>
      </c>
      <c r="M66" s="308">
        <v>181153</v>
      </c>
      <c r="N66" s="330">
        <v>167</v>
      </c>
      <c r="O66" s="387">
        <v>45330.672893518517</v>
      </c>
      <c r="P66" s="397">
        <v>65</v>
      </c>
      <c r="Q66" s="350">
        <v>0</v>
      </c>
      <c r="R66" s="368">
        <v>0</v>
      </c>
      <c r="S66" s="374">
        <v>0</v>
      </c>
      <c r="T66" s="327">
        <v>0</v>
      </c>
      <c r="U66" s="359">
        <v>0</v>
      </c>
      <c r="V66" s="415">
        <v>0</v>
      </c>
      <c r="W66" s="677">
        <f t="shared" ref="W66" si="21">(V66*X66)</f>
        <v>0</v>
      </c>
      <c r="X66" s="688"/>
      <c r="Y66" s="679">
        <f>IF(D66&lt;&gt;0,($C67*(1-$V$1))-$D66,0)</f>
        <v>-1.25</v>
      </c>
      <c r="Z66" s="431">
        <f>IFERROR(IF(C66&lt;&gt;"",$Y$1/(D64/100)*(C66/100),""),"")</f>
        <v>96.718146718146713</v>
      </c>
      <c r="AA66" s="547">
        <f>IFERROR($AA$1/(D66/100)*(C64/100),"")</f>
        <v>120186.4801864802</v>
      </c>
      <c r="AB66" s="38"/>
      <c r="AC66" s="659"/>
      <c r="AF66" s="47">
        <f t="shared" si="20"/>
        <v>0</v>
      </c>
    </row>
    <row r="67" spans="1:32" ht="12.75" customHeight="1">
      <c r="A67" s="399" t="s">
        <v>6</v>
      </c>
      <c r="B67" s="316">
        <v>200000</v>
      </c>
      <c r="C67" s="315">
        <v>41.65</v>
      </c>
      <c r="D67" s="728">
        <v>42.15</v>
      </c>
      <c r="E67" s="729">
        <v>194176</v>
      </c>
      <c r="F67" s="317">
        <v>42.15</v>
      </c>
      <c r="G67" s="449">
        <v>2.8000000000000004E-3</v>
      </c>
      <c r="H67" s="312">
        <v>42.323</v>
      </c>
      <c r="I67" s="303">
        <v>43.097000000000001</v>
      </c>
      <c r="J67" s="389">
        <v>42</v>
      </c>
      <c r="K67" s="307">
        <v>42.03</v>
      </c>
      <c r="L67" s="310">
        <v>12986</v>
      </c>
      <c r="M67" s="307">
        <v>30534</v>
      </c>
      <c r="N67" s="310">
        <v>13</v>
      </c>
      <c r="O67" s="386">
        <v>45330.699178240742</v>
      </c>
      <c r="P67" s="396">
        <v>66</v>
      </c>
      <c r="Q67" s="349">
        <v>0</v>
      </c>
      <c r="R67" s="367">
        <v>0</v>
      </c>
      <c r="S67" s="369">
        <v>0</v>
      </c>
      <c r="T67" s="328">
        <v>0</v>
      </c>
      <c r="U67" s="360">
        <v>0</v>
      </c>
      <c r="V67" s="414">
        <v>0</v>
      </c>
      <c r="W67" s="678">
        <f>V66*(F66/100)</f>
        <v>0</v>
      </c>
      <c r="X67" s="689"/>
      <c r="Y67" s="687">
        <f>IFERROR(INT($AA$1/(F66/100)),"")</f>
        <v>237</v>
      </c>
      <c r="Z67" s="430">
        <f>IFERROR(IF(C67&lt;&gt;"",$Y$1/(D65/100)*(C67/100),""),"")</f>
        <v>95.308924485125857</v>
      </c>
      <c r="AA67" s="549">
        <f>IFERROR($AA$1/(D67/100)*(C65/100),"")</f>
        <v>124389.08659549228</v>
      </c>
      <c r="AB67" s="38"/>
      <c r="AC67" s="710"/>
      <c r="AD67" s="710"/>
      <c r="AE67" s="710"/>
      <c r="AF67" s="710">
        <f t="shared" si="20"/>
        <v>0</v>
      </c>
    </row>
    <row r="68" spans="1:32" ht="12.75" customHeight="1">
      <c r="A68" s="601" t="s">
        <v>18</v>
      </c>
      <c r="B68" s="331">
        <v>100691</v>
      </c>
      <c r="C68" s="433">
        <v>44.3</v>
      </c>
      <c r="D68" s="342">
        <v>44.307000000000002</v>
      </c>
      <c r="E68" s="331">
        <v>1</v>
      </c>
      <c r="F68" s="701">
        <v>44.3</v>
      </c>
      <c r="G68" s="450">
        <v>4.5000000000000005E-3</v>
      </c>
      <c r="H68" s="318">
        <v>45.2</v>
      </c>
      <c r="I68" s="304">
        <v>45.2</v>
      </c>
      <c r="J68" s="395">
        <v>44.000999999999998</v>
      </c>
      <c r="K68" s="308">
        <v>44.100999999999999</v>
      </c>
      <c r="L68" s="330">
        <v>3391267</v>
      </c>
      <c r="M68" s="308">
        <v>7657564</v>
      </c>
      <c r="N68" s="330">
        <v>4122</v>
      </c>
      <c r="O68" s="387">
        <v>45330.687523148146</v>
      </c>
      <c r="P68" s="397">
        <v>67</v>
      </c>
      <c r="Q68" s="350">
        <v>0</v>
      </c>
      <c r="R68" s="368">
        <v>0</v>
      </c>
      <c r="S68" s="374">
        <v>0</v>
      </c>
      <c r="T68" s="327">
        <v>0</v>
      </c>
      <c r="U68" s="359">
        <v>0</v>
      </c>
      <c r="V68" s="665">
        <v>0</v>
      </c>
      <c r="W68" s="666">
        <f t="shared" si="19"/>
        <v>0</v>
      </c>
      <c r="X68" s="667">
        <v>0.44901000000000002</v>
      </c>
      <c r="Y68" s="662">
        <f>IF(D68&lt;&gt;0,($C69*(1-$V$1))-$D68,0)</f>
        <v>-0.44600000000000506</v>
      </c>
      <c r="Z68" s="429">
        <f>IFERROR(IF(C68&lt;&gt;"",$Y$1/(D64/100)*(C68/100),""),"")</f>
        <v>102.62548262548262</v>
      </c>
      <c r="AA68" s="548">
        <f>IFERROR($Z$1/(D68/100)*(C64/100),"")</f>
        <v>116369.87383483423</v>
      </c>
      <c r="AB68" s="38"/>
      <c r="AC68" s="714">
        <f>SUM(AC64:AC67)</f>
        <v>138650</v>
      </c>
      <c r="AD68" s="715"/>
      <c r="AE68" s="715" t="s">
        <v>627</v>
      </c>
      <c r="AF68" s="715">
        <f>SUM(AF64:AF67)</f>
        <v>195.20238000000001</v>
      </c>
    </row>
    <row r="69" spans="1:32" ht="12.75" customHeight="1">
      <c r="A69" s="652" t="s">
        <v>7</v>
      </c>
      <c r="B69" s="653">
        <v>3346</v>
      </c>
      <c r="C69" s="625">
        <v>43.860999999999997</v>
      </c>
      <c r="D69" s="727">
        <v>44.195999999999998</v>
      </c>
      <c r="E69" s="642">
        <v>16845</v>
      </c>
      <c r="F69" s="654">
        <v>44.298999999999999</v>
      </c>
      <c r="G69" s="655">
        <v>4.3E-3</v>
      </c>
      <c r="H69" s="629">
        <v>44</v>
      </c>
      <c r="I69" s="630">
        <v>44.97</v>
      </c>
      <c r="J69" s="631">
        <v>43.85</v>
      </c>
      <c r="K69" s="632">
        <v>44.104999999999997</v>
      </c>
      <c r="L69" s="644">
        <v>967542</v>
      </c>
      <c r="M69" s="632">
        <v>2188265</v>
      </c>
      <c r="N69" s="613">
        <v>590</v>
      </c>
      <c r="O69" s="614">
        <v>45330.698530092595</v>
      </c>
      <c r="P69" s="396">
        <v>68</v>
      </c>
      <c r="Q69" s="616">
        <v>0</v>
      </c>
      <c r="R69" s="656">
        <v>0</v>
      </c>
      <c r="S69" s="618">
        <v>0</v>
      </c>
      <c r="T69" s="635">
        <v>0</v>
      </c>
      <c r="U69" s="598">
        <v>0</v>
      </c>
      <c r="V69" s="668">
        <v>0</v>
      </c>
      <c r="W69" s="716">
        <f>V68*(F68/100)</f>
        <v>0</v>
      </c>
      <c r="X69" s="669"/>
      <c r="Y69" s="663">
        <f>IFERROR(INT($Z$1/(F68/100)),"")</f>
        <v>225</v>
      </c>
      <c r="Z69" s="646">
        <f>IFERROR(IF(C69&lt;&gt;"",$Y$1/(D65/100)*(C69/100),""),"")</f>
        <v>100.36842105263158</v>
      </c>
      <c r="AA69" s="657">
        <f>IFERROR($Z$1/(D69/100)*(C65/100),"")</f>
        <v>118630.64530726762</v>
      </c>
      <c r="AB69" s="38"/>
      <c r="AC69" s="773">
        <f>AF68/AC68</f>
        <v>1.4078786873422287E-3</v>
      </c>
      <c r="AD69" s="773"/>
      <c r="AE69" s="773"/>
      <c r="AF69" s="773"/>
    </row>
    <row r="70" spans="1:32" ht="12.75" customHeight="1">
      <c r="A70" s="365" t="s">
        <v>615</v>
      </c>
      <c r="B70" s="331">
        <v>48510626</v>
      </c>
      <c r="C70" s="433">
        <v>171.01300000000001</v>
      </c>
      <c r="D70" s="342">
        <v>171.35</v>
      </c>
      <c r="E70" s="331">
        <v>48899106</v>
      </c>
      <c r="F70" s="376">
        <v>171.01300000000001</v>
      </c>
      <c r="G70" s="446">
        <v>2.3999999999999998E-3</v>
      </c>
      <c r="H70" s="313">
        <v>170.001</v>
      </c>
      <c r="I70" s="305">
        <v>171.99700000000001</v>
      </c>
      <c r="J70" s="392">
        <v>170.001</v>
      </c>
      <c r="K70" s="309">
        <v>170.6</v>
      </c>
      <c r="L70" s="337">
        <v>13046816896</v>
      </c>
      <c r="M70" s="309">
        <v>7618868127</v>
      </c>
      <c r="N70" s="337">
        <v>3994</v>
      </c>
      <c r="O70" s="385">
        <v>45330.687835648147</v>
      </c>
      <c r="P70" s="397">
        <v>69</v>
      </c>
      <c r="Q70" s="352">
        <v>0</v>
      </c>
      <c r="R70" s="366">
        <v>0</v>
      </c>
      <c r="S70" s="372">
        <v>0</v>
      </c>
      <c r="T70" s="329">
        <v>0</v>
      </c>
      <c r="U70" s="650">
        <v>0</v>
      </c>
      <c r="V70" s="720">
        <v>0</v>
      </c>
      <c r="W70" s="670"/>
      <c r="X70" s="671">
        <v>1.702</v>
      </c>
      <c r="Y70" s="593">
        <f>IF(D70&lt;&gt;0,($C71*(1-$V$1))-$D70,0)</f>
        <v>2.3499999999999943</v>
      </c>
      <c r="Z70" s="726"/>
      <c r="AA70" s="464"/>
      <c r="AB70" s="38"/>
    </row>
    <row r="71" spans="1:32" ht="12.75" customHeight="1">
      <c r="A71" s="725" t="s">
        <v>616</v>
      </c>
      <c r="B71" s="316">
        <v>9998575</v>
      </c>
      <c r="C71" s="315">
        <v>173.7</v>
      </c>
      <c r="D71" s="728">
        <v>173.75</v>
      </c>
      <c r="E71" s="729">
        <v>4943315</v>
      </c>
      <c r="F71" s="317">
        <v>173.75</v>
      </c>
      <c r="G71" s="449">
        <v>1.3500000000000002E-2</v>
      </c>
      <c r="H71" s="312">
        <v>173.999</v>
      </c>
      <c r="I71" s="303">
        <v>174.999</v>
      </c>
      <c r="J71" s="389">
        <v>173.5</v>
      </c>
      <c r="K71" s="307">
        <v>171.42</v>
      </c>
      <c r="L71" s="310">
        <v>8626076533</v>
      </c>
      <c r="M71" s="307">
        <v>4966650337</v>
      </c>
      <c r="N71" s="310">
        <v>3363</v>
      </c>
      <c r="O71" s="386">
        <v>45330.708541666667</v>
      </c>
      <c r="P71" s="396">
        <v>70</v>
      </c>
      <c r="Q71" s="349">
        <v>0</v>
      </c>
      <c r="R71" s="367">
        <v>0</v>
      </c>
      <c r="S71" s="369">
        <v>0</v>
      </c>
      <c r="T71" s="328">
        <v>0</v>
      </c>
      <c r="U71" s="360">
        <v>0</v>
      </c>
      <c r="V71" s="717">
        <v>0</v>
      </c>
      <c r="W71" s="676">
        <f>V70*(F70/100)</f>
        <v>0</v>
      </c>
      <c r="X71" s="673"/>
      <c r="Y71" s="664">
        <f>IFERROR(INT($Y$1/(F70/100)),"")</f>
        <v>70170</v>
      </c>
      <c r="Z71" s="592"/>
      <c r="AA71" s="465"/>
      <c r="AB71" s="38"/>
    </row>
    <row r="72" spans="1:32" ht="12.75" hidden="1" customHeight="1">
      <c r="A72" s="319" t="s">
        <v>617</v>
      </c>
      <c r="B72" s="331">
        <v>2045826</v>
      </c>
      <c r="C72" s="433">
        <v>0.13800000000000001</v>
      </c>
      <c r="D72" s="342">
        <v>0.14000000000000001</v>
      </c>
      <c r="E72" s="331">
        <v>13548014</v>
      </c>
      <c r="F72" s="701">
        <v>0.13800000000000001</v>
      </c>
      <c r="G72" s="450">
        <v>1.47E-2</v>
      </c>
      <c r="H72" s="318">
        <v>0.13500000000000001</v>
      </c>
      <c r="I72" s="304">
        <v>0.14000000000000001</v>
      </c>
      <c r="J72" s="395">
        <v>0.13500000000000001</v>
      </c>
      <c r="K72" s="308">
        <v>0.13600000000000001</v>
      </c>
      <c r="L72" s="330">
        <v>6614662</v>
      </c>
      <c r="M72" s="308">
        <v>4788929628</v>
      </c>
      <c r="N72" s="330">
        <v>1200</v>
      </c>
      <c r="O72" s="387">
        <v>45330.687731481485</v>
      </c>
      <c r="P72" s="397">
        <v>71</v>
      </c>
      <c r="Q72" s="350">
        <v>0</v>
      </c>
      <c r="R72" s="368">
        <v>0</v>
      </c>
      <c r="S72" s="374">
        <v>0</v>
      </c>
      <c r="T72" s="327">
        <v>0</v>
      </c>
      <c r="U72" s="359">
        <v>0</v>
      </c>
      <c r="V72" s="721">
        <v>0</v>
      </c>
      <c r="W72" s="677">
        <f t="shared" ref="W72" si="22">(V72*X72)</f>
        <v>0</v>
      </c>
      <c r="X72" s="688"/>
      <c r="Y72" s="679">
        <f>IF(D72&lt;&gt;0,($C73*(1-$V$1))-$D72,0)</f>
        <v>-2.0000000000000018E-3</v>
      </c>
      <c r="Z72" s="431">
        <f>IFERROR(IF(C72&lt;&gt;"",$Y$1/(D70/100)*(C72/100),""),"")</f>
        <v>96.644295302013433</v>
      </c>
      <c r="AA72" s="547">
        <f>IFERROR($AA$1/(D72/100)*(C70/100),"")</f>
        <v>122152.14285714286</v>
      </c>
      <c r="AB72" s="38"/>
    </row>
    <row r="73" spans="1:32" ht="12.75" hidden="1" customHeight="1">
      <c r="A73" s="399" t="s">
        <v>618</v>
      </c>
      <c r="B73" s="316">
        <v>100000000</v>
      </c>
      <c r="C73" s="315">
        <v>0.13800000000000001</v>
      </c>
      <c r="D73" s="728">
        <v>0.13900000000000001</v>
      </c>
      <c r="E73" s="729">
        <v>2250787</v>
      </c>
      <c r="F73" s="317">
        <v>0.13700000000000001</v>
      </c>
      <c r="G73" s="449">
        <v>-2.1400000000000002E-2</v>
      </c>
      <c r="H73" s="312">
        <v>0.14000000000000001</v>
      </c>
      <c r="I73" s="303">
        <v>0.14000000000000001</v>
      </c>
      <c r="J73" s="389">
        <v>0.13700000000000001</v>
      </c>
      <c r="K73" s="307">
        <v>0.14000000000000001</v>
      </c>
      <c r="L73" s="310">
        <v>3296</v>
      </c>
      <c r="M73" s="307">
        <v>2379761</v>
      </c>
      <c r="N73" s="310">
        <v>4</v>
      </c>
      <c r="O73" s="386">
        <v>45330.615486111114</v>
      </c>
      <c r="P73" s="396">
        <v>72</v>
      </c>
      <c r="Q73" s="349">
        <v>0</v>
      </c>
      <c r="R73" s="367">
        <v>0</v>
      </c>
      <c r="S73" s="369">
        <v>0</v>
      </c>
      <c r="T73" s="328">
        <v>0</v>
      </c>
      <c r="U73" s="360">
        <v>0</v>
      </c>
      <c r="V73" s="718">
        <v>0</v>
      </c>
      <c r="W73" s="678">
        <f>V72*(F72/100)</f>
        <v>0</v>
      </c>
      <c r="X73" s="689"/>
      <c r="Y73" s="687">
        <f>IFERROR(INT($AA$1/(F72/100)),"")</f>
        <v>72463</v>
      </c>
      <c r="Z73" s="430">
        <f>IFERROR(IF(C73&lt;&gt;"",$Y$1/(D71/100)*(C73/100),""),"")</f>
        <v>95.30935251798563</v>
      </c>
      <c r="AA73" s="549">
        <f>IFERROR($AA$1/(D73/100)*(C71/100),"")</f>
        <v>124964.02877697839</v>
      </c>
      <c r="AB73" s="38"/>
    </row>
    <row r="74" spans="1:32" ht="12.75" customHeight="1">
      <c r="A74" s="601" t="s">
        <v>619</v>
      </c>
      <c r="B74" s="331">
        <v>29452054</v>
      </c>
      <c r="C74" s="433">
        <v>0.14599999999999999</v>
      </c>
      <c r="D74" s="342">
        <v>0.14699999999999999</v>
      </c>
      <c r="E74" s="331">
        <v>89891500</v>
      </c>
      <c r="F74" s="701">
        <v>0.14699999999999999</v>
      </c>
      <c r="G74" s="450">
        <v>4.2500000000000003E-2</v>
      </c>
      <c r="H74" s="318">
        <v>0.14099999999999999</v>
      </c>
      <c r="I74" s="304">
        <v>0.14699999999999999</v>
      </c>
      <c r="J74" s="395">
        <v>0.14099999999999999</v>
      </c>
      <c r="K74" s="308">
        <v>0.14099999999999999</v>
      </c>
      <c r="L74" s="330">
        <v>5562196</v>
      </c>
      <c r="M74" s="308">
        <v>3830270869</v>
      </c>
      <c r="N74" s="330">
        <v>996</v>
      </c>
      <c r="O74" s="387">
        <v>45330.687824074077</v>
      </c>
      <c r="P74" s="397">
        <v>73</v>
      </c>
      <c r="Q74" s="350">
        <v>0</v>
      </c>
      <c r="R74" s="368">
        <v>0</v>
      </c>
      <c r="S74" s="374">
        <v>0</v>
      </c>
      <c r="T74" s="327">
        <v>0</v>
      </c>
      <c r="U74" s="359">
        <v>0</v>
      </c>
      <c r="V74" s="722">
        <v>138650</v>
      </c>
      <c r="W74" s="666">
        <f t="shared" si="19"/>
        <v>195.08055000000002</v>
      </c>
      <c r="X74" s="667">
        <v>1.407E-3</v>
      </c>
      <c r="Y74" s="662">
        <f>IF(D74&lt;&gt;0,($C75*(1-$V$1))-$D74,0)</f>
        <v>-2.0000000000000018E-3</v>
      </c>
      <c r="Z74" s="429">
        <f>IFERROR(IF(C74&lt;&gt;"",$Y$1/(D70/100)*(C74/100),""),"")</f>
        <v>102.24686314560839</v>
      </c>
      <c r="AA74" s="548">
        <f>IFERROR($Z$1/(D74/100)*(C70/100),"")</f>
        <v>116335.37414965988</v>
      </c>
      <c r="AB74" s="38"/>
      <c r="AC74"/>
    </row>
    <row r="75" spans="1:32" ht="12.75" customHeight="1">
      <c r="A75" s="652" t="s">
        <v>620</v>
      </c>
      <c r="B75" s="653">
        <v>2390</v>
      </c>
      <c r="C75" s="625">
        <v>0.14499999999999999</v>
      </c>
      <c r="D75" s="727">
        <v>0.14699999999999999</v>
      </c>
      <c r="E75" s="642">
        <v>44306959</v>
      </c>
      <c r="F75" s="654">
        <v>0.14699999999999999</v>
      </c>
      <c r="G75" s="655">
        <v>4.2500000000000003E-2</v>
      </c>
      <c r="H75" s="629">
        <v>0.14299999999999999</v>
      </c>
      <c r="I75" s="630">
        <v>0.14699999999999999</v>
      </c>
      <c r="J75" s="631">
        <v>0.14199999999999999</v>
      </c>
      <c r="K75" s="632">
        <v>0.14099999999999999</v>
      </c>
      <c r="L75" s="613">
        <v>53860</v>
      </c>
      <c r="M75" s="632">
        <v>37000195</v>
      </c>
      <c r="N75" s="613">
        <v>107</v>
      </c>
      <c r="O75" s="614">
        <v>45330.704861111109</v>
      </c>
      <c r="P75" s="396">
        <v>74</v>
      </c>
      <c r="Q75" s="616">
        <v>0</v>
      </c>
      <c r="R75" s="656">
        <v>0</v>
      </c>
      <c r="S75" s="618">
        <v>0</v>
      </c>
      <c r="T75" s="635">
        <v>0</v>
      </c>
      <c r="U75" s="598">
        <v>0</v>
      </c>
      <c r="V75" s="719">
        <v>0</v>
      </c>
      <c r="W75" s="716">
        <f>V74*(F74/100)</f>
        <v>203.81549999999999</v>
      </c>
      <c r="X75" s="669"/>
      <c r="Y75" s="663">
        <f>IFERROR(INT($Z$1/(F74/100)),"")</f>
        <v>68027</v>
      </c>
      <c r="Z75" s="646">
        <f>IFERROR(IF(C75&lt;&gt;"",$Y$1/(D71/100)*(C75/100),""),"")</f>
        <v>100.14388489208633</v>
      </c>
      <c r="AA75" s="657">
        <f>IFERROR($Z$1/(D75/100)*(C71/100),"")</f>
        <v>118163.26530612244</v>
      </c>
      <c r="AB75" s="38"/>
      <c r="AC75"/>
    </row>
    <row r="76" spans="1:32" ht="12.75" customHeight="1">
      <c r="A76" s="365" t="s">
        <v>543</v>
      </c>
      <c r="B76" s="331">
        <v>262</v>
      </c>
      <c r="C76" s="433">
        <v>52300</v>
      </c>
      <c r="D76" s="342">
        <v>53200</v>
      </c>
      <c r="E76" s="331">
        <v>750</v>
      </c>
      <c r="F76" s="376">
        <v>52300</v>
      </c>
      <c r="G76" s="446">
        <v>-2.4199999999999999E-2</v>
      </c>
      <c r="H76" s="313">
        <v>54240</v>
      </c>
      <c r="I76" s="305">
        <v>55000</v>
      </c>
      <c r="J76" s="392">
        <v>52000</v>
      </c>
      <c r="K76" s="309">
        <v>53600</v>
      </c>
      <c r="L76" s="337">
        <v>24322725</v>
      </c>
      <c r="M76" s="309">
        <v>46028</v>
      </c>
      <c r="N76" s="337">
        <v>131</v>
      </c>
      <c r="O76" s="385">
        <v>45330.684710648151</v>
      </c>
      <c r="P76" s="397">
        <v>75</v>
      </c>
      <c r="Q76" s="352">
        <v>0</v>
      </c>
      <c r="R76" s="366">
        <v>0</v>
      </c>
      <c r="S76" s="372">
        <v>0</v>
      </c>
      <c r="T76" s="329">
        <v>0</v>
      </c>
      <c r="U76" s="650">
        <v>0</v>
      </c>
      <c r="V76" s="674"/>
      <c r="W76" s="670">
        <f t="shared" si="19"/>
        <v>0</v>
      </c>
      <c r="X76" s="671"/>
      <c r="Y76" s="593">
        <f>IF(D76&lt;&gt;0,($C77*(1-$V$1))-$D76,0)</f>
        <v>-490</v>
      </c>
      <c r="Z76" s="726"/>
      <c r="AA76" s="464"/>
      <c r="AB76" s="38"/>
      <c r="AC76"/>
    </row>
    <row r="77" spans="1:32" ht="12.75" customHeight="1">
      <c r="A77" s="364" t="s">
        <v>544</v>
      </c>
      <c r="B77" s="316">
        <v>100</v>
      </c>
      <c r="C77" s="315">
        <v>52710</v>
      </c>
      <c r="D77" s="728">
        <v>53050</v>
      </c>
      <c r="E77" s="729">
        <v>211755</v>
      </c>
      <c r="F77" s="317">
        <v>53050</v>
      </c>
      <c r="G77" s="449">
        <v>-1.5700000000000002E-2</v>
      </c>
      <c r="H77" s="312">
        <v>55000</v>
      </c>
      <c r="I77" s="303">
        <v>55000</v>
      </c>
      <c r="J77" s="389">
        <v>52200</v>
      </c>
      <c r="K77" s="307">
        <v>53900</v>
      </c>
      <c r="L77" s="310">
        <v>268628604</v>
      </c>
      <c r="M77" s="307">
        <v>500805</v>
      </c>
      <c r="N77" s="310">
        <v>463</v>
      </c>
      <c r="O77" s="386">
        <v>45330.705972222226</v>
      </c>
      <c r="P77" s="396">
        <v>76</v>
      </c>
      <c r="Q77" s="349">
        <v>0</v>
      </c>
      <c r="R77" s="367">
        <v>0</v>
      </c>
      <c r="S77" s="369">
        <v>0</v>
      </c>
      <c r="T77" s="328">
        <v>0</v>
      </c>
      <c r="U77" s="360">
        <v>0</v>
      </c>
      <c r="V77" s="672">
        <v>0</v>
      </c>
      <c r="W77" s="676">
        <f>V76*(F76/100)</f>
        <v>0</v>
      </c>
      <c r="X77" s="673"/>
      <c r="Y77" s="664">
        <f>IFERROR(INT($Y$1/(F76/100)),"")</f>
        <v>229</v>
      </c>
      <c r="Z77" s="592"/>
      <c r="AA77" s="465"/>
      <c r="AB77" s="38"/>
      <c r="AC77"/>
    </row>
    <row r="78" spans="1:32" ht="12.75" hidden="1" customHeight="1">
      <c r="A78" s="319" t="s">
        <v>545</v>
      </c>
      <c r="B78" s="331"/>
      <c r="C78" s="433"/>
      <c r="D78" s="342"/>
      <c r="E78" s="331"/>
      <c r="F78" s="701"/>
      <c r="G78" s="450"/>
      <c r="H78" s="318"/>
      <c r="I78" s="304"/>
      <c r="J78" s="395"/>
      <c r="K78" s="308">
        <v>42.7</v>
      </c>
      <c r="L78" s="330"/>
      <c r="M78" s="308"/>
      <c r="N78" s="330"/>
      <c r="O78" s="387"/>
      <c r="P78" s="397">
        <v>77</v>
      </c>
      <c r="Q78" s="350">
        <v>0</v>
      </c>
      <c r="R78" s="368">
        <v>0</v>
      </c>
      <c r="S78" s="374">
        <v>0</v>
      </c>
      <c r="T78" s="327">
        <v>0</v>
      </c>
      <c r="U78" s="359">
        <v>0</v>
      </c>
      <c r="V78" s="415"/>
      <c r="W78" s="677">
        <f t="shared" ref="W78" si="23">(V78*X78)</f>
        <v>0</v>
      </c>
      <c r="X78" s="688"/>
      <c r="Y78" s="679">
        <f>IF(D78&lt;&gt;0,($C79*(1-$V$1))-$D78,0)</f>
        <v>0</v>
      </c>
      <c r="Z78" s="431" t="str">
        <f>IFERROR(IF(C78&lt;&gt;"",$Y$1/(D76/100)*(C78/100),""),"")</f>
        <v/>
      </c>
      <c r="AA78" s="547" t="str">
        <f>IFERROR($AA$1/(D78/100)*(C76/100),"")</f>
        <v/>
      </c>
      <c r="AB78" s="38"/>
      <c r="AC78"/>
    </row>
    <row r="79" spans="1:32" ht="12.75" hidden="1" customHeight="1">
      <c r="A79" s="399" t="s">
        <v>546</v>
      </c>
      <c r="B79" s="316"/>
      <c r="C79" s="315"/>
      <c r="D79" s="728"/>
      <c r="E79" s="729"/>
      <c r="F79" s="317"/>
      <c r="G79" s="449"/>
      <c r="H79" s="312"/>
      <c r="I79" s="303"/>
      <c r="J79" s="389"/>
      <c r="K79" s="307">
        <v>36.005000000000003</v>
      </c>
      <c r="L79" s="310"/>
      <c r="M79" s="307"/>
      <c r="N79" s="310"/>
      <c r="O79" s="386"/>
      <c r="P79" s="396">
        <v>78</v>
      </c>
      <c r="Q79" s="349">
        <v>0</v>
      </c>
      <c r="R79" s="367">
        <v>0</v>
      </c>
      <c r="S79" s="369">
        <v>0</v>
      </c>
      <c r="T79" s="328">
        <v>0</v>
      </c>
      <c r="U79" s="360">
        <v>0</v>
      </c>
      <c r="V79" s="414">
        <v>0</v>
      </c>
      <c r="W79" s="678">
        <f>V78*(F78/100)</f>
        <v>0</v>
      </c>
      <c r="X79" s="689"/>
      <c r="Y79" s="687" t="str">
        <f>IFERROR(INT($AA$1/(F78/100)),"")</f>
        <v/>
      </c>
      <c r="Z79" s="430" t="str">
        <f>IFERROR(IF(C79&lt;&gt;"",$Y$1/(D77/100)*(C79/100),""),"")</f>
        <v/>
      </c>
      <c r="AA79" s="549" t="str">
        <f>IFERROR($AA$1/(D79/100)*(C77/100),"")</f>
        <v/>
      </c>
      <c r="AB79" s="38"/>
      <c r="AC79"/>
    </row>
    <row r="80" spans="1:32" ht="12.75" customHeight="1">
      <c r="A80" s="601" t="s">
        <v>547</v>
      </c>
      <c r="B80" s="331">
        <v>1164</v>
      </c>
      <c r="C80" s="433">
        <v>44.65</v>
      </c>
      <c r="D80" s="342">
        <v>45.948999999999998</v>
      </c>
      <c r="E80" s="331">
        <v>10000</v>
      </c>
      <c r="F80" s="701">
        <v>44.65</v>
      </c>
      <c r="G80" s="450">
        <v>-7.7000000000000002E-3</v>
      </c>
      <c r="H80" s="318">
        <v>44.2</v>
      </c>
      <c r="I80" s="304">
        <v>45.25</v>
      </c>
      <c r="J80" s="395">
        <v>44.2</v>
      </c>
      <c r="K80" s="308">
        <v>45</v>
      </c>
      <c r="L80" s="330">
        <v>4847</v>
      </c>
      <c r="M80" s="308">
        <v>10797</v>
      </c>
      <c r="N80" s="330">
        <v>11</v>
      </c>
      <c r="O80" s="387">
        <v>45330.681608796294</v>
      </c>
      <c r="P80" s="397">
        <v>79</v>
      </c>
      <c r="Q80" s="350">
        <v>0</v>
      </c>
      <c r="R80" s="368">
        <v>0</v>
      </c>
      <c r="S80" s="374">
        <v>0</v>
      </c>
      <c r="T80" s="327">
        <v>0</v>
      </c>
      <c r="U80" s="359">
        <v>0</v>
      </c>
      <c r="V80" s="665">
        <v>0</v>
      </c>
      <c r="W80" s="666">
        <f t="shared" ref="W80" si="24">(V80*X80)</f>
        <v>0</v>
      </c>
      <c r="X80" s="667"/>
      <c r="Y80" s="662">
        <f>IF(D80&lt;&gt;0,($C81*(1-$V$1))-$D80,0)</f>
        <v>-1.4489999999999981</v>
      </c>
      <c r="Z80" s="429">
        <f>IFERROR(IF(C80&lt;&gt;"",$Y$1/(D76/100)*(C80/100),""),"")</f>
        <v>100.71428571428572</v>
      </c>
      <c r="AA80" s="548">
        <f>IFERROR($Z$1/(D80/100)*(C76/100),"")</f>
        <v>113821.84595965093</v>
      </c>
      <c r="AB80" s="38"/>
      <c r="AC80"/>
    </row>
    <row r="81" spans="1:29" ht="12.75" customHeight="1">
      <c r="A81" s="652" t="s">
        <v>548</v>
      </c>
      <c r="B81" s="653">
        <v>80</v>
      </c>
      <c r="C81" s="625">
        <v>44.5</v>
      </c>
      <c r="D81" s="727">
        <v>44.74</v>
      </c>
      <c r="E81" s="642">
        <v>1704</v>
      </c>
      <c r="F81" s="654">
        <v>44.5</v>
      </c>
      <c r="G81" s="655">
        <v>-6.6E-3</v>
      </c>
      <c r="H81" s="629">
        <v>44.2</v>
      </c>
      <c r="I81" s="630">
        <v>45.3</v>
      </c>
      <c r="J81" s="631">
        <v>44.2</v>
      </c>
      <c r="K81" s="632">
        <v>44.8</v>
      </c>
      <c r="L81" s="613">
        <v>24001</v>
      </c>
      <c r="M81" s="632">
        <v>53339</v>
      </c>
      <c r="N81" s="613">
        <v>59</v>
      </c>
      <c r="O81" s="614">
        <v>45330.708368055559</v>
      </c>
      <c r="P81" s="396">
        <v>80</v>
      </c>
      <c r="Q81" s="616">
        <v>0</v>
      </c>
      <c r="R81" s="656">
        <v>0</v>
      </c>
      <c r="S81" s="618">
        <v>0</v>
      </c>
      <c r="T81" s="635">
        <v>0</v>
      </c>
      <c r="U81" s="598">
        <v>0</v>
      </c>
      <c r="V81" s="668">
        <v>0</v>
      </c>
      <c r="W81" s="675">
        <f>V80*(F80/100)</f>
        <v>0</v>
      </c>
      <c r="X81" s="669"/>
      <c r="Y81" s="663">
        <f>IFERROR(INT($Z$1/(F80/100)),"")</f>
        <v>223</v>
      </c>
      <c r="Z81" s="646">
        <f>IFERROR(IF(C81&lt;&gt;"",$Y$1/(D77/100)*(C81/100),""),"")</f>
        <v>100.65975494816212</v>
      </c>
      <c r="AA81" s="657">
        <f>IFERROR($Z$1/(D81/100)*(C77/100),"")</f>
        <v>117814.03665623603</v>
      </c>
      <c r="AB81" s="38"/>
      <c r="AC81"/>
    </row>
    <row r="82" spans="1:29" ht="12.75" customHeight="1">
      <c r="A82" s="365" t="s">
        <v>576</v>
      </c>
      <c r="B82" s="331">
        <v>8261</v>
      </c>
      <c r="C82" s="433">
        <v>99700</v>
      </c>
      <c r="D82" s="342">
        <v>99790</v>
      </c>
      <c r="E82" s="331">
        <v>556</v>
      </c>
      <c r="F82" s="376">
        <v>99700</v>
      </c>
      <c r="G82" s="446">
        <v>-6.4000000000000003E-3</v>
      </c>
      <c r="H82" s="313">
        <v>98500</v>
      </c>
      <c r="I82" s="305">
        <v>100900</v>
      </c>
      <c r="J82" s="392">
        <v>98110</v>
      </c>
      <c r="K82" s="309">
        <v>100350</v>
      </c>
      <c r="L82" s="337">
        <v>58486826</v>
      </c>
      <c r="M82" s="309">
        <v>58850</v>
      </c>
      <c r="N82" s="337">
        <v>295</v>
      </c>
      <c r="O82" s="385">
        <v>45330.687743055554</v>
      </c>
      <c r="P82" s="397">
        <v>81</v>
      </c>
      <c r="Q82" s="352">
        <v>0</v>
      </c>
      <c r="R82" s="366">
        <v>0</v>
      </c>
      <c r="S82" s="372">
        <v>0</v>
      </c>
      <c r="T82" s="329">
        <v>0</v>
      </c>
      <c r="U82" s="650">
        <v>0</v>
      </c>
      <c r="V82" s="674"/>
      <c r="W82" s="670">
        <f t="shared" ref="W82" si="25">(V82*X82)</f>
        <v>0</v>
      </c>
      <c r="X82" s="671"/>
      <c r="Y82" s="593">
        <f>IF(D82&lt;&gt;0,($C83*(1-$V$1))-$D82,0)</f>
        <v>-90</v>
      </c>
      <c r="Z82" s="726"/>
      <c r="AA82" s="464"/>
      <c r="AB82" s="38"/>
      <c r="AC82"/>
    </row>
    <row r="83" spans="1:29" ht="12.75" customHeight="1">
      <c r="A83" s="364" t="s">
        <v>577</v>
      </c>
      <c r="B83" s="316">
        <v>35</v>
      </c>
      <c r="C83" s="315">
        <v>99700</v>
      </c>
      <c r="D83" s="728">
        <v>100100</v>
      </c>
      <c r="E83" s="729">
        <v>2648</v>
      </c>
      <c r="F83" s="317">
        <v>100000</v>
      </c>
      <c r="G83" s="449">
        <v>-1.15E-2</v>
      </c>
      <c r="H83" s="312">
        <v>101170</v>
      </c>
      <c r="I83" s="303">
        <v>102000</v>
      </c>
      <c r="J83" s="389">
        <v>99600</v>
      </c>
      <c r="K83" s="307">
        <v>101170</v>
      </c>
      <c r="L83" s="310">
        <v>395715233</v>
      </c>
      <c r="M83" s="307">
        <v>394233</v>
      </c>
      <c r="N83" s="310">
        <v>1097</v>
      </c>
      <c r="O83" s="386">
        <v>45330.708553240744</v>
      </c>
      <c r="P83" s="396">
        <v>82</v>
      </c>
      <c r="Q83" s="349">
        <v>0</v>
      </c>
      <c r="R83" s="367">
        <v>0</v>
      </c>
      <c r="S83" s="369">
        <v>0</v>
      </c>
      <c r="T83" s="328">
        <v>0</v>
      </c>
      <c r="U83" s="360">
        <v>0</v>
      </c>
      <c r="V83" s="672">
        <v>0</v>
      </c>
      <c r="W83" s="676">
        <f>V82*(F82/100)</f>
        <v>0</v>
      </c>
      <c r="X83" s="673"/>
      <c r="Y83" s="664">
        <f>IFERROR(INT($Y$1/(F82/100)),"")</f>
        <v>120</v>
      </c>
      <c r="Z83" s="592"/>
      <c r="AA83" s="465"/>
      <c r="AB83" s="38"/>
      <c r="AC83"/>
    </row>
    <row r="84" spans="1:29" ht="12.75" hidden="1" customHeight="1">
      <c r="A84" s="319" t="s">
        <v>578</v>
      </c>
      <c r="B84" s="331"/>
      <c r="C84" s="433"/>
      <c r="D84" s="342"/>
      <c r="E84" s="331"/>
      <c r="F84" s="701"/>
      <c r="G84" s="450"/>
      <c r="H84" s="318"/>
      <c r="I84" s="304"/>
      <c r="J84" s="304"/>
      <c r="K84" s="347">
        <v>72.757000000000005</v>
      </c>
      <c r="L84" s="330"/>
      <c r="M84" s="308"/>
      <c r="N84" s="330"/>
      <c r="O84" s="387"/>
      <c r="P84" s="397">
        <v>83</v>
      </c>
      <c r="Q84" s="350">
        <v>0</v>
      </c>
      <c r="R84" s="368">
        <v>0</v>
      </c>
      <c r="S84" s="374">
        <v>0</v>
      </c>
      <c r="T84" s="327">
        <v>0</v>
      </c>
      <c r="U84" s="359">
        <v>0</v>
      </c>
      <c r="V84" s="415"/>
      <c r="W84" s="677">
        <f t="shared" ref="W84" si="26">(V84*X84)</f>
        <v>0</v>
      </c>
      <c r="X84" s="688"/>
      <c r="Y84" s="679">
        <f>IF(D84&lt;&gt;0,($C85*(1-$V$1))-$D84,0)</f>
        <v>0</v>
      </c>
      <c r="Z84" s="431" t="str">
        <f>IFERROR(IF(C84&lt;&gt;"",$Y$1/(D82/100)*(C84/100),""),"")</f>
        <v/>
      </c>
      <c r="AA84" s="547" t="str">
        <f>IFERROR($AA$1/(D84/100)*(C82/100),"")</f>
        <v/>
      </c>
      <c r="AB84" s="38"/>
      <c r="AC84"/>
    </row>
    <row r="85" spans="1:29" ht="12.75" hidden="1" customHeight="1">
      <c r="A85" s="399" t="s">
        <v>579</v>
      </c>
      <c r="B85" s="316"/>
      <c r="C85" s="315"/>
      <c r="D85" s="728"/>
      <c r="E85" s="729"/>
      <c r="F85" s="317"/>
      <c r="G85" s="449"/>
      <c r="H85" s="312"/>
      <c r="I85" s="303"/>
      <c r="J85" s="303"/>
      <c r="K85" s="344"/>
      <c r="L85" s="310"/>
      <c r="M85" s="307"/>
      <c r="N85" s="310"/>
      <c r="O85" s="386"/>
      <c r="P85" s="396">
        <v>84</v>
      </c>
      <c r="Q85" s="349">
        <v>0</v>
      </c>
      <c r="R85" s="367">
        <v>0</v>
      </c>
      <c r="S85" s="369">
        <v>0</v>
      </c>
      <c r="T85" s="328">
        <v>0</v>
      </c>
      <c r="U85" s="360">
        <v>0</v>
      </c>
      <c r="V85" s="414">
        <v>0</v>
      </c>
      <c r="W85" s="678">
        <f>V84*(F84/100)</f>
        <v>0</v>
      </c>
      <c r="X85" s="689"/>
      <c r="Y85" s="687" t="str">
        <f>IFERROR(INT($AA$1/(F84/100)),"")</f>
        <v/>
      </c>
      <c r="Z85" s="430" t="str">
        <f>IFERROR(IF(C85&lt;&gt;"",$Y$1/(D83/100)*(C85/100),""),"")</f>
        <v/>
      </c>
      <c r="AA85" s="549" t="str">
        <f>IFERROR($AA$1/(D85/100)*(C83/100),"")</f>
        <v/>
      </c>
      <c r="AB85" s="38"/>
      <c r="AC85"/>
    </row>
    <row r="86" spans="1:29" ht="12.75" customHeight="1">
      <c r="A86" s="601" t="s">
        <v>580</v>
      </c>
      <c r="B86" s="331">
        <v>4053</v>
      </c>
      <c r="C86" s="433">
        <v>84.66</v>
      </c>
      <c r="D86" s="342">
        <v>84.67</v>
      </c>
      <c r="E86" s="331">
        <v>2574</v>
      </c>
      <c r="F86" s="701">
        <v>84.66</v>
      </c>
      <c r="G86" s="450">
        <v>9.0000000000000011E-3</v>
      </c>
      <c r="H86" s="318">
        <v>84</v>
      </c>
      <c r="I86" s="304">
        <v>84.78</v>
      </c>
      <c r="J86" s="304">
        <v>83.9</v>
      </c>
      <c r="K86" s="347">
        <v>83.9</v>
      </c>
      <c r="L86" s="330">
        <v>19351</v>
      </c>
      <c r="M86" s="308">
        <v>22919</v>
      </c>
      <c r="N86" s="330">
        <v>73</v>
      </c>
      <c r="O86" s="387">
        <v>45330.687777777777</v>
      </c>
      <c r="P86" s="397">
        <v>85</v>
      </c>
      <c r="Q86" s="350">
        <v>0</v>
      </c>
      <c r="R86" s="368">
        <v>0</v>
      </c>
      <c r="S86" s="374">
        <v>0</v>
      </c>
      <c r="T86" s="327">
        <v>0</v>
      </c>
      <c r="U86" s="359">
        <v>0</v>
      </c>
      <c r="V86" s="665">
        <v>0</v>
      </c>
      <c r="W86" s="666">
        <f t="shared" ref="W86" si="27">(V86*X86)</f>
        <v>0</v>
      </c>
      <c r="X86" s="667"/>
      <c r="Y86" s="662">
        <f>IF(D86&lt;&gt;0,($C87*(1-$V$1))-$D86,0)</f>
        <v>-0.32000000000000739</v>
      </c>
      <c r="Z86" s="429">
        <f>IFERROR(IF(C86&lt;&gt;"",$Y$1/(D82/100)*(C86/100),""),"")</f>
        <v>101.80579216354344</v>
      </c>
      <c r="AA86" s="548">
        <f>IFERROR($Z$1/(D86/100)*(C82/100),"")</f>
        <v>117751.26963505373</v>
      </c>
      <c r="AB86" s="38"/>
      <c r="AC86"/>
    </row>
    <row r="87" spans="1:29" ht="12.75" customHeight="1">
      <c r="A87" s="652" t="s">
        <v>581</v>
      </c>
      <c r="B87" s="653">
        <v>981</v>
      </c>
      <c r="C87" s="625">
        <v>84.35</v>
      </c>
      <c r="D87" s="727">
        <v>84.69</v>
      </c>
      <c r="E87" s="642">
        <v>5000</v>
      </c>
      <c r="F87" s="654">
        <v>84.65</v>
      </c>
      <c r="G87" s="655">
        <v>6.5000000000000006E-3</v>
      </c>
      <c r="H87" s="629">
        <v>84.55</v>
      </c>
      <c r="I87" s="630">
        <v>84.85</v>
      </c>
      <c r="J87" s="630">
        <v>84</v>
      </c>
      <c r="K87" s="658">
        <v>84.1</v>
      </c>
      <c r="L87" s="613">
        <v>278851</v>
      </c>
      <c r="M87" s="632">
        <v>330223</v>
      </c>
      <c r="N87" s="613">
        <v>385</v>
      </c>
      <c r="O87" s="614">
        <v>45330.701562499999</v>
      </c>
      <c r="P87" s="396">
        <v>86</v>
      </c>
      <c r="Q87" s="616">
        <v>0</v>
      </c>
      <c r="R87" s="656">
        <v>0</v>
      </c>
      <c r="S87" s="618">
        <v>0</v>
      </c>
      <c r="T87" s="635">
        <v>0</v>
      </c>
      <c r="U87" s="598">
        <v>0</v>
      </c>
      <c r="V87" s="668">
        <v>0</v>
      </c>
      <c r="W87" s="675">
        <f>V86*(F86/100)</f>
        <v>0</v>
      </c>
      <c r="X87" s="669"/>
      <c r="Y87" s="663">
        <f>IFERROR(INT($Z$1/(F86/100)),"")</f>
        <v>118</v>
      </c>
      <c r="Z87" s="646">
        <f>IFERROR(IF(C87&lt;&gt;"",$Y$1/(D83/100)*(C87/100),""),"")</f>
        <v>101.11888111888111</v>
      </c>
      <c r="AA87" s="657">
        <f>IFERROR($Z$1/(D87/100)*(C83/100),"")</f>
        <v>117723.46203802103</v>
      </c>
      <c r="AB87" s="38"/>
      <c r="AC87"/>
    </row>
    <row r="88" spans="1:29" ht="12.75" customHeight="1">
      <c r="A88" s="365" t="s">
        <v>584</v>
      </c>
      <c r="B88" s="331">
        <v>968</v>
      </c>
      <c r="C88" s="433">
        <v>29405</v>
      </c>
      <c r="D88" s="342">
        <v>30200</v>
      </c>
      <c r="E88" s="331">
        <v>500</v>
      </c>
      <c r="F88" s="376">
        <v>30990</v>
      </c>
      <c r="G88" s="446">
        <v>6.8600000000000008E-2</v>
      </c>
      <c r="H88" s="313">
        <v>31000</v>
      </c>
      <c r="I88" s="305">
        <v>31000</v>
      </c>
      <c r="J88" s="305">
        <v>29500</v>
      </c>
      <c r="K88" s="346">
        <v>29000</v>
      </c>
      <c r="L88" s="337">
        <v>2750174</v>
      </c>
      <c r="M88" s="309">
        <v>9043</v>
      </c>
      <c r="N88" s="337">
        <v>7</v>
      </c>
      <c r="O88" s="385">
        <v>45330.575486111113</v>
      </c>
      <c r="P88" s="397">
        <v>87</v>
      </c>
      <c r="Q88" s="352">
        <v>0</v>
      </c>
      <c r="R88" s="366">
        <v>0</v>
      </c>
      <c r="S88" s="372">
        <v>0</v>
      </c>
      <c r="T88" s="329">
        <v>0</v>
      </c>
      <c r="U88" s="650">
        <v>0</v>
      </c>
      <c r="V88" s="674">
        <v>0</v>
      </c>
      <c r="W88" s="670">
        <f t="shared" ref="W88" si="28">(V88*X88)</f>
        <v>0</v>
      </c>
      <c r="X88" s="671"/>
      <c r="Y88" s="593">
        <f>IF(D88&lt;&gt;0,($C89*(1-$V$1))-$D88,0)</f>
        <v>325</v>
      </c>
      <c r="Z88" s="726"/>
      <c r="AA88" s="464"/>
      <c r="AB88" s="38"/>
      <c r="AC88"/>
    </row>
    <row r="89" spans="1:29" ht="12.75" customHeight="1">
      <c r="A89" s="364" t="s">
        <v>585</v>
      </c>
      <c r="B89" s="316">
        <v>114</v>
      </c>
      <c r="C89" s="315">
        <v>30525</v>
      </c>
      <c r="D89" s="728">
        <v>31000</v>
      </c>
      <c r="E89" s="729">
        <v>1216</v>
      </c>
      <c r="F89" s="317">
        <v>31000</v>
      </c>
      <c r="G89" s="449">
        <v>-1.55E-2</v>
      </c>
      <c r="H89" s="312">
        <v>31100</v>
      </c>
      <c r="I89" s="303">
        <v>31200</v>
      </c>
      <c r="J89" s="303">
        <v>30520</v>
      </c>
      <c r="K89" s="344">
        <v>31490</v>
      </c>
      <c r="L89" s="310">
        <v>3195671</v>
      </c>
      <c r="M89" s="307">
        <v>10301</v>
      </c>
      <c r="N89" s="310">
        <v>30</v>
      </c>
      <c r="O89" s="386">
        <v>45330.698576388888</v>
      </c>
      <c r="P89" s="396">
        <v>88</v>
      </c>
      <c r="Q89" s="349">
        <v>0</v>
      </c>
      <c r="R89" s="367">
        <v>0</v>
      </c>
      <c r="S89" s="369">
        <v>0</v>
      </c>
      <c r="T89" s="328">
        <v>0</v>
      </c>
      <c r="U89" s="360">
        <v>0</v>
      </c>
      <c r="V89" s="672">
        <v>0</v>
      </c>
      <c r="W89" s="676">
        <f>V88*(F88/100)</f>
        <v>0</v>
      </c>
      <c r="X89" s="673"/>
      <c r="Y89" s="664">
        <f>IFERROR(INT($Y$1/(F88/100)),"")</f>
        <v>387</v>
      </c>
      <c r="Z89" s="592"/>
      <c r="AA89" s="465"/>
      <c r="AB89" s="38"/>
      <c r="AC89"/>
    </row>
    <row r="90" spans="1:29" ht="12.75" hidden="1" customHeight="1">
      <c r="A90" s="319" t="s">
        <v>586</v>
      </c>
      <c r="B90" s="331"/>
      <c r="C90" s="433"/>
      <c r="D90" s="342"/>
      <c r="E90" s="331"/>
      <c r="F90" s="701"/>
      <c r="G90" s="450"/>
      <c r="H90" s="318"/>
      <c r="I90" s="304"/>
      <c r="J90" s="304"/>
      <c r="K90" s="347">
        <v>30.7</v>
      </c>
      <c r="L90" s="330"/>
      <c r="M90" s="308"/>
      <c r="N90" s="330"/>
      <c r="O90" s="387"/>
      <c r="P90" s="397">
        <v>89</v>
      </c>
      <c r="Q90" s="350">
        <v>0</v>
      </c>
      <c r="R90" s="368">
        <v>0</v>
      </c>
      <c r="S90" s="374">
        <v>0</v>
      </c>
      <c r="T90" s="327">
        <v>0</v>
      </c>
      <c r="U90" s="359">
        <v>0</v>
      </c>
      <c r="V90" s="415"/>
      <c r="W90" s="677">
        <f t="shared" ref="W90" si="29">(V90*X90)</f>
        <v>0</v>
      </c>
      <c r="X90" s="688"/>
      <c r="Y90" s="679">
        <f>IF(D90&lt;&gt;0,($C91*(1-$V$1))-$D90,0)</f>
        <v>0</v>
      </c>
      <c r="Z90" s="431" t="str">
        <f>IFERROR(IF(C90&lt;&gt;"",$Y$1/(D88/100)*(C90/100),""),"")</f>
        <v/>
      </c>
      <c r="AA90" s="547" t="str">
        <f>IFERROR($AA$1/(D90/100)*(C88/100),"")</f>
        <v/>
      </c>
      <c r="AB90" s="38"/>
      <c r="AC90"/>
    </row>
    <row r="91" spans="1:29" ht="12.75" hidden="1" customHeight="1">
      <c r="A91" s="399" t="s">
        <v>587</v>
      </c>
      <c r="B91" s="316"/>
      <c r="C91" s="315"/>
      <c r="D91" s="728"/>
      <c r="E91" s="729"/>
      <c r="F91" s="317"/>
      <c r="G91" s="449"/>
      <c r="H91" s="312"/>
      <c r="I91" s="303"/>
      <c r="J91" s="303"/>
      <c r="K91" s="344"/>
      <c r="L91" s="310"/>
      <c r="M91" s="307"/>
      <c r="N91" s="310"/>
      <c r="O91" s="386"/>
      <c r="P91" s="396">
        <v>90</v>
      </c>
      <c r="Q91" s="349">
        <v>0</v>
      </c>
      <c r="R91" s="367">
        <v>0</v>
      </c>
      <c r="S91" s="369">
        <v>0</v>
      </c>
      <c r="T91" s="328">
        <v>0</v>
      </c>
      <c r="U91" s="360">
        <v>0</v>
      </c>
      <c r="V91" s="414">
        <v>0</v>
      </c>
      <c r="W91" s="678">
        <f>V90*(F90/100)</f>
        <v>0</v>
      </c>
      <c r="X91" s="689"/>
      <c r="Y91" s="687" t="str">
        <f>IFERROR(INT($AA$1/(F90/100)),"")</f>
        <v/>
      </c>
      <c r="Z91" s="430" t="str">
        <f>IFERROR(IF(C91&lt;&gt;"",$Y$1/(D89/100)*(C91/100),""),"")</f>
        <v/>
      </c>
      <c r="AA91" s="549" t="str">
        <f>IFERROR($AA$1/(D91/100)*(C89/100),"")</f>
        <v/>
      </c>
      <c r="AB91" s="38"/>
    </row>
    <row r="92" spans="1:29" ht="12.75" customHeight="1">
      <c r="A92" s="601" t="s">
        <v>588</v>
      </c>
      <c r="B92" s="331">
        <v>4694</v>
      </c>
      <c r="C92" s="433">
        <v>25</v>
      </c>
      <c r="D92" s="342">
        <v>27.6</v>
      </c>
      <c r="E92" s="331">
        <v>500</v>
      </c>
      <c r="F92" s="701"/>
      <c r="G92" s="450"/>
      <c r="H92" s="318"/>
      <c r="I92" s="304"/>
      <c r="J92" s="304"/>
      <c r="K92" s="347">
        <v>26.5</v>
      </c>
      <c r="L92" s="330"/>
      <c r="M92" s="308"/>
      <c r="N92" s="330"/>
      <c r="O92" s="387"/>
      <c r="P92" s="397">
        <v>91</v>
      </c>
      <c r="Q92" s="350">
        <v>0</v>
      </c>
      <c r="R92" s="368">
        <v>0</v>
      </c>
      <c r="S92" s="374">
        <v>0</v>
      </c>
      <c r="T92" s="327">
        <v>0</v>
      </c>
      <c r="U92" s="359">
        <v>0</v>
      </c>
      <c r="V92" s="665">
        <v>0</v>
      </c>
      <c r="W92" s="666">
        <f t="shared" ref="W92" si="30">(V92*X92)</f>
        <v>0</v>
      </c>
      <c r="X92" s="667"/>
      <c r="Y92" s="662">
        <f>IF(D92&lt;&gt;0,($C93*(1-$V$1))-$D92,0)</f>
        <v>-1.6000000000000014</v>
      </c>
      <c r="Z92" s="429">
        <f>IFERROR(IF(C92&lt;&gt;"",$Y$1/(D88/100)*(C92/100),""),"")</f>
        <v>99.337748344370866</v>
      </c>
      <c r="AA92" s="548">
        <f>IFERROR($Z$1/(D92/100)*(C88/100),"")</f>
        <v>106539.85507246376</v>
      </c>
      <c r="AB92" s="38"/>
      <c r="AC92" s="11"/>
    </row>
    <row r="93" spans="1:29" ht="12.75" customHeight="1">
      <c r="A93" s="652" t="s">
        <v>589</v>
      </c>
      <c r="B93" s="653">
        <v>2013</v>
      </c>
      <c r="C93" s="625">
        <v>26</v>
      </c>
      <c r="D93" s="727">
        <v>27</v>
      </c>
      <c r="E93" s="642">
        <v>18457</v>
      </c>
      <c r="F93" s="654">
        <v>27</v>
      </c>
      <c r="G93" s="655">
        <v>7.4000000000000003E-3</v>
      </c>
      <c r="H93" s="629">
        <v>26.8</v>
      </c>
      <c r="I93" s="630">
        <v>27</v>
      </c>
      <c r="J93" s="630">
        <v>26.498999999999999</v>
      </c>
      <c r="K93" s="658">
        <v>26.8</v>
      </c>
      <c r="L93" s="613">
        <v>987</v>
      </c>
      <c r="M93" s="632">
        <v>3713</v>
      </c>
      <c r="N93" s="613">
        <v>7</v>
      </c>
      <c r="O93" s="614">
        <v>45330.698055555556</v>
      </c>
      <c r="P93" s="396">
        <v>92</v>
      </c>
      <c r="Q93" s="616">
        <v>0</v>
      </c>
      <c r="R93" s="656">
        <v>0</v>
      </c>
      <c r="S93" s="618">
        <v>0</v>
      </c>
      <c r="T93" s="635">
        <v>0</v>
      </c>
      <c r="U93" s="598">
        <v>0</v>
      </c>
      <c r="V93" s="668">
        <v>0</v>
      </c>
      <c r="W93" s="675">
        <f>V92*(F92/100)</f>
        <v>0</v>
      </c>
      <c r="X93" s="669"/>
      <c r="Y93" s="663" t="str">
        <f>IFERROR(INT($Z$1/(F92/100)),"")</f>
        <v/>
      </c>
      <c r="Z93" s="646">
        <f>IFERROR(IF(C93&lt;&gt;"",$Y$1/(D89/100)*(C93/100),""),"")</f>
        <v>100.64516129032259</v>
      </c>
      <c r="AA93" s="657">
        <f>IFERROR($Z$1/(D93/100)*(C89/100),"")</f>
        <v>113055.55555555555</v>
      </c>
      <c r="AB93" s="38"/>
      <c r="AC93" s="11"/>
    </row>
    <row r="94" spans="1:29" ht="12.75" customHeight="1">
      <c r="A94" s="365" t="s">
        <v>613</v>
      </c>
      <c r="B94" s="331">
        <v>120</v>
      </c>
      <c r="C94" s="433">
        <v>81000</v>
      </c>
      <c r="D94" s="342">
        <v>81500</v>
      </c>
      <c r="E94" s="331">
        <v>13940</v>
      </c>
      <c r="F94" s="376">
        <v>81500</v>
      </c>
      <c r="G94" s="446">
        <v>-7.0999999999999995E-3</v>
      </c>
      <c r="H94" s="313">
        <v>84000</v>
      </c>
      <c r="I94" s="305">
        <v>84000</v>
      </c>
      <c r="J94" s="305">
        <v>80690</v>
      </c>
      <c r="K94" s="346">
        <v>82090</v>
      </c>
      <c r="L94" s="337">
        <v>815243961</v>
      </c>
      <c r="M94" s="309">
        <v>997770</v>
      </c>
      <c r="N94" s="337">
        <v>343</v>
      </c>
      <c r="O94" s="385">
        <v>45330.685011574074</v>
      </c>
      <c r="P94" s="397">
        <v>93</v>
      </c>
      <c r="Q94" s="352">
        <v>0</v>
      </c>
      <c r="R94" s="366">
        <v>0</v>
      </c>
      <c r="S94" s="372">
        <v>0</v>
      </c>
      <c r="T94" s="329">
        <v>0</v>
      </c>
      <c r="U94" s="650">
        <v>0</v>
      </c>
      <c r="V94" s="674">
        <v>100</v>
      </c>
      <c r="W94" s="670">
        <f t="shared" ref="W94" si="31">(V94*X94)</f>
        <v>84400</v>
      </c>
      <c r="X94" s="671">
        <v>844</v>
      </c>
      <c r="Y94" s="593">
        <f>IF(D94&lt;&gt;0,($C95*(1-$V$1))-$D94,0)</f>
        <v>50</v>
      </c>
      <c r="Z94" s="726"/>
      <c r="AA94" s="464"/>
      <c r="AB94" s="38"/>
      <c r="AC94" s="11"/>
    </row>
    <row r="95" spans="1:29" ht="12.75" customHeight="1">
      <c r="A95" s="364" t="s">
        <v>614</v>
      </c>
      <c r="B95" s="316">
        <v>100</v>
      </c>
      <c r="C95" s="315">
        <v>81550</v>
      </c>
      <c r="D95" s="728">
        <v>81600</v>
      </c>
      <c r="E95" s="729">
        <v>315530</v>
      </c>
      <c r="F95" s="317">
        <v>81600</v>
      </c>
      <c r="G95" s="449">
        <v>-2.6000000000000002E-2</v>
      </c>
      <c r="H95" s="312">
        <v>85000</v>
      </c>
      <c r="I95" s="303">
        <v>85000</v>
      </c>
      <c r="J95" s="303">
        <v>81600</v>
      </c>
      <c r="K95" s="344">
        <v>83780</v>
      </c>
      <c r="L95" s="310">
        <v>17980220881</v>
      </c>
      <c r="M95" s="307">
        <v>21726520</v>
      </c>
      <c r="N95" s="310">
        <v>1151</v>
      </c>
      <c r="O95" s="386">
        <v>45330.708518518521</v>
      </c>
      <c r="P95" s="396">
        <v>94</v>
      </c>
      <c r="Q95" s="349">
        <v>0</v>
      </c>
      <c r="R95" s="367">
        <v>0</v>
      </c>
      <c r="S95" s="369">
        <v>0</v>
      </c>
      <c r="T95" s="328">
        <v>0</v>
      </c>
      <c r="U95" s="360">
        <v>0</v>
      </c>
      <c r="V95" s="672">
        <v>0</v>
      </c>
      <c r="W95" s="676">
        <f>V94*(F94/100)</f>
        <v>81500</v>
      </c>
      <c r="X95" s="673"/>
      <c r="Y95" s="664">
        <f>IFERROR(INT($Y$1/(F94/100)),"")</f>
        <v>147</v>
      </c>
      <c r="Z95" s="592"/>
      <c r="AA95" s="465"/>
      <c r="AB95" s="38"/>
      <c r="AC95" s="11"/>
    </row>
    <row r="96" spans="1:29" ht="12.75" hidden="1" customHeight="1">
      <c r="A96" s="319" t="s">
        <v>609</v>
      </c>
      <c r="B96" s="331">
        <v>50000</v>
      </c>
      <c r="C96" s="433">
        <v>65.400000000000006</v>
      </c>
      <c r="D96" s="342">
        <v>65.7</v>
      </c>
      <c r="E96" s="331">
        <v>100000</v>
      </c>
      <c r="F96" s="701">
        <v>65.400000000000006</v>
      </c>
      <c r="G96" s="450">
        <v>1.5E-3</v>
      </c>
      <c r="H96" s="318">
        <v>66</v>
      </c>
      <c r="I96" s="304">
        <v>66.5</v>
      </c>
      <c r="J96" s="304">
        <v>65.25</v>
      </c>
      <c r="K96" s="347">
        <v>65.3</v>
      </c>
      <c r="L96" s="330">
        <v>6204464</v>
      </c>
      <c r="M96" s="308">
        <v>9448660</v>
      </c>
      <c r="N96" s="330">
        <v>201</v>
      </c>
      <c r="O96" s="387">
        <v>45330.683321759258</v>
      </c>
      <c r="P96" s="397">
        <v>95</v>
      </c>
      <c r="Q96" s="350">
        <v>0</v>
      </c>
      <c r="R96" s="368">
        <v>0</v>
      </c>
      <c r="S96" s="374">
        <v>0</v>
      </c>
      <c r="T96" s="327">
        <v>0</v>
      </c>
      <c r="U96" s="359">
        <v>0</v>
      </c>
      <c r="V96" s="415"/>
      <c r="W96" s="677">
        <f t="shared" ref="W96" si="32">(V96*X96)</f>
        <v>0</v>
      </c>
      <c r="X96" s="688"/>
      <c r="Y96" s="679">
        <f>IF(D96&lt;&gt;0,($C97*(1-$V$1))-$D96,0)</f>
        <v>-0.35000000000000853</v>
      </c>
      <c r="Z96" s="431">
        <f>IFERROR(IF(C96&lt;&gt;"",$Y$1/(D94/100)*(C96/100),""),"")</f>
        <v>96.294478527607367</v>
      </c>
      <c r="AA96" s="547">
        <f>IFERROR($AA$1/(D96/100)*(C94/100),"")</f>
        <v>123287.67123287672</v>
      </c>
      <c r="AB96" s="38"/>
      <c r="AC96" s="11"/>
    </row>
    <row r="97" spans="1:29" ht="12.75" hidden="1" customHeight="1">
      <c r="A97" s="399" t="s">
        <v>610</v>
      </c>
      <c r="B97" s="316">
        <v>56760</v>
      </c>
      <c r="C97" s="315">
        <v>65.349999999999994</v>
      </c>
      <c r="D97" s="728">
        <v>65.45</v>
      </c>
      <c r="E97" s="729">
        <v>85780</v>
      </c>
      <c r="F97" s="317">
        <v>65.45</v>
      </c>
      <c r="G97" s="449">
        <v>-9.7999999999999997E-3</v>
      </c>
      <c r="H97" s="312">
        <v>66</v>
      </c>
      <c r="I97" s="303">
        <v>66.5</v>
      </c>
      <c r="J97" s="303">
        <v>65.25</v>
      </c>
      <c r="K97" s="344">
        <v>66.099999999999994</v>
      </c>
      <c r="L97" s="310">
        <v>13570271</v>
      </c>
      <c r="M97" s="307">
        <v>20658460</v>
      </c>
      <c r="N97" s="310">
        <v>329</v>
      </c>
      <c r="O97" s="386">
        <v>45330.704409722224</v>
      </c>
      <c r="P97" s="396">
        <v>96</v>
      </c>
      <c r="Q97" s="349">
        <v>0</v>
      </c>
      <c r="R97" s="367">
        <v>0</v>
      </c>
      <c r="S97" s="369">
        <v>0</v>
      </c>
      <c r="T97" s="328">
        <v>0</v>
      </c>
      <c r="U97" s="360">
        <v>0</v>
      </c>
      <c r="V97" s="414">
        <v>0</v>
      </c>
      <c r="W97" s="678">
        <f>V96*(F96/100)</f>
        <v>0</v>
      </c>
      <c r="X97" s="689"/>
      <c r="Y97" s="687">
        <f>IFERROR(INT($AA$1/(F96/100)),"")</f>
        <v>152</v>
      </c>
      <c r="Z97" s="430">
        <f>IFERROR(IF(C97&lt;&gt;"",$Y$1/(D95/100)*(C97/100),""),"")</f>
        <v>96.10294117647058</v>
      </c>
      <c r="AA97" s="549">
        <f>IFERROR($AA$1/(D97/100)*(C95/100),"")</f>
        <v>124598.93048128342</v>
      </c>
      <c r="AB97" s="38"/>
      <c r="AC97" s="11"/>
    </row>
    <row r="98" spans="1:29" ht="12.75" customHeight="1">
      <c r="A98" s="601" t="s">
        <v>611</v>
      </c>
      <c r="B98" s="331">
        <v>2390</v>
      </c>
      <c r="C98" s="433">
        <v>68.8</v>
      </c>
      <c r="D98" s="342">
        <v>69.099999999999994</v>
      </c>
      <c r="E98" s="331">
        <v>73810</v>
      </c>
      <c r="F98" s="701">
        <v>69.099999999999994</v>
      </c>
      <c r="G98" s="450">
        <v>-1.2800000000000001E-2</v>
      </c>
      <c r="H98" s="318">
        <v>71</v>
      </c>
      <c r="I98" s="304">
        <v>71</v>
      </c>
      <c r="J98" s="304">
        <v>68.78</v>
      </c>
      <c r="K98" s="347">
        <v>70</v>
      </c>
      <c r="L98" s="330">
        <v>77689</v>
      </c>
      <c r="M98" s="308">
        <v>112240</v>
      </c>
      <c r="N98" s="330">
        <v>65</v>
      </c>
      <c r="O98" s="387">
        <v>45330.687557870369</v>
      </c>
      <c r="P98" s="397">
        <v>97</v>
      </c>
      <c r="Q98" s="350">
        <v>0</v>
      </c>
      <c r="R98" s="368">
        <v>0</v>
      </c>
      <c r="S98" s="374">
        <v>0</v>
      </c>
      <c r="T98" s="327">
        <v>0</v>
      </c>
      <c r="U98" s="359">
        <v>0</v>
      </c>
      <c r="V98" s="665">
        <v>0</v>
      </c>
      <c r="W98" s="666">
        <f t="shared" ref="W98" si="33">(V98*X98)</f>
        <v>0</v>
      </c>
      <c r="X98" s="667">
        <v>0.71499999999999997</v>
      </c>
      <c r="Y98" s="662">
        <f>IF(D98&lt;&gt;0,($C99*(1-$V$1))-$D98,0)</f>
        <v>-0.26999999999999602</v>
      </c>
      <c r="Z98" s="429">
        <f>IFERROR(IF(C98&lt;&gt;"",$Y$1/(D94/100)*(C98/100),""),"")</f>
        <v>101.30061349693251</v>
      </c>
      <c r="AA98" s="548">
        <f>IFERROR($Z$1/(D98/100)*(C94/100),"")</f>
        <v>117221.41823444286</v>
      </c>
      <c r="AB98" s="38"/>
      <c r="AC98" s="11"/>
    </row>
    <row r="99" spans="1:29" ht="12.75" customHeight="1">
      <c r="A99" s="652" t="s">
        <v>612</v>
      </c>
      <c r="B99" s="653">
        <v>120</v>
      </c>
      <c r="C99" s="625">
        <v>68.83</v>
      </c>
      <c r="D99" s="727">
        <v>69.099999999999994</v>
      </c>
      <c r="E99" s="642">
        <v>121230</v>
      </c>
      <c r="F99" s="654">
        <v>69.099999999999994</v>
      </c>
      <c r="G99" s="655">
        <v>-9.7999999999999997E-3</v>
      </c>
      <c r="H99" s="629">
        <v>69.7</v>
      </c>
      <c r="I99" s="630">
        <v>70.7</v>
      </c>
      <c r="J99" s="630">
        <v>68.75</v>
      </c>
      <c r="K99" s="658">
        <v>69.790000000000006</v>
      </c>
      <c r="L99" s="613">
        <v>950370</v>
      </c>
      <c r="M99" s="632">
        <v>1373390</v>
      </c>
      <c r="N99" s="613">
        <v>323</v>
      </c>
      <c r="O99" s="614">
        <v>45330.706388888888</v>
      </c>
      <c r="P99" s="396">
        <v>98</v>
      </c>
      <c r="Q99" s="616">
        <v>0</v>
      </c>
      <c r="R99" s="656">
        <v>0</v>
      </c>
      <c r="S99" s="618">
        <v>0</v>
      </c>
      <c r="T99" s="635">
        <v>0</v>
      </c>
      <c r="U99" s="598">
        <v>0</v>
      </c>
      <c r="V99" s="668">
        <v>0</v>
      </c>
      <c r="W99" s="675">
        <f>V98*(F98/100)</f>
        <v>0</v>
      </c>
      <c r="X99" s="669"/>
      <c r="Y99" s="663">
        <f>IFERROR(INT($Z$1/(F98/100)),"")</f>
        <v>144</v>
      </c>
      <c r="Z99" s="646">
        <f>IFERROR(IF(C99&lt;&gt;"",$Y$1/(D95/100)*(C99/100),""),"")</f>
        <v>101.22058823529413</v>
      </c>
      <c r="AA99" s="657">
        <f>IFERROR($Z$1/(D99/100)*(C95/100),"")</f>
        <v>118017.36613603475</v>
      </c>
      <c r="AB99" s="38"/>
    </row>
    <row r="100" spans="1:29" ht="12.75" customHeight="1">
      <c r="A100" s="365" t="s">
        <v>621</v>
      </c>
      <c r="B100" s="331"/>
      <c r="C100" s="433"/>
      <c r="D100" s="342">
        <v>159.69999999999999</v>
      </c>
      <c r="E100" s="331">
        <v>95514</v>
      </c>
      <c r="F100" s="376">
        <v>159.69999999999999</v>
      </c>
      <c r="G100" s="446">
        <v>3.5900000000000001E-2</v>
      </c>
      <c r="H100" s="313">
        <v>160.9</v>
      </c>
      <c r="I100" s="305">
        <v>160.9</v>
      </c>
      <c r="J100" s="305">
        <v>154.5</v>
      </c>
      <c r="K100" s="346">
        <v>154.16</v>
      </c>
      <c r="L100" s="337">
        <v>672182</v>
      </c>
      <c r="M100" s="309">
        <v>427954</v>
      </c>
      <c r="N100" s="337">
        <v>24</v>
      </c>
      <c r="O100" s="385">
        <v>45330.684513888889</v>
      </c>
      <c r="P100" s="397">
        <v>99</v>
      </c>
      <c r="Q100" s="352">
        <v>0</v>
      </c>
      <c r="R100" s="366">
        <v>0</v>
      </c>
      <c r="S100" s="372">
        <v>0</v>
      </c>
      <c r="T100" s="329">
        <v>0</v>
      </c>
      <c r="U100" s="650">
        <v>0</v>
      </c>
      <c r="V100" s="674"/>
      <c r="W100" s="670">
        <f t="shared" ref="W100" si="34">(V100*X100)</f>
        <v>0</v>
      </c>
      <c r="X100" s="671"/>
      <c r="Y100" s="593">
        <f>IF(D100&lt;&gt;0,($C101*(1-$V$1))-$D100,0)</f>
        <v>-3.1999999999999886</v>
      </c>
      <c r="Z100" s="726"/>
      <c r="AA100" s="464"/>
      <c r="AB100" s="38"/>
    </row>
    <row r="101" spans="1:29" ht="12.75" customHeight="1">
      <c r="A101" s="364" t="s">
        <v>622</v>
      </c>
      <c r="B101" s="316">
        <v>288997</v>
      </c>
      <c r="C101" s="315">
        <v>156.5</v>
      </c>
      <c r="D101" s="728">
        <v>156.80000000000001</v>
      </c>
      <c r="E101" s="729">
        <v>654</v>
      </c>
      <c r="F101" s="317">
        <v>156</v>
      </c>
      <c r="G101" s="449">
        <v>1.6000000000000001E-3</v>
      </c>
      <c r="H101" s="312">
        <v>158</v>
      </c>
      <c r="I101" s="303">
        <v>158</v>
      </c>
      <c r="J101" s="303">
        <v>150</v>
      </c>
      <c r="K101" s="344">
        <v>155.75</v>
      </c>
      <c r="L101" s="310">
        <v>1290523066</v>
      </c>
      <c r="M101" s="307">
        <v>827917455</v>
      </c>
      <c r="N101" s="310">
        <v>471</v>
      </c>
      <c r="O101" s="386">
        <v>45330.703923611109</v>
      </c>
      <c r="P101" s="396">
        <v>100</v>
      </c>
      <c r="Q101" s="349">
        <v>0</v>
      </c>
      <c r="R101" s="367">
        <v>0</v>
      </c>
      <c r="S101" s="369">
        <v>0</v>
      </c>
      <c r="T101" s="328">
        <v>0</v>
      </c>
      <c r="U101" s="360">
        <v>0</v>
      </c>
      <c r="V101" s="672">
        <v>0</v>
      </c>
      <c r="W101" s="676">
        <f>V100*(F100/100)</f>
        <v>0</v>
      </c>
      <c r="X101" s="673"/>
      <c r="Y101" s="664">
        <f>IFERROR(INT($Y$1/(F100/100)),"")</f>
        <v>75140</v>
      </c>
      <c r="Z101" s="592"/>
      <c r="AA101" s="465"/>
      <c r="AB101" s="38"/>
    </row>
    <row r="102" spans="1:29" ht="12.75" hidden="1" customHeight="1">
      <c r="A102" s="319" t="s">
        <v>623</v>
      </c>
      <c r="B102" s="331"/>
      <c r="C102" s="433"/>
      <c r="D102" s="342"/>
      <c r="E102" s="331"/>
      <c r="F102" s="701"/>
      <c r="G102" s="450"/>
      <c r="H102" s="318"/>
      <c r="I102" s="304"/>
      <c r="J102" s="304"/>
      <c r="K102" s="347"/>
      <c r="L102" s="330"/>
      <c r="M102" s="308"/>
      <c r="N102" s="330"/>
      <c r="O102" s="387"/>
      <c r="P102" s="397">
        <v>101</v>
      </c>
      <c r="Q102" s="350">
        <v>0</v>
      </c>
      <c r="R102" s="368">
        <v>0</v>
      </c>
      <c r="S102" s="374">
        <v>0</v>
      </c>
      <c r="T102" s="327">
        <v>0</v>
      </c>
      <c r="U102" s="359">
        <v>0</v>
      </c>
      <c r="V102" s="415"/>
      <c r="W102" s="677">
        <f t="shared" ref="W102" si="35">(V102*X102)</f>
        <v>0</v>
      </c>
      <c r="X102" s="688"/>
      <c r="Y102" s="679">
        <f>IF(D102&lt;&gt;0,($C103*(1-$V$1))-$D102,0)</f>
        <v>0</v>
      </c>
      <c r="Z102" s="431" t="str">
        <f>IFERROR(IF(C102&lt;&gt;"",$Y$1/(D100/100)*(C102/100),""),"")</f>
        <v/>
      </c>
      <c r="AA102" s="547" t="str">
        <f>IFERROR($AA$1/(D102/100)*(C100/100),"")</f>
        <v/>
      </c>
      <c r="AB102" s="38"/>
    </row>
    <row r="103" spans="1:29" ht="12.75" hidden="1" customHeight="1">
      <c r="A103" s="399" t="s">
        <v>624</v>
      </c>
      <c r="B103" s="316"/>
      <c r="C103" s="315"/>
      <c r="D103" s="728"/>
      <c r="E103" s="729"/>
      <c r="F103" s="317"/>
      <c r="G103" s="449"/>
      <c r="H103" s="312"/>
      <c r="I103" s="303"/>
      <c r="J103" s="303"/>
      <c r="K103" s="344"/>
      <c r="L103" s="310"/>
      <c r="M103" s="307"/>
      <c r="N103" s="310"/>
      <c r="O103" s="386"/>
      <c r="P103" s="396">
        <v>102</v>
      </c>
      <c r="Q103" s="349">
        <v>0</v>
      </c>
      <c r="R103" s="367">
        <v>0</v>
      </c>
      <c r="S103" s="369">
        <v>0</v>
      </c>
      <c r="T103" s="328">
        <v>0</v>
      </c>
      <c r="U103" s="360">
        <v>0</v>
      </c>
      <c r="V103" s="414">
        <v>0</v>
      </c>
      <c r="W103" s="678">
        <f>V102*(F102/100)</f>
        <v>0</v>
      </c>
      <c r="X103" s="689"/>
      <c r="Y103" s="687" t="str">
        <f>IFERROR(INT($AA$1/(F102/100)),"")</f>
        <v/>
      </c>
      <c r="Z103" s="430" t="str">
        <f>IFERROR(IF(C103&lt;&gt;"",$Y$1/(D101/100)*(C103/100),""),"")</f>
        <v/>
      </c>
      <c r="AA103" s="549" t="str">
        <f>IFERROR($AA$1/(D103/100)*(C101/100),"")</f>
        <v/>
      </c>
      <c r="AB103" s="38"/>
    </row>
    <row r="104" spans="1:29" ht="12.75" customHeight="1">
      <c r="A104" s="601" t="s">
        <v>625</v>
      </c>
      <c r="B104" s="331"/>
      <c r="C104" s="433"/>
      <c r="D104" s="342"/>
      <c r="E104" s="331"/>
      <c r="F104" s="701"/>
      <c r="G104" s="450"/>
      <c r="H104" s="318"/>
      <c r="I104" s="304"/>
      <c r="J104" s="304"/>
      <c r="K104" s="347"/>
      <c r="L104" s="330"/>
      <c r="M104" s="308"/>
      <c r="N104" s="330"/>
      <c r="O104" s="387"/>
      <c r="P104" s="397">
        <v>103</v>
      </c>
      <c r="Q104" s="350">
        <v>0</v>
      </c>
      <c r="R104" s="368">
        <v>0</v>
      </c>
      <c r="S104" s="374">
        <v>0</v>
      </c>
      <c r="T104" s="327">
        <v>0</v>
      </c>
      <c r="U104" s="359">
        <v>0</v>
      </c>
      <c r="V104" s="665">
        <v>0</v>
      </c>
      <c r="W104" s="666">
        <f t="shared" ref="W104" si="36">(V104*X104)</f>
        <v>0</v>
      </c>
      <c r="X104" s="667"/>
      <c r="Y104" s="662">
        <f>IF(D104&lt;&gt;0,($C105*(1-$V$1))-$D104,0)</f>
        <v>0</v>
      </c>
      <c r="Z104" s="429" t="str">
        <f>IFERROR(IF(C104&lt;&gt;"",$Y$1/(D100/100)*(C104/100),""),"")</f>
        <v/>
      </c>
      <c r="AA104" s="548" t="str">
        <f>IFERROR($Z$1/(D104/100)*(C100/100),"")</f>
        <v/>
      </c>
      <c r="AB104" s="38"/>
    </row>
    <row r="105" spans="1:29" ht="12.75" customHeight="1">
      <c r="A105" s="652" t="s">
        <v>626</v>
      </c>
      <c r="B105" s="653"/>
      <c r="C105" s="625"/>
      <c r="D105" s="727"/>
      <c r="E105" s="642"/>
      <c r="F105" s="654"/>
      <c r="G105" s="655"/>
      <c r="H105" s="629"/>
      <c r="I105" s="630"/>
      <c r="J105" s="630"/>
      <c r="K105" s="658"/>
      <c r="L105" s="613"/>
      <c r="M105" s="632"/>
      <c r="N105" s="613"/>
      <c r="O105" s="614"/>
      <c r="P105" s="396">
        <v>104</v>
      </c>
      <c r="Q105" s="616">
        <v>0</v>
      </c>
      <c r="R105" s="656">
        <v>0</v>
      </c>
      <c r="S105" s="618">
        <v>0</v>
      </c>
      <c r="T105" s="635">
        <v>0</v>
      </c>
      <c r="U105" s="598">
        <v>0</v>
      </c>
      <c r="V105" s="668">
        <v>0</v>
      </c>
      <c r="W105" s="675">
        <f>V104*(F104/100)</f>
        <v>0</v>
      </c>
      <c r="X105" s="669"/>
      <c r="Y105" s="663" t="str">
        <f>IFERROR(INT($Z$1/(F104/100)),"")</f>
        <v/>
      </c>
      <c r="Z105" s="646" t="str">
        <f>IFERROR(IF(C105&lt;&gt;"",$Y$1/(D101/100)*(C105/100),""),"")</f>
        <v/>
      </c>
      <c r="AA105" s="657" t="str">
        <f>IFERROR($Z$1/(D105/100)*(C101/100),"")</f>
        <v/>
      </c>
      <c r="AB105" s="38"/>
    </row>
    <row r="106" spans="1:29" ht="12.75" customHeight="1">
      <c r="A106" s="365" t="s">
        <v>555</v>
      </c>
      <c r="B106" s="331">
        <v>403</v>
      </c>
      <c r="C106" s="433">
        <v>43345</v>
      </c>
      <c r="D106" s="342">
        <v>43485</v>
      </c>
      <c r="E106" s="331">
        <v>300</v>
      </c>
      <c r="F106" s="376">
        <v>43345</v>
      </c>
      <c r="G106" s="446">
        <v>-3.8900000000000004E-2</v>
      </c>
      <c r="H106" s="313">
        <v>44525</v>
      </c>
      <c r="I106" s="305">
        <v>45100</v>
      </c>
      <c r="J106" s="305">
        <v>43000</v>
      </c>
      <c r="K106" s="346">
        <v>45100</v>
      </c>
      <c r="L106" s="337">
        <v>103153900</v>
      </c>
      <c r="M106" s="309">
        <v>234286</v>
      </c>
      <c r="N106" s="337">
        <v>425</v>
      </c>
      <c r="O106" s="385">
        <v>45330.687662037039</v>
      </c>
      <c r="P106" s="397">
        <v>105</v>
      </c>
      <c r="Q106" s="352">
        <v>0</v>
      </c>
      <c r="R106" s="366">
        <v>0</v>
      </c>
      <c r="S106" s="372">
        <v>0</v>
      </c>
      <c r="T106" s="329">
        <v>0</v>
      </c>
      <c r="U106" s="650">
        <v>0</v>
      </c>
      <c r="V106" s="674"/>
      <c r="W106" s="670">
        <f t="shared" ref="W106" si="37">(V106*X106)</f>
        <v>0</v>
      </c>
      <c r="X106" s="671"/>
      <c r="Y106" s="593">
        <f>IF(D106&lt;&gt;0,($C107*(1-$V$1))-$D106,0)</f>
        <v>465</v>
      </c>
      <c r="Z106" s="726"/>
      <c r="AA106" s="464"/>
      <c r="AB106" s="38"/>
    </row>
    <row r="107" spans="1:29" ht="12.75" customHeight="1">
      <c r="A107" s="364" t="s">
        <v>183</v>
      </c>
      <c r="B107" s="316">
        <v>1130</v>
      </c>
      <c r="C107" s="315">
        <v>43950</v>
      </c>
      <c r="D107" s="728">
        <v>43990</v>
      </c>
      <c r="E107" s="729">
        <v>883</v>
      </c>
      <c r="F107" s="317">
        <v>43990</v>
      </c>
      <c r="G107" s="449">
        <v>-2.6499999999999999E-2</v>
      </c>
      <c r="H107" s="312">
        <v>44000</v>
      </c>
      <c r="I107" s="303">
        <v>45995</v>
      </c>
      <c r="J107" s="303">
        <v>43650</v>
      </c>
      <c r="K107" s="344">
        <v>45190</v>
      </c>
      <c r="L107" s="310">
        <v>506575129</v>
      </c>
      <c r="M107" s="307">
        <v>1139431</v>
      </c>
      <c r="N107" s="310">
        <v>1198</v>
      </c>
      <c r="O107" s="386">
        <v>45330.708425925928</v>
      </c>
      <c r="P107" s="396">
        <v>106</v>
      </c>
      <c r="Q107" s="349">
        <v>0</v>
      </c>
      <c r="R107" s="367">
        <v>0</v>
      </c>
      <c r="S107" s="369">
        <v>0</v>
      </c>
      <c r="T107" s="328">
        <v>0</v>
      </c>
      <c r="U107" s="360">
        <v>0</v>
      </c>
      <c r="V107" s="672">
        <v>0</v>
      </c>
      <c r="W107" s="676">
        <f>V106*(F106/100)</f>
        <v>0</v>
      </c>
      <c r="X107" s="673"/>
      <c r="Y107" s="664">
        <f>IFERROR(INT($Y$1/(F106/100)),"")</f>
        <v>276</v>
      </c>
      <c r="Z107" s="592"/>
      <c r="AA107" s="465"/>
      <c r="AB107" s="38"/>
    </row>
    <row r="108" spans="1:29" ht="12.75" hidden="1" customHeight="1">
      <c r="A108" s="319" t="s">
        <v>556</v>
      </c>
      <c r="B108" s="331"/>
      <c r="C108" s="433"/>
      <c r="D108" s="342">
        <v>37.81</v>
      </c>
      <c r="E108" s="331">
        <v>26446</v>
      </c>
      <c r="F108" s="701"/>
      <c r="G108" s="450"/>
      <c r="H108" s="318"/>
      <c r="I108" s="304"/>
      <c r="J108" s="304"/>
      <c r="K108" s="347">
        <v>38</v>
      </c>
      <c r="L108" s="330"/>
      <c r="M108" s="308"/>
      <c r="N108" s="330"/>
      <c r="O108" s="387"/>
      <c r="P108" s="397">
        <v>107</v>
      </c>
      <c r="Q108" s="350">
        <v>0</v>
      </c>
      <c r="R108" s="368">
        <v>0</v>
      </c>
      <c r="S108" s="374">
        <v>0</v>
      </c>
      <c r="T108" s="327">
        <v>0</v>
      </c>
      <c r="U108" s="359">
        <v>0</v>
      </c>
      <c r="V108" s="415"/>
      <c r="W108" s="677">
        <f t="shared" ref="W108" si="38">(V108*X108)</f>
        <v>0</v>
      </c>
      <c r="X108" s="688"/>
      <c r="Y108" s="679">
        <f>IF(D108&lt;&gt;0,($C109*(1-$V$1))-$D108,0)</f>
        <v>-37.81</v>
      </c>
      <c r="Z108" s="431" t="str">
        <f>IFERROR(IF(C108&lt;&gt;"",$Y$1/(D106/100)*(C108/100),""),"")</f>
        <v/>
      </c>
      <c r="AA108" s="547">
        <f>IFERROR($AA$1/(D108/100)*(C106/100),"")</f>
        <v>114638.9843956625</v>
      </c>
      <c r="AB108" s="38"/>
    </row>
    <row r="109" spans="1:29" ht="12.75" hidden="1" customHeight="1">
      <c r="A109" s="399" t="s">
        <v>230</v>
      </c>
      <c r="B109" s="316"/>
      <c r="C109" s="315"/>
      <c r="D109" s="728"/>
      <c r="E109" s="729"/>
      <c r="F109" s="317"/>
      <c r="G109" s="449"/>
      <c r="H109" s="312"/>
      <c r="I109" s="303"/>
      <c r="J109" s="303"/>
      <c r="K109" s="344">
        <v>35.875</v>
      </c>
      <c r="L109" s="310"/>
      <c r="M109" s="307"/>
      <c r="N109" s="310"/>
      <c r="O109" s="386"/>
      <c r="P109" s="396">
        <v>108</v>
      </c>
      <c r="Q109" s="349">
        <v>0</v>
      </c>
      <c r="R109" s="367">
        <v>0</v>
      </c>
      <c r="S109" s="369">
        <v>0</v>
      </c>
      <c r="T109" s="328">
        <v>0</v>
      </c>
      <c r="U109" s="360">
        <v>0</v>
      </c>
      <c r="V109" s="414">
        <v>0</v>
      </c>
      <c r="W109" s="678">
        <f>V108*(F108/100)</f>
        <v>0</v>
      </c>
      <c r="X109" s="689"/>
      <c r="Y109" s="687" t="str">
        <f>IFERROR(INT($AA$1/(F108/100)),"")</f>
        <v/>
      </c>
      <c r="Z109" s="430" t="str">
        <f>IFERROR(IF(C109&lt;&gt;"",$Y$1/(D107/100)*(C109/100),""),"")</f>
        <v/>
      </c>
      <c r="AA109" s="549" t="str">
        <f>IFERROR($AA$1/(D109/100)*(C107/100),"")</f>
        <v/>
      </c>
      <c r="AB109" s="38"/>
    </row>
    <row r="110" spans="1:29" ht="12.75" customHeight="1">
      <c r="A110" s="601" t="s">
        <v>557</v>
      </c>
      <c r="B110" s="331">
        <v>1573</v>
      </c>
      <c r="C110" s="433">
        <v>37.11</v>
      </c>
      <c r="D110" s="342">
        <v>37.700000000000003</v>
      </c>
      <c r="E110" s="331">
        <v>956</v>
      </c>
      <c r="F110" s="701">
        <v>37.14</v>
      </c>
      <c r="G110" s="450">
        <v>-9.4999999999999998E-3</v>
      </c>
      <c r="H110" s="318">
        <v>37.5</v>
      </c>
      <c r="I110" s="304">
        <v>38.137</v>
      </c>
      <c r="J110" s="304">
        <v>37.11</v>
      </c>
      <c r="K110" s="347">
        <v>37.5</v>
      </c>
      <c r="L110" s="330">
        <v>41620</v>
      </c>
      <c r="M110" s="308">
        <v>110993</v>
      </c>
      <c r="N110" s="330">
        <v>108</v>
      </c>
      <c r="O110" s="387">
        <v>45330.685266203705</v>
      </c>
      <c r="P110" s="397">
        <v>109</v>
      </c>
      <c r="Q110" s="350">
        <v>0</v>
      </c>
      <c r="R110" s="368">
        <v>0</v>
      </c>
      <c r="S110" s="374">
        <v>0</v>
      </c>
      <c r="T110" s="327">
        <v>0</v>
      </c>
      <c r="U110" s="359">
        <v>0</v>
      </c>
      <c r="V110" s="665">
        <v>0</v>
      </c>
      <c r="W110" s="666">
        <f t="shared" ref="W110" si="39">(V110*X110)</f>
        <v>0</v>
      </c>
      <c r="X110" s="667"/>
      <c r="Y110" s="662">
        <f>IF(D110&lt;&gt;0,($C111*(1-$V$1))-$D110,0)</f>
        <v>-0.70000000000000284</v>
      </c>
      <c r="Z110" s="429">
        <f>IFERROR(IF(C110&lt;&gt;"",$Y$1/(D106/100)*(C110/100),""),"")</f>
        <v>102.40772680234564</v>
      </c>
      <c r="AA110" s="548">
        <f>IFERROR($Z$1/(D110/100)*(C106/100),"")</f>
        <v>114973.47480106101</v>
      </c>
      <c r="AB110" s="38"/>
    </row>
    <row r="111" spans="1:29" ht="12.75" customHeight="1">
      <c r="A111" s="652" t="s">
        <v>231</v>
      </c>
      <c r="B111" s="653">
        <v>8263</v>
      </c>
      <c r="C111" s="625">
        <v>37</v>
      </c>
      <c r="D111" s="727">
        <v>37.200000000000003</v>
      </c>
      <c r="E111" s="642">
        <v>17573</v>
      </c>
      <c r="F111" s="654">
        <v>37</v>
      </c>
      <c r="G111" s="655">
        <v>-1.2E-2</v>
      </c>
      <c r="H111" s="629">
        <v>37.4</v>
      </c>
      <c r="I111" s="630">
        <v>38</v>
      </c>
      <c r="J111" s="630">
        <v>37</v>
      </c>
      <c r="K111" s="658">
        <v>37.450000000000003</v>
      </c>
      <c r="L111" s="613">
        <v>168129</v>
      </c>
      <c r="M111" s="632">
        <v>450310</v>
      </c>
      <c r="N111" s="613">
        <v>258</v>
      </c>
      <c r="O111" s="614">
        <v>45330.703356481485</v>
      </c>
      <c r="P111" s="396">
        <v>110</v>
      </c>
      <c r="Q111" s="616">
        <v>0</v>
      </c>
      <c r="R111" s="656">
        <v>0</v>
      </c>
      <c r="S111" s="618">
        <v>0</v>
      </c>
      <c r="T111" s="635">
        <v>0</v>
      </c>
      <c r="U111" s="598">
        <v>0</v>
      </c>
      <c r="V111" s="668">
        <v>0</v>
      </c>
      <c r="W111" s="675">
        <f>V110*(F110/100)</f>
        <v>0</v>
      </c>
      <c r="X111" s="669"/>
      <c r="Y111" s="663">
        <f>IFERROR(INT($Z$1/(F110/100)),"")</f>
        <v>269</v>
      </c>
      <c r="Z111" s="646">
        <f>IFERROR(IF(C111&lt;&gt;"",$Y$1/(D107/100)*(C111/100),""),"")</f>
        <v>100.93203000681973</v>
      </c>
      <c r="AA111" s="657">
        <f>IFERROR($Z$1/(D111/100)*(C107/100),"")</f>
        <v>118145.16129032255</v>
      </c>
      <c r="AB111" s="38"/>
    </row>
    <row r="112" spans="1:29" ht="12.75" customHeight="1">
      <c r="A112" s="365" t="s">
        <v>549</v>
      </c>
      <c r="B112" s="331">
        <v>1010</v>
      </c>
      <c r="C112" s="433">
        <v>49000</v>
      </c>
      <c r="D112" s="342">
        <v>49300</v>
      </c>
      <c r="E112" s="331">
        <v>10</v>
      </c>
      <c r="F112" s="376">
        <v>49060</v>
      </c>
      <c r="G112" s="446">
        <v>-3.4200000000000001E-2</v>
      </c>
      <c r="H112" s="313">
        <v>51290</v>
      </c>
      <c r="I112" s="305">
        <v>51290</v>
      </c>
      <c r="J112" s="305">
        <v>48600</v>
      </c>
      <c r="K112" s="346">
        <v>50800</v>
      </c>
      <c r="L112" s="337">
        <v>62501527</v>
      </c>
      <c r="M112" s="309">
        <v>126223</v>
      </c>
      <c r="N112" s="337">
        <v>329</v>
      </c>
      <c r="O112" s="385">
        <v>45330.683495370373</v>
      </c>
      <c r="P112" s="397">
        <v>111</v>
      </c>
      <c r="Q112" s="352">
        <v>0</v>
      </c>
      <c r="R112" s="366">
        <v>0</v>
      </c>
      <c r="S112" s="372">
        <v>0</v>
      </c>
      <c r="T112" s="329">
        <v>0</v>
      </c>
      <c r="U112" s="650">
        <v>0</v>
      </c>
      <c r="V112" s="674">
        <v>151</v>
      </c>
      <c r="W112" s="670">
        <f t="shared" ref="W112" si="40">(V112*X112)</f>
        <v>78520</v>
      </c>
      <c r="X112" s="671">
        <v>520</v>
      </c>
      <c r="Y112" s="593">
        <f>IF(D112&lt;&gt;0,($C113*(1-$V$1))-$D112,0)</f>
        <v>590</v>
      </c>
      <c r="Z112" s="726"/>
      <c r="AA112" s="464"/>
      <c r="AB112" s="38"/>
    </row>
    <row r="113" spans="1:28" ht="12.75" customHeight="1">
      <c r="A113" s="364" t="s">
        <v>186</v>
      </c>
      <c r="B113" s="316">
        <v>144</v>
      </c>
      <c r="C113" s="315">
        <v>49890</v>
      </c>
      <c r="D113" s="728">
        <v>50050</v>
      </c>
      <c r="E113" s="729">
        <v>2447</v>
      </c>
      <c r="F113" s="317">
        <v>49890</v>
      </c>
      <c r="G113" s="449">
        <v>-1.46E-2</v>
      </c>
      <c r="H113" s="312">
        <v>49500</v>
      </c>
      <c r="I113" s="303">
        <v>51800</v>
      </c>
      <c r="J113" s="303">
        <v>49500</v>
      </c>
      <c r="K113" s="344">
        <v>50630</v>
      </c>
      <c r="L113" s="310">
        <v>379302679</v>
      </c>
      <c r="M113" s="307">
        <v>757593</v>
      </c>
      <c r="N113" s="310">
        <v>743</v>
      </c>
      <c r="O113" s="386">
        <v>45330.708611111113</v>
      </c>
      <c r="P113" s="396">
        <v>112</v>
      </c>
      <c r="Q113" s="349">
        <v>0</v>
      </c>
      <c r="R113" s="367">
        <v>0</v>
      </c>
      <c r="S113" s="369">
        <v>0</v>
      </c>
      <c r="T113" s="328">
        <v>0</v>
      </c>
      <c r="U113" s="360">
        <v>0</v>
      </c>
      <c r="V113" s="672">
        <v>0</v>
      </c>
      <c r="W113" s="676">
        <f>V112*(F112/100)</f>
        <v>74080.600000000006</v>
      </c>
      <c r="X113" s="673"/>
      <c r="Y113" s="664">
        <f>IFERROR(INT($Y$1/(F112/100)),"")</f>
        <v>244</v>
      </c>
      <c r="Z113" s="592"/>
      <c r="AA113" s="465"/>
      <c r="AB113" s="38"/>
    </row>
    <row r="114" spans="1:28" ht="12.75" hidden="1" customHeight="1">
      <c r="A114" s="319" t="s">
        <v>550</v>
      </c>
      <c r="B114" s="331"/>
      <c r="C114" s="433"/>
      <c r="D114" s="342"/>
      <c r="E114" s="331"/>
      <c r="F114" s="701"/>
      <c r="G114" s="450"/>
      <c r="H114" s="318"/>
      <c r="I114" s="304"/>
      <c r="J114" s="304"/>
      <c r="K114" s="347">
        <v>22</v>
      </c>
      <c r="L114" s="330"/>
      <c r="M114" s="308"/>
      <c r="N114" s="330"/>
      <c r="O114" s="387"/>
      <c r="P114" s="397">
        <v>113</v>
      </c>
      <c r="Q114" s="350">
        <v>0</v>
      </c>
      <c r="R114" s="368">
        <v>0</v>
      </c>
      <c r="S114" s="374">
        <v>0</v>
      </c>
      <c r="T114" s="327">
        <v>0</v>
      </c>
      <c r="U114" s="359">
        <v>0</v>
      </c>
      <c r="V114" s="415"/>
      <c r="W114" s="677">
        <f t="shared" ref="W114" si="41">(V114*X114)</f>
        <v>0</v>
      </c>
      <c r="X114" s="688"/>
      <c r="Y114" s="679">
        <f>IF(D114&lt;&gt;0,($C115*(1-$V$1))-$D114,0)</f>
        <v>0</v>
      </c>
      <c r="Z114" s="431" t="str">
        <f>IFERROR(IF(C114&lt;&gt;"",$Y$1/(D112/100)*(C114/100),""),"")</f>
        <v/>
      </c>
      <c r="AA114" s="547" t="str">
        <f>IFERROR($AA$1/(D114/100)*(C112/100),"")</f>
        <v/>
      </c>
      <c r="AB114" s="38"/>
    </row>
    <row r="115" spans="1:28" ht="12.75" hidden="1" customHeight="1">
      <c r="A115" s="399" t="s">
        <v>238</v>
      </c>
      <c r="B115" s="316"/>
      <c r="C115" s="315"/>
      <c r="D115" s="728"/>
      <c r="E115" s="729"/>
      <c r="F115" s="317"/>
      <c r="G115" s="449"/>
      <c r="H115" s="312"/>
      <c r="I115" s="303"/>
      <c r="J115" s="303"/>
      <c r="K115" s="344">
        <v>38</v>
      </c>
      <c r="L115" s="310"/>
      <c r="M115" s="307"/>
      <c r="N115" s="310"/>
      <c r="O115" s="386"/>
      <c r="P115" s="396">
        <v>114</v>
      </c>
      <c r="Q115" s="349">
        <v>0</v>
      </c>
      <c r="R115" s="367">
        <v>0</v>
      </c>
      <c r="S115" s="369">
        <v>0</v>
      </c>
      <c r="T115" s="328">
        <v>0</v>
      </c>
      <c r="U115" s="360">
        <v>0</v>
      </c>
      <c r="V115" s="414">
        <v>0</v>
      </c>
      <c r="W115" s="678">
        <f>V114*(F114/100)</f>
        <v>0</v>
      </c>
      <c r="X115" s="689"/>
      <c r="Y115" s="687" t="str">
        <f>IFERROR(INT($AA$1/(F114/100)),"")</f>
        <v/>
      </c>
      <c r="Z115" s="430" t="str">
        <f>IFERROR(IF(C115&lt;&gt;"",$Y$1/(D113/100)*(C115/100),""),"")</f>
        <v/>
      </c>
      <c r="AA115" s="549" t="str">
        <f>IFERROR($AA$1/(D115/100)*(C113/100),"")</f>
        <v/>
      </c>
      <c r="AB115" s="38"/>
    </row>
    <row r="116" spans="1:28" ht="12.75" customHeight="1">
      <c r="A116" s="601" t="s">
        <v>551</v>
      </c>
      <c r="B116" s="331">
        <v>1000</v>
      </c>
      <c r="C116" s="433">
        <v>41.752000000000002</v>
      </c>
      <c r="D116" s="342">
        <v>42.11</v>
      </c>
      <c r="E116" s="331">
        <v>277</v>
      </c>
      <c r="F116" s="701">
        <v>42.109000000000002</v>
      </c>
      <c r="G116" s="450">
        <v>-3.6299999999999999E-2</v>
      </c>
      <c r="H116" s="318">
        <v>41.8</v>
      </c>
      <c r="I116" s="304">
        <v>42.6</v>
      </c>
      <c r="J116" s="304">
        <v>41.6</v>
      </c>
      <c r="K116" s="347">
        <v>43.698</v>
      </c>
      <c r="L116" s="330">
        <v>25670</v>
      </c>
      <c r="M116" s="308">
        <v>60896</v>
      </c>
      <c r="N116" s="330">
        <v>95</v>
      </c>
      <c r="O116" s="387">
        <v>45330.687777777777</v>
      </c>
      <c r="P116" s="397">
        <v>115</v>
      </c>
      <c r="Q116" s="350">
        <v>0</v>
      </c>
      <c r="R116" s="368">
        <v>0</v>
      </c>
      <c r="S116" s="374">
        <v>0</v>
      </c>
      <c r="T116" s="327">
        <v>0</v>
      </c>
      <c r="U116" s="359">
        <v>0</v>
      </c>
      <c r="V116" s="665">
        <v>151</v>
      </c>
      <c r="W116" s="666">
        <f t="shared" ref="W116" si="42">(V116*X116)</f>
        <v>63.268999999999998</v>
      </c>
      <c r="X116" s="667">
        <v>0.41899999999999998</v>
      </c>
      <c r="Y116" s="662">
        <f>IF(D116&lt;&gt;0,($C117*(1-$V$1))-$D116,0)</f>
        <v>-0.39999999999999858</v>
      </c>
      <c r="Z116" s="429">
        <f>IFERROR(IF(C116&lt;&gt;"",$Y$1/(D112/100)*(C116/100),""),"")</f>
        <v>101.62758620689655</v>
      </c>
      <c r="AA116" s="548">
        <f>IFERROR($Z$1/(D116/100)*(C112/100),"")</f>
        <v>116361.90928520542</v>
      </c>
      <c r="AB116" s="38"/>
    </row>
    <row r="117" spans="1:28" ht="12.75" customHeight="1">
      <c r="A117" s="652" t="s">
        <v>239</v>
      </c>
      <c r="B117" s="653">
        <v>3</v>
      </c>
      <c r="C117" s="625">
        <v>41.71</v>
      </c>
      <c r="D117" s="727">
        <v>42.05</v>
      </c>
      <c r="E117" s="642">
        <v>300</v>
      </c>
      <c r="F117" s="654">
        <v>41.95</v>
      </c>
      <c r="G117" s="655">
        <v>5.8999999999999999E-3</v>
      </c>
      <c r="H117" s="629">
        <v>42</v>
      </c>
      <c r="I117" s="630">
        <v>42.3</v>
      </c>
      <c r="J117" s="630">
        <v>41.5</v>
      </c>
      <c r="K117" s="658">
        <v>41.701999999999998</v>
      </c>
      <c r="L117" s="613">
        <v>52902</v>
      </c>
      <c r="M117" s="632">
        <v>126429</v>
      </c>
      <c r="N117" s="613">
        <v>176</v>
      </c>
      <c r="O117" s="614">
        <v>45330.708668981482</v>
      </c>
      <c r="P117" s="396">
        <v>116</v>
      </c>
      <c r="Q117" s="616">
        <v>0</v>
      </c>
      <c r="R117" s="656">
        <v>0</v>
      </c>
      <c r="S117" s="618">
        <v>0</v>
      </c>
      <c r="T117" s="635">
        <v>0</v>
      </c>
      <c r="U117" s="598">
        <v>0</v>
      </c>
      <c r="V117" s="668">
        <v>0</v>
      </c>
      <c r="W117" s="733">
        <f>V116*(F116/100)</f>
        <v>63.584590000000006</v>
      </c>
      <c r="X117" s="669"/>
      <c r="Y117" s="663">
        <f>IFERROR(INT($Z$1/(F116/100)),"")</f>
        <v>237</v>
      </c>
      <c r="Z117" s="646">
        <f>IFERROR(IF(C117&lt;&gt;"",$Y$1/(D113/100)*(C117/100),""),"")</f>
        <v>100.00399600399601</v>
      </c>
      <c r="AA117" s="657">
        <f>IFERROR($Z$1/(D117/100)*(C113/100),"")</f>
        <v>118644.47086801426</v>
      </c>
      <c r="AB117" s="38"/>
    </row>
    <row r="118" spans="1:28" ht="12.75" customHeight="1">
      <c r="A118" s="365" t="s">
        <v>552</v>
      </c>
      <c r="B118" s="331">
        <v>500</v>
      </c>
      <c r="C118" s="433">
        <v>39980</v>
      </c>
      <c r="D118" s="342">
        <v>40200</v>
      </c>
      <c r="E118" s="331">
        <v>6711</v>
      </c>
      <c r="F118" s="376">
        <v>40200</v>
      </c>
      <c r="G118" s="446">
        <v>-3.5699999999999996E-2</v>
      </c>
      <c r="H118" s="313">
        <v>42850</v>
      </c>
      <c r="I118" s="305">
        <v>43000</v>
      </c>
      <c r="J118" s="305">
        <v>40000</v>
      </c>
      <c r="K118" s="346">
        <v>41690</v>
      </c>
      <c r="L118" s="337">
        <v>500769811</v>
      </c>
      <c r="M118" s="309">
        <v>1228704</v>
      </c>
      <c r="N118" s="337">
        <v>316</v>
      </c>
      <c r="O118" s="385">
        <v>45330.687523148146</v>
      </c>
      <c r="P118" s="397">
        <v>117</v>
      </c>
      <c r="Q118" s="352">
        <v>0</v>
      </c>
      <c r="R118" s="366">
        <v>0</v>
      </c>
      <c r="S118" s="372">
        <v>0</v>
      </c>
      <c r="T118" s="329">
        <v>0</v>
      </c>
      <c r="U118" s="650">
        <v>0</v>
      </c>
      <c r="V118" s="674"/>
      <c r="W118" s="670">
        <f t="shared" ref="W118" si="43">(V118*X118)</f>
        <v>0</v>
      </c>
      <c r="X118" s="671"/>
      <c r="Y118" s="593">
        <f>IF(D118&lt;&gt;0,($C119*(1-$V$1))-$D118,0)</f>
        <v>-70</v>
      </c>
      <c r="Z118" s="726"/>
      <c r="AA118" s="464"/>
      <c r="AB118" s="38"/>
    </row>
    <row r="119" spans="1:28" ht="12.75" customHeight="1">
      <c r="A119" s="364" t="s">
        <v>184</v>
      </c>
      <c r="B119" s="316">
        <v>90</v>
      </c>
      <c r="C119" s="315">
        <v>40130</v>
      </c>
      <c r="D119" s="728">
        <v>40200</v>
      </c>
      <c r="E119" s="729">
        <v>8323</v>
      </c>
      <c r="F119" s="317">
        <v>40200</v>
      </c>
      <c r="G119" s="449">
        <v>-3.1300000000000001E-2</v>
      </c>
      <c r="H119" s="312">
        <v>41500</v>
      </c>
      <c r="I119" s="303">
        <v>43005</v>
      </c>
      <c r="J119" s="303">
        <v>40200</v>
      </c>
      <c r="K119" s="344">
        <v>41500</v>
      </c>
      <c r="L119" s="310">
        <v>389920498</v>
      </c>
      <c r="M119" s="307">
        <v>951239</v>
      </c>
      <c r="N119" s="310">
        <v>929</v>
      </c>
      <c r="O119" s="386">
        <v>45330.708414351851</v>
      </c>
      <c r="P119" s="396">
        <v>118</v>
      </c>
      <c r="Q119" s="349">
        <v>0</v>
      </c>
      <c r="R119" s="367">
        <v>0</v>
      </c>
      <c r="S119" s="369">
        <v>0</v>
      </c>
      <c r="T119" s="328">
        <v>0</v>
      </c>
      <c r="U119" s="360">
        <v>0</v>
      </c>
      <c r="V119" s="672">
        <v>0</v>
      </c>
      <c r="W119" s="676">
        <f>V118*(F118/100)</f>
        <v>0</v>
      </c>
      <c r="X119" s="673"/>
      <c r="Y119" s="664">
        <f>IFERROR(INT($Y$1/(F118/100)),"")</f>
        <v>298</v>
      </c>
      <c r="Z119" s="592"/>
      <c r="AA119" s="465"/>
      <c r="AB119" s="38"/>
    </row>
    <row r="120" spans="1:28" ht="12.75" hidden="1" customHeight="1">
      <c r="A120" s="319" t="s">
        <v>553</v>
      </c>
      <c r="B120" s="331"/>
      <c r="C120" s="433"/>
      <c r="D120" s="342"/>
      <c r="E120" s="331"/>
      <c r="F120" s="701"/>
      <c r="G120" s="450"/>
      <c r="H120" s="318"/>
      <c r="I120" s="304"/>
      <c r="J120" s="304"/>
      <c r="K120" s="347">
        <v>26.437999999999999</v>
      </c>
      <c r="L120" s="330"/>
      <c r="M120" s="308"/>
      <c r="N120" s="330"/>
      <c r="O120" s="387"/>
      <c r="P120" s="397">
        <v>119</v>
      </c>
      <c r="Q120" s="350">
        <v>0</v>
      </c>
      <c r="R120" s="368">
        <v>0</v>
      </c>
      <c r="S120" s="374">
        <v>0</v>
      </c>
      <c r="T120" s="327">
        <v>0</v>
      </c>
      <c r="U120" s="359">
        <v>0</v>
      </c>
      <c r="V120" s="415"/>
      <c r="W120" s="677">
        <f t="shared" ref="W120" si="44">(V120*X120)</f>
        <v>0</v>
      </c>
      <c r="X120" s="688"/>
      <c r="Y120" s="679">
        <f>IF(D120&lt;&gt;0,($C121*(1-$V$1))-$D120,0)</f>
        <v>0</v>
      </c>
      <c r="Z120" s="431" t="str">
        <f>IFERROR(IF(C120&lt;&gt;"",$Y$1/(D118/100)*(C120/100),""),"")</f>
        <v/>
      </c>
      <c r="AA120" s="547" t="str">
        <f>IFERROR($AA$1/(D120/100)*(C118/100),"")</f>
        <v/>
      </c>
      <c r="AB120" s="38"/>
    </row>
    <row r="121" spans="1:28" ht="12.75" hidden="1" customHeight="1">
      <c r="A121" s="399" t="s">
        <v>240</v>
      </c>
      <c r="B121" s="316"/>
      <c r="C121" s="315"/>
      <c r="D121" s="728"/>
      <c r="E121" s="729"/>
      <c r="F121" s="317"/>
      <c r="G121" s="449"/>
      <c r="H121" s="312"/>
      <c r="I121" s="303"/>
      <c r="J121" s="303"/>
      <c r="K121" s="344">
        <v>32.188000000000002</v>
      </c>
      <c r="L121" s="310"/>
      <c r="M121" s="307"/>
      <c r="N121" s="310"/>
      <c r="O121" s="386"/>
      <c r="P121" s="396">
        <v>120</v>
      </c>
      <c r="Q121" s="349">
        <v>0</v>
      </c>
      <c r="R121" s="367">
        <v>0</v>
      </c>
      <c r="S121" s="369">
        <v>0</v>
      </c>
      <c r="T121" s="328">
        <v>0</v>
      </c>
      <c r="U121" s="360">
        <v>0</v>
      </c>
      <c r="V121" s="414">
        <v>0</v>
      </c>
      <c r="W121" s="678">
        <f>V120*(F120/100)</f>
        <v>0</v>
      </c>
      <c r="X121" s="689"/>
      <c r="Y121" s="687" t="str">
        <f>IFERROR(INT($AA$1/(F120/100)),"")</f>
        <v/>
      </c>
      <c r="Z121" s="430" t="str">
        <f>IFERROR(IF(C121&lt;&gt;"",$Y$1/(D119/100)*(C121/100),""),"")</f>
        <v/>
      </c>
      <c r="AA121" s="549" t="str">
        <f>IFERROR($AA$1/(D121/100)*(C119/100),"")</f>
        <v/>
      </c>
      <c r="AB121" s="38"/>
    </row>
    <row r="122" spans="1:28" ht="12.75" customHeight="1">
      <c r="A122" s="601" t="s">
        <v>554</v>
      </c>
      <c r="B122" s="331">
        <v>231750</v>
      </c>
      <c r="C122" s="433">
        <v>34.4</v>
      </c>
      <c r="D122" s="342">
        <v>34.700000000000003</v>
      </c>
      <c r="E122" s="331">
        <v>200</v>
      </c>
      <c r="F122" s="701">
        <v>34.511000000000003</v>
      </c>
      <c r="G122" s="450">
        <v>-7.0999999999999995E-3</v>
      </c>
      <c r="H122" s="318">
        <v>34.229999999999997</v>
      </c>
      <c r="I122" s="304">
        <v>35.299999999999997</v>
      </c>
      <c r="J122" s="304">
        <v>34.200000000000003</v>
      </c>
      <c r="K122" s="347">
        <v>34.76</v>
      </c>
      <c r="L122" s="330">
        <v>73041</v>
      </c>
      <c r="M122" s="308">
        <v>211192</v>
      </c>
      <c r="N122" s="330">
        <v>144</v>
      </c>
      <c r="O122" s="387">
        <v>45330.684317129628</v>
      </c>
      <c r="P122" s="397">
        <v>121</v>
      </c>
      <c r="Q122" s="350">
        <v>0</v>
      </c>
      <c r="R122" s="368">
        <v>0</v>
      </c>
      <c r="S122" s="374">
        <v>0</v>
      </c>
      <c r="T122" s="327">
        <v>0</v>
      </c>
      <c r="U122" s="359">
        <v>0</v>
      </c>
      <c r="V122" s="665">
        <v>0</v>
      </c>
      <c r="W122" s="666">
        <f t="shared" ref="W122" si="45">(V122*X122)</f>
        <v>0</v>
      </c>
      <c r="X122" s="667"/>
      <c r="Y122" s="662">
        <f>IF(D122&lt;&gt;0,($C123*(1-$V$1))-$D122,0)</f>
        <v>-0.70000000000000284</v>
      </c>
      <c r="Z122" s="429">
        <f>IFERROR(IF(C122&lt;&gt;"",$Y$1/(D118/100)*(C122/100),""),"")</f>
        <v>102.6865671641791</v>
      </c>
      <c r="AA122" s="548">
        <f>IFERROR($Z$1/(D122/100)*(C118/100),"")</f>
        <v>115216.13832853026</v>
      </c>
      <c r="AB122" s="38"/>
    </row>
    <row r="123" spans="1:28" ht="12.75" customHeight="1">
      <c r="A123" s="652" t="s">
        <v>241</v>
      </c>
      <c r="B123" s="653">
        <v>8559</v>
      </c>
      <c r="C123" s="625">
        <v>34</v>
      </c>
      <c r="D123" s="727">
        <v>34.5</v>
      </c>
      <c r="E123" s="642">
        <v>3800</v>
      </c>
      <c r="F123" s="654">
        <v>34</v>
      </c>
      <c r="G123" s="655">
        <v>-2.0099999999999996E-2</v>
      </c>
      <c r="H123" s="629">
        <v>34.000999999999998</v>
      </c>
      <c r="I123" s="630">
        <v>35.049999999999997</v>
      </c>
      <c r="J123" s="630">
        <v>34</v>
      </c>
      <c r="K123" s="658">
        <v>34.700000000000003</v>
      </c>
      <c r="L123" s="613">
        <v>121164</v>
      </c>
      <c r="M123" s="632">
        <v>352045</v>
      </c>
      <c r="N123" s="613">
        <v>380</v>
      </c>
      <c r="O123" s="614">
        <v>45330.701354166667</v>
      </c>
      <c r="P123" s="396">
        <v>122</v>
      </c>
      <c r="Q123" s="616">
        <v>0</v>
      </c>
      <c r="R123" s="656">
        <v>0</v>
      </c>
      <c r="S123" s="618">
        <v>0</v>
      </c>
      <c r="T123" s="635">
        <v>0</v>
      </c>
      <c r="U123" s="598">
        <v>0</v>
      </c>
      <c r="V123" s="668">
        <v>0</v>
      </c>
      <c r="W123" s="675">
        <f>V122*(F122/100)</f>
        <v>0</v>
      </c>
      <c r="X123" s="669"/>
      <c r="Y123" s="663">
        <f>IFERROR(INT($Z$1/(F122/100)),"")</f>
        <v>289</v>
      </c>
      <c r="Z123" s="646">
        <f>IFERROR(IF(C123&lt;&gt;"",$Y$1/(D119/100)*(C123/100),""),"")</f>
        <v>101.49253731343285</v>
      </c>
      <c r="AA123" s="657">
        <f>IFERROR($Z$1/(D123/100)*(C119/100),"")</f>
        <v>116318.84057971016</v>
      </c>
      <c r="AB123" s="38"/>
    </row>
    <row r="124" spans="1:28" ht="12.75" customHeight="1">
      <c r="A124" s="365" t="s">
        <v>558</v>
      </c>
      <c r="B124" s="331">
        <v>842</v>
      </c>
      <c r="C124" s="433">
        <v>39000</v>
      </c>
      <c r="D124" s="342">
        <v>40200</v>
      </c>
      <c r="E124" s="331">
        <v>13500</v>
      </c>
      <c r="F124" s="376">
        <v>39630</v>
      </c>
      <c r="G124" s="446">
        <v>-3.3399999999999999E-2</v>
      </c>
      <c r="H124" s="313">
        <v>41220</v>
      </c>
      <c r="I124" s="305">
        <v>41585</v>
      </c>
      <c r="J124" s="305">
        <v>39000</v>
      </c>
      <c r="K124" s="346">
        <v>41000</v>
      </c>
      <c r="L124" s="337">
        <v>178874664</v>
      </c>
      <c r="M124" s="309">
        <v>443382</v>
      </c>
      <c r="N124" s="337">
        <v>252</v>
      </c>
      <c r="O124" s="385">
        <v>45330.683067129627</v>
      </c>
      <c r="P124" s="397">
        <v>123</v>
      </c>
      <c r="Q124" s="352">
        <v>0</v>
      </c>
      <c r="R124" s="366">
        <v>0</v>
      </c>
      <c r="S124" s="372">
        <v>0</v>
      </c>
      <c r="T124" s="329">
        <v>0</v>
      </c>
      <c r="U124" s="650">
        <v>0</v>
      </c>
      <c r="V124" s="674"/>
      <c r="W124" s="670">
        <f t="shared" ref="W124" si="46">(V124*X124)</f>
        <v>0</v>
      </c>
      <c r="X124" s="671"/>
      <c r="Y124" s="593">
        <f>IF(D124&lt;&gt;0,($C125*(1-$V$1))-$D124,0)</f>
        <v>-230</v>
      </c>
      <c r="Z124" s="726"/>
      <c r="AA124" s="464"/>
      <c r="AB124" s="38"/>
    </row>
    <row r="125" spans="1:28" ht="12.75" customHeight="1">
      <c r="A125" s="364" t="s">
        <v>185</v>
      </c>
      <c r="B125" s="316">
        <v>1</v>
      </c>
      <c r="C125" s="315">
        <v>39970</v>
      </c>
      <c r="D125" s="728">
        <v>40000</v>
      </c>
      <c r="E125" s="729">
        <v>3014</v>
      </c>
      <c r="F125" s="317">
        <v>40000</v>
      </c>
      <c r="G125" s="449">
        <v>-2.9100000000000001E-2</v>
      </c>
      <c r="H125" s="312">
        <v>41200</v>
      </c>
      <c r="I125" s="303">
        <v>42180</v>
      </c>
      <c r="J125" s="303">
        <v>40000</v>
      </c>
      <c r="K125" s="344">
        <v>41200</v>
      </c>
      <c r="L125" s="310">
        <v>410326137</v>
      </c>
      <c r="M125" s="307">
        <v>1011480</v>
      </c>
      <c r="N125" s="310">
        <v>490</v>
      </c>
      <c r="O125" s="386">
        <v>45330.708356481482</v>
      </c>
      <c r="P125" s="396">
        <v>124</v>
      </c>
      <c r="Q125" s="349">
        <v>0</v>
      </c>
      <c r="R125" s="367">
        <v>0</v>
      </c>
      <c r="S125" s="369">
        <v>0</v>
      </c>
      <c r="T125" s="328">
        <v>0</v>
      </c>
      <c r="U125" s="360">
        <v>0</v>
      </c>
      <c r="V125" s="672">
        <v>0</v>
      </c>
      <c r="W125" s="676">
        <f>V124*(F124/100)</f>
        <v>0</v>
      </c>
      <c r="X125" s="673"/>
      <c r="Y125" s="664">
        <f>IFERROR(INT($Y$1/(F124/100)),"")</f>
        <v>302</v>
      </c>
      <c r="Z125" s="592"/>
      <c r="AA125" s="465"/>
      <c r="AB125" s="38"/>
    </row>
    <row r="126" spans="1:28" ht="12.75" hidden="1" customHeight="1">
      <c r="A126" s="319" t="s">
        <v>559</v>
      </c>
      <c r="B126" s="331"/>
      <c r="C126" s="433"/>
      <c r="D126" s="342"/>
      <c r="E126" s="331"/>
      <c r="F126" s="701"/>
      <c r="G126" s="450"/>
      <c r="H126" s="318"/>
      <c r="I126" s="304"/>
      <c r="J126" s="304"/>
      <c r="K126" s="347">
        <v>23.22</v>
      </c>
      <c r="L126" s="330"/>
      <c r="M126" s="308"/>
      <c r="N126" s="330"/>
      <c r="O126" s="387"/>
      <c r="P126" s="397">
        <v>125</v>
      </c>
      <c r="Q126" s="350">
        <v>0</v>
      </c>
      <c r="R126" s="368">
        <v>0</v>
      </c>
      <c r="S126" s="374">
        <v>0</v>
      </c>
      <c r="T126" s="327">
        <v>0</v>
      </c>
      <c r="U126" s="359">
        <v>0</v>
      </c>
      <c r="V126" s="415"/>
      <c r="W126" s="677">
        <f t="shared" ref="W126" si="47">(V126*X126)</f>
        <v>0</v>
      </c>
      <c r="X126" s="688"/>
      <c r="Y126" s="679">
        <f>IF(D126&lt;&gt;0,($C127*(1-$V$1))-$D126,0)</f>
        <v>0</v>
      </c>
      <c r="Z126" s="431" t="str">
        <f>IFERROR(IF(C126&lt;&gt;"",$Y$1/(D124/100)*(C126/100),""),"")</f>
        <v/>
      </c>
      <c r="AA126" s="547" t="str">
        <f>IFERROR($AA$1/(D126/100)*(C124/100),"")</f>
        <v/>
      </c>
      <c r="AB126" s="38"/>
    </row>
    <row r="127" spans="1:28" ht="12.75" hidden="1" customHeight="1">
      <c r="A127" s="399" t="s">
        <v>242</v>
      </c>
      <c r="B127" s="316"/>
      <c r="C127" s="315"/>
      <c r="D127" s="728"/>
      <c r="E127" s="729"/>
      <c r="F127" s="317"/>
      <c r="G127" s="449"/>
      <c r="H127" s="312"/>
      <c r="I127" s="303"/>
      <c r="J127" s="303"/>
      <c r="K127" s="344">
        <v>26</v>
      </c>
      <c r="L127" s="310"/>
      <c r="M127" s="307"/>
      <c r="N127" s="310"/>
      <c r="O127" s="386"/>
      <c r="P127" s="396">
        <v>126</v>
      </c>
      <c r="Q127" s="349">
        <v>0</v>
      </c>
      <c r="R127" s="367">
        <v>0</v>
      </c>
      <c r="S127" s="369">
        <v>0</v>
      </c>
      <c r="T127" s="328">
        <v>0</v>
      </c>
      <c r="U127" s="360">
        <v>0</v>
      </c>
      <c r="V127" s="414">
        <v>0</v>
      </c>
      <c r="W127" s="678">
        <f>V126*(F126/100)</f>
        <v>0</v>
      </c>
      <c r="X127" s="689"/>
      <c r="Y127" s="687" t="str">
        <f>IFERROR(INT($AA$1/(F126/100)),"")</f>
        <v/>
      </c>
      <c r="Z127" s="430" t="str">
        <f>IFERROR(IF(C127&lt;&gt;"",$Y$1/(D125/100)*(C127/100),""),"")</f>
        <v/>
      </c>
      <c r="AA127" s="549" t="str">
        <f>IFERROR($AA$1/(D127/100)*(C125/100),"")</f>
        <v/>
      </c>
      <c r="AB127" s="38"/>
    </row>
    <row r="128" spans="1:28" ht="12.75" customHeight="1">
      <c r="A128" s="601" t="s">
        <v>560</v>
      </c>
      <c r="B128" s="331">
        <v>740</v>
      </c>
      <c r="C128" s="433">
        <v>34.1</v>
      </c>
      <c r="D128" s="342">
        <v>34.49</v>
      </c>
      <c r="E128" s="331">
        <v>134</v>
      </c>
      <c r="F128" s="701">
        <v>34.1</v>
      </c>
      <c r="G128" s="450">
        <v>-1.15E-2</v>
      </c>
      <c r="H128" s="318">
        <v>34.5</v>
      </c>
      <c r="I128" s="304">
        <v>34.857999999999997</v>
      </c>
      <c r="J128" s="304">
        <v>34.1</v>
      </c>
      <c r="K128" s="347">
        <v>34.5</v>
      </c>
      <c r="L128" s="330">
        <v>17990</v>
      </c>
      <c r="M128" s="308">
        <v>52382</v>
      </c>
      <c r="N128" s="330">
        <v>84</v>
      </c>
      <c r="O128" s="387">
        <v>45330.68409722222</v>
      </c>
      <c r="P128" s="397">
        <v>127</v>
      </c>
      <c r="Q128" s="350">
        <v>0</v>
      </c>
      <c r="R128" s="368">
        <v>0</v>
      </c>
      <c r="S128" s="374">
        <v>0</v>
      </c>
      <c r="T128" s="327">
        <v>0</v>
      </c>
      <c r="U128" s="359">
        <v>0</v>
      </c>
      <c r="V128" s="665">
        <v>0</v>
      </c>
      <c r="W128" s="666">
        <f t="shared" ref="W128" si="48">(V128*X128)</f>
        <v>0</v>
      </c>
      <c r="X128" s="667"/>
      <c r="Y128" s="662">
        <f>IF(D128&lt;&gt;0,($C129*(1-$V$1))-$D128,0)</f>
        <v>-0.48000000000000398</v>
      </c>
      <c r="Z128" s="429">
        <f>IFERROR(IF(C128&lt;&gt;"",$Y$1/(D124/100)*(C128/100),""),"")</f>
        <v>101.79104477611942</v>
      </c>
      <c r="AA128" s="548">
        <f>IFERROR($Z$1/(D128/100)*(C124/100),"")</f>
        <v>113076.25398666279</v>
      </c>
      <c r="AB128" s="38"/>
    </row>
    <row r="129" spans="1:28" ht="12.75" customHeight="1">
      <c r="A129" s="652" t="s">
        <v>243</v>
      </c>
      <c r="B129" s="653">
        <v>10420</v>
      </c>
      <c r="C129" s="625">
        <v>34.01</v>
      </c>
      <c r="D129" s="727">
        <v>34.799999999999997</v>
      </c>
      <c r="E129" s="642">
        <v>60</v>
      </c>
      <c r="F129" s="654">
        <v>34.296999999999997</v>
      </c>
      <c r="G129" s="655">
        <v>-1.44E-2</v>
      </c>
      <c r="H129" s="629">
        <v>34.01</v>
      </c>
      <c r="I129" s="630">
        <v>35</v>
      </c>
      <c r="J129" s="630">
        <v>34.01</v>
      </c>
      <c r="K129" s="658">
        <v>34.799999999999997</v>
      </c>
      <c r="L129" s="613">
        <v>28116</v>
      </c>
      <c r="M129" s="632">
        <v>81922</v>
      </c>
      <c r="N129" s="613">
        <v>242</v>
      </c>
      <c r="O129" s="614">
        <v>45330.701550925929</v>
      </c>
      <c r="P129" s="396">
        <v>128</v>
      </c>
      <c r="Q129" s="616">
        <v>0</v>
      </c>
      <c r="R129" s="656">
        <v>0</v>
      </c>
      <c r="S129" s="618">
        <v>0</v>
      </c>
      <c r="T129" s="635">
        <v>0</v>
      </c>
      <c r="U129" s="598">
        <v>0</v>
      </c>
      <c r="V129" s="668">
        <v>0</v>
      </c>
      <c r="W129" s="675">
        <f>V128*(F128/100)</f>
        <v>0</v>
      </c>
      <c r="X129" s="669"/>
      <c r="Y129" s="663">
        <f>IFERROR(INT($Z$1/(F128/100)),"")</f>
        <v>293</v>
      </c>
      <c r="Z129" s="646">
        <f>IFERROR(IF(C129&lt;&gt;"",$Y$1/(D125/100)*(C129/100),""),"")</f>
        <v>102.02999999999999</v>
      </c>
      <c r="AA129" s="657">
        <f>IFERROR($Z$1/(D129/100)*(C125/100),"")</f>
        <v>114856.32183908045</v>
      </c>
      <c r="AB129" s="38"/>
    </row>
    <row r="130" spans="1:28" ht="12.75" customHeight="1">
      <c r="A130" s="365" t="s">
        <v>561</v>
      </c>
      <c r="B130" s="331">
        <v>234</v>
      </c>
      <c r="C130" s="433">
        <v>51580</v>
      </c>
      <c r="D130" s="342">
        <v>52510</v>
      </c>
      <c r="E130" s="331">
        <v>628</v>
      </c>
      <c r="F130" s="376">
        <v>51580</v>
      </c>
      <c r="G130" s="446">
        <v>-2.64E-2</v>
      </c>
      <c r="H130" s="313">
        <v>53740</v>
      </c>
      <c r="I130" s="305">
        <v>53740</v>
      </c>
      <c r="J130" s="305">
        <v>51400</v>
      </c>
      <c r="K130" s="346">
        <v>52980</v>
      </c>
      <c r="L130" s="337">
        <v>20141051</v>
      </c>
      <c r="M130" s="309">
        <v>38665</v>
      </c>
      <c r="N130" s="337">
        <v>95</v>
      </c>
      <c r="O130" s="385">
        <v>45330.685300925928</v>
      </c>
      <c r="P130" s="397">
        <v>129</v>
      </c>
      <c r="Q130" s="352">
        <v>0</v>
      </c>
      <c r="R130" s="366">
        <v>0</v>
      </c>
      <c r="S130" s="372">
        <v>0</v>
      </c>
      <c r="T130" s="329">
        <v>0</v>
      </c>
      <c r="U130" s="650">
        <v>0</v>
      </c>
      <c r="V130" s="674"/>
      <c r="W130" s="670">
        <f t="shared" ref="W130" si="49">(V130*X130)</f>
        <v>0</v>
      </c>
      <c r="X130" s="671"/>
      <c r="Y130" s="593">
        <f>IF(D130&lt;&gt;0,($C131*(1-$V$1))-$D130,0)</f>
        <v>-280</v>
      </c>
      <c r="Z130" s="726"/>
      <c r="AA130" s="464"/>
      <c r="AB130" s="38"/>
    </row>
    <row r="131" spans="1:28" ht="12.75" customHeight="1">
      <c r="A131" s="364" t="s">
        <v>187</v>
      </c>
      <c r="B131" s="316">
        <v>1000</v>
      </c>
      <c r="C131" s="315">
        <v>52230</v>
      </c>
      <c r="D131" s="728">
        <v>52520</v>
      </c>
      <c r="E131" s="729">
        <v>709</v>
      </c>
      <c r="F131" s="317">
        <v>52520</v>
      </c>
      <c r="G131" s="449">
        <v>-1.38E-2</v>
      </c>
      <c r="H131" s="312">
        <v>53100</v>
      </c>
      <c r="I131" s="303">
        <v>54850</v>
      </c>
      <c r="J131" s="303">
        <v>52260</v>
      </c>
      <c r="K131" s="344">
        <v>53260</v>
      </c>
      <c r="L131" s="310">
        <v>69665014</v>
      </c>
      <c r="M131" s="307">
        <v>131851</v>
      </c>
      <c r="N131" s="310">
        <v>194</v>
      </c>
      <c r="O131" s="386">
        <v>45330.697268518517</v>
      </c>
      <c r="P131" s="396">
        <v>130</v>
      </c>
      <c r="Q131" s="349">
        <v>0</v>
      </c>
      <c r="R131" s="367">
        <v>0</v>
      </c>
      <c r="S131" s="369">
        <v>0</v>
      </c>
      <c r="T131" s="328">
        <v>0</v>
      </c>
      <c r="U131" s="360">
        <v>0</v>
      </c>
      <c r="V131" s="672">
        <v>0</v>
      </c>
      <c r="W131" s="676">
        <f>V130*(F130/100)</f>
        <v>0</v>
      </c>
      <c r="X131" s="673"/>
      <c r="Y131" s="664">
        <f>IFERROR(INT($Y$1/(F130/100)),"")</f>
        <v>232</v>
      </c>
      <c r="Z131" s="592"/>
      <c r="AA131" s="465"/>
      <c r="AB131" s="38"/>
    </row>
    <row r="132" spans="1:28" ht="12.75" hidden="1" customHeight="1">
      <c r="A132" s="319" t="s">
        <v>562</v>
      </c>
      <c r="B132" s="331"/>
      <c r="C132" s="433"/>
      <c r="D132" s="342"/>
      <c r="E132" s="331"/>
      <c r="F132" s="701"/>
      <c r="G132" s="450"/>
      <c r="H132" s="318"/>
      <c r="I132" s="304"/>
      <c r="J132" s="304"/>
      <c r="K132" s="347"/>
      <c r="L132" s="330"/>
      <c r="M132" s="308"/>
      <c r="N132" s="330"/>
      <c r="O132" s="387"/>
      <c r="P132" s="397">
        <v>131</v>
      </c>
      <c r="Q132" s="350">
        <v>0</v>
      </c>
      <c r="R132" s="368">
        <v>0</v>
      </c>
      <c r="S132" s="374">
        <v>0</v>
      </c>
      <c r="T132" s="327">
        <v>0</v>
      </c>
      <c r="U132" s="359">
        <v>0</v>
      </c>
      <c r="V132" s="415"/>
      <c r="W132" s="677">
        <f t="shared" ref="W132" si="50">(V132*X132)</f>
        <v>0</v>
      </c>
      <c r="X132" s="688"/>
      <c r="Y132" s="679">
        <f>IF(D132&lt;&gt;0,($C133*(1-$V$1))-$D132,0)</f>
        <v>0</v>
      </c>
      <c r="Z132" s="431" t="str">
        <f>IFERROR(IF(C132&lt;&gt;"",$Y$1/(D130/100)*(C132/100),""),"")</f>
        <v/>
      </c>
      <c r="AA132" s="547" t="str">
        <f>IFERROR($Z$1/(D132/100)*(C130/100),"")</f>
        <v/>
      </c>
      <c r="AB132" s="38"/>
    </row>
    <row r="133" spans="1:28" ht="12.75" hidden="1" customHeight="1">
      <c r="A133" s="399" t="s">
        <v>232</v>
      </c>
      <c r="B133" s="316"/>
      <c r="C133" s="315"/>
      <c r="D133" s="728"/>
      <c r="E133" s="729"/>
      <c r="F133" s="317"/>
      <c r="G133" s="449"/>
      <c r="H133" s="312"/>
      <c r="I133" s="303"/>
      <c r="J133" s="303"/>
      <c r="K133" s="344">
        <v>40</v>
      </c>
      <c r="L133" s="310"/>
      <c r="M133" s="307"/>
      <c r="N133" s="310"/>
      <c r="O133" s="386"/>
      <c r="P133" s="396">
        <v>132</v>
      </c>
      <c r="Q133" s="349">
        <v>0</v>
      </c>
      <c r="R133" s="367">
        <v>0</v>
      </c>
      <c r="S133" s="369">
        <v>0</v>
      </c>
      <c r="T133" s="328">
        <v>0</v>
      </c>
      <c r="U133" s="360">
        <v>0</v>
      </c>
      <c r="V133" s="414">
        <v>0</v>
      </c>
      <c r="W133" s="678">
        <f>V132*(F132/100)</f>
        <v>0</v>
      </c>
      <c r="X133" s="689"/>
      <c r="Y133" s="687" t="str">
        <f>IFERROR(INT($AA$1/(F132/100)),"")</f>
        <v/>
      </c>
      <c r="Z133" s="430" t="str">
        <f>IFERROR(IF(C133&lt;&gt;"",$Y$1/(D131/100)*(C133/100),""),"")</f>
        <v/>
      </c>
      <c r="AA133" s="549" t="str">
        <f>IFERROR($Z$1/(D133/100)*(C131/100),"")</f>
        <v/>
      </c>
      <c r="AB133" s="38"/>
    </row>
    <row r="134" spans="1:28" ht="12.75" customHeight="1">
      <c r="A134" s="601" t="s">
        <v>563</v>
      </c>
      <c r="B134" s="331">
        <v>2470</v>
      </c>
      <c r="C134" s="433">
        <v>43.8</v>
      </c>
      <c r="D134" s="342">
        <v>45</v>
      </c>
      <c r="E134" s="331">
        <v>900</v>
      </c>
      <c r="F134" s="701">
        <v>45.5</v>
      </c>
      <c r="G134" s="450">
        <v>3.4000000000000002E-2</v>
      </c>
      <c r="H134" s="318">
        <v>44.5</v>
      </c>
      <c r="I134" s="304">
        <v>45.5</v>
      </c>
      <c r="J134" s="304">
        <v>43.807000000000002</v>
      </c>
      <c r="K134" s="347">
        <v>44</v>
      </c>
      <c r="L134" s="330">
        <v>2493</v>
      </c>
      <c r="M134" s="308">
        <v>5566</v>
      </c>
      <c r="N134" s="330">
        <v>23</v>
      </c>
      <c r="O134" s="387">
        <v>45330.671342592592</v>
      </c>
      <c r="P134" s="397">
        <v>133</v>
      </c>
      <c r="Q134" s="350">
        <v>0</v>
      </c>
      <c r="R134" s="368">
        <v>0</v>
      </c>
      <c r="S134" s="374">
        <v>0</v>
      </c>
      <c r="T134" s="327">
        <v>0</v>
      </c>
      <c r="U134" s="359">
        <v>0</v>
      </c>
      <c r="V134" s="665">
        <v>0</v>
      </c>
      <c r="W134" s="666">
        <f t="shared" ref="W134" si="51">(V134*X134)</f>
        <v>0</v>
      </c>
      <c r="X134" s="667"/>
      <c r="Y134" s="662">
        <f>IF(D134&lt;&gt;0,($C135*(1-$V$1))-$D134,0)</f>
        <v>-1.25</v>
      </c>
      <c r="Z134" s="429">
        <f>IFERROR(IF(C134&lt;&gt;"",$Y$1/(D130/100)*(C134/100),""),"")</f>
        <v>100.0952199581032</v>
      </c>
      <c r="AA134" s="548">
        <f>IFERROR($Z$1/(D134/100)*(C130/100),"")</f>
        <v>114622.22222222222</v>
      </c>
      <c r="AB134" s="38"/>
    </row>
    <row r="135" spans="1:28" ht="12.75" customHeight="1">
      <c r="A135" s="652" t="s">
        <v>233</v>
      </c>
      <c r="B135" s="653">
        <v>373</v>
      </c>
      <c r="C135" s="625">
        <v>43.75</v>
      </c>
      <c r="D135" s="727">
        <v>45.25</v>
      </c>
      <c r="E135" s="642">
        <v>250</v>
      </c>
      <c r="F135" s="654">
        <v>43.75</v>
      </c>
      <c r="G135" s="655">
        <v>-5.6000000000000008E-3</v>
      </c>
      <c r="H135" s="629">
        <v>44.6</v>
      </c>
      <c r="I135" s="630">
        <v>46</v>
      </c>
      <c r="J135" s="630">
        <v>43.7</v>
      </c>
      <c r="K135" s="658">
        <v>44</v>
      </c>
      <c r="L135" s="613">
        <v>19203</v>
      </c>
      <c r="M135" s="632">
        <v>42781</v>
      </c>
      <c r="N135" s="613">
        <v>57</v>
      </c>
      <c r="O135" s="614">
        <v>45330.7030787037</v>
      </c>
      <c r="P135" s="396">
        <v>134</v>
      </c>
      <c r="Q135" s="616">
        <v>0</v>
      </c>
      <c r="R135" s="656">
        <v>0</v>
      </c>
      <c r="S135" s="618">
        <v>0</v>
      </c>
      <c r="T135" s="635">
        <v>0</v>
      </c>
      <c r="U135" s="598">
        <v>0</v>
      </c>
      <c r="V135" s="668">
        <v>0</v>
      </c>
      <c r="W135" s="675">
        <f>V134*(F134/100)</f>
        <v>0</v>
      </c>
      <c r="X135" s="669"/>
      <c r="Y135" s="663">
        <f>IFERROR(INT($Z$1/(F134/100)),"")</f>
        <v>219</v>
      </c>
      <c r="Z135" s="646">
        <f>IFERROR(IF(C135&lt;&gt;"",$Y$1/(D131/100)*(C135/100),""),"")</f>
        <v>99.961919268849954</v>
      </c>
      <c r="AA135" s="657">
        <f>IFERROR($Z$1/(D135/100)*(C131/100),"")</f>
        <v>115425.41436464088</v>
      </c>
      <c r="AB135" s="38"/>
    </row>
    <row r="136" spans="1:28" ht="12.75" customHeight="1">
      <c r="A136" s="365" t="s">
        <v>564</v>
      </c>
      <c r="B136" s="331">
        <v>434</v>
      </c>
      <c r="C136" s="433">
        <v>40880</v>
      </c>
      <c r="D136" s="342">
        <v>40900</v>
      </c>
      <c r="E136" s="331">
        <v>46904</v>
      </c>
      <c r="F136" s="376">
        <v>40900</v>
      </c>
      <c r="G136" s="446">
        <v>-4.41E-2</v>
      </c>
      <c r="H136" s="313">
        <v>42990</v>
      </c>
      <c r="I136" s="305">
        <v>43500</v>
      </c>
      <c r="J136" s="305">
        <v>40800</v>
      </c>
      <c r="K136" s="346">
        <v>42790</v>
      </c>
      <c r="L136" s="337">
        <v>186100261</v>
      </c>
      <c r="M136" s="309">
        <v>446116</v>
      </c>
      <c r="N136" s="337">
        <v>573</v>
      </c>
      <c r="O136" s="385">
        <v>45330.687835648147</v>
      </c>
      <c r="P136" s="397">
        <v>135</v>
      </c>
      <c r="Q136" s="352">
        <v>0</v>
      </c>
      <c r="R136" s="366">
        <v>0</v>
      </c>
      <c r="S136" s="372">
        <v>0</v>
      </c>
      <c r="T136" s="329">
        <v>0</v>
      </c>
      <c r="U136" s="650">
        <v>0</v>
      </c>
      <c r="V136" s="674"/>
      <c r="W136" s="670">
        <f t="shared" ref="W136" si="52">(V136*X136)</f>
        <v>0</v>
      </c>
      <c r="X136" s="671"/>
      <c r="Y136" s="593">
        <f>IF(D136&lt;&gt;0,($C137*(1-$V$1))-$D136,0)</f>
        <v>610</v>
      </c>
      <c r="Z136" s="726"/>
      <c r="AA136" s="464"/>
      <c r="AB136" s="38"/>
    </row>
    <row r="137" spans="1:28" ht="12.75" customHeight="1">
      <c r="A137" s="364" t="s">
        <v>164</v>
      </c>
      <c r="B137" s="316">
        <v>7</v>
      </c>
      <c r="C137" s="315">
        <v>41510</v>
      </c>
      <c r="D137" s="728">
        <v>41650</v>
      </c>
      <c r="E137" s="729">
        <v>425</v>
      </c>
      <c r="F137" s="317">
        <v>41650</v>
      </c>
      <c r="G137" s="449">
        <v>-3.0200000000000001E-2</v>
      </c>
      <c r="H137" s="312">
        <v>42960</v>
      </c>
      <c r="I137" s="303">
        <v>43800</v>
      </c>
      <c r="J137" s="303">
        <v>41455</v>
      </c>
      <c r="K137" s="344">
        <v>42950</v>
      </c>
      <c r="L137" s="310">
        <v>3400008469</v>
      </c>
      <c r="M137" s="307">
        <v>8090068</v>
      </c>
      <c r="N137" s="310">
        <v>1475</v>
      </c>
      <c r="O137" s="386">
        <v>45330.708495370367</v>
      </c>
      <c r="P137" s="396">
        <v>136</v>
      </c>
      <c r="Q137" s="349">
        <v>0</v>
      </c>
      <c r="R137" s="367">
        <v>0</v>
      </c>
      <c r="S137" s="369">
        <v>0</v>
      </c>
      <c r="T137" s="328">
        <v>0</v>
      </c>
      <c r="U137" s="360">
        <v>0</v>
      </c>
      <c r="V137" s="672">
        <v>0</v>
      </c>
      <c r="W137" s="676">
        <f>V136*(F136/100)</f>
        <v>0</v>
      </c>
      <c r="X137" s="673"/>
      <c r="Y137" s="664">
        <f>IFERROR(INT($Y$1/(F136/100)),"")</f>
        <v>293</v>
      </c>
      <c r="Z137" s="592"/>
      <c r="AA137" s="465"/>
      <c r="AB137" s="38"/>
    </row>
    <row r="138" spans="1:28" ht="12.75" hidden="1" customHeight="1">
      <c r="A138" s="319" t="s">
        <v>565</v>
      </c>
      <c r="B138" s="331">
        <v>250000</v>
      </c>
      <c r="C138" s="433">
        <v>33</v>
      </c>
      <c r="D138" s="342"/>
      <c r="E138" s="331"/>
      <c r="F138" s="701">
        <v>33.5</v>
      </c>
      <c r="G138" s="450">
        <v>-5.0900000000000001E-2</v>
      </c>
      <c r="H138" s="318">
        <v>33.5</v>
      </c>
      <c r="I138" s="304">
        <v>33.5</v>
      </c>
      <c r="J138" s="304">
        <v>33.5</v>
      </c>
      <c r="K138" s="347">
        <v>35.299999999999997</v>
      </c>
      <c r="L138" s="330">
        <v>838</v>
      </c>
      <c r="M138" s="308">
        <v>2500</v>
      </c>
      <c r="N138" s="330">
        <v>3</v>
      </c>
      <c r="O138" s="387">
        <v>45330.510451388887</v>
      </c>
      <c r="P138" s="397">
        <v>137</v>
      </c>
      <c r="Q138" s="350">
        <v>0</v>
      </c>
      <c r="R138" s="368">
        <v>0</v>
      </c>
      <c r="S138" s="374">
        <v>0</v>
      </c>
      <c r="T138" s="327">
        <v>0</v>
      </c>
      <c r="U138" s="359">
        <v>0</v>
      </c>
      <c r="V138" s="415"/>
      <c r="W138" s="677">
        <f t="shared" ref="W138" si="53">(V138*X138)</f>
        <v>0</v>
      </c>
      <c r="X138" s="688"/>
      <c r="Y138" s="679">
        <f>IF(D138&lt;&gt;0,($C139*(1-$V$1))-$D138,0)</f>
        <v>0</v>
      </c>
      <c r="Z138" s="431">
        <f>IFERROR(IF(C138&lt;&gt;"",$Y$1/(D136/100)*(C138/100),""),"")</f>
        <v>96.821515892420535</v>
      </c>
      <c r="AA138" s="547" t="str">
        <f>IFERROR($AA$1/(D138/100)*(C136/100),"")</f>
        <v/>
      </c>
      <c r="AB138" s="38"/>
    </row>
    <row r="139" spans="1:28" ht="12.75" hidden="1" customHeight="1">
      <c r="A139" s="399" t="s">
        <v>220</v>
      </c>
      <c r="B139" s="316">
        <v>250000</v>
      </c>
      <c r="C139" s="315">
        <v>33</v>
      </c>
      <c r="D139" s="728">
        <v>33.75</v>
      </c>
      <c r="E139" s="729">
        <v>250000</v>
      </c>
      <c r="F139" s="317"/>
      <c r="G139" s="449"/>
      <c r="H139" s="312"/>
      <c r="I139" s="303"/>
      <c r="J139" s="303"/>
      <c r="K139" s="344">
        <v>34.75</v>
      </c>
      <c r="L139" s="310"/>
      <c r="M139" s="307"/>
      <c r="N139" s="310"/>
      <c r="O139" s="386"/>
      <c r="P139" s="396">
        <v>138</v>
      </c>
      <c r="Q139" s="349">
        <v>0</v>
      </c>
      <c r="R139" s="367">
        <v>0</v>
      </c>
      <c r="S139" s="369">
        <v>0</v>
      </c>
      <c r="T139" s="328">
        <v>0</v>
      </c>
      <c r="U139" s="360">
        <v>0</v>
      </c>
      <c r="V139" s="414">
        <v>0</v>
      </c>
      <c r="W139" s="678">
        <f>V138*(F138/100)</f>
        <v>0</v>
      </c>
      <c r="X139" s="689"/>
      <c r="Y139" s="687">
        <f>IFERROR(INT($AA$1/(F138/100)),"")</f>
        <v>298</v>
      </c>
      <c r="Z139" s="430">
        <f>IFERROR(IF(C139&lt;&gt;"",$Y$1/(D137/100)*(C139/100),""),"")</f>
        <v>95.078031212485001</v>
      </c>
      <c r="AA139" s="549">
        <f>IFERROR($AA$1/(D139/100)*(C137/100),"")</f>
        <v>122992.5925925926</v>
      </c>
      <c r="AB139" s="38"/>
    </row>
    <row r="140" spans="1:28" ht="12.75" customHeight="1">
      <c r="A140" s="601" t="s">
        <v>566</v>
      </c>
      <c r="B140" s="331">
        <v>1316</v>
      </c>
      <c r="C140" s="433">
        <v>34.950000000000003</v>
      </c>
      <c r="D140" s="342">
        <v>35</v>
      </c>
      <c r="E140" s="331">
        <v>40326</v>
      </c>
      <c r="F140" s="701">
        <v>35</v>
      </c>
      <c r="G140" s="450">
        <v>-1.6799999999999999E-2</v>
      </c>
      <c r="H140" s="318">
        <v>35.700000000000003</v>
      </c>
      <c r="I140" s="304">
        <v>37.200000000000003</v>
      </c>
      <c r="J140" s="304">
        <v>35</v>
      </c>
      <c r="K140" s="347">
        <v>35.6</v>
      </c>
      <c r="L140" s="330">
        <v>208722</v>
      </c>
      <c r="M140" s="308">
        <v>589338</v>
      </c>
      <c r="N140" s="330">
        <v>167</v>
      </c>
      <c r="O140" s="387">
        <v>45330.687615740739</v>
      </c>
      <c r="P140" s="397">
        <v>139</v>
      </c>
      <c r="Q140" s="350">
        <v>0</v>
      </c>
      <c r="R140" s="368">
        <v>0</v>
      </c>
      <c r="S140" s="374">
        <v>0</v>
      </c>
      <c r="T140" s="327">
        <v>0</v>
      </c>
      <c r="U140" s="359">
        <v>0</v>
      </c>
      <c r="V140" s="665">
        <v>0</v>
      </c>
      <c r="W140" s="666">
        <f t="shared" ref="W140" si="54">(V140*X140)</f>
        <v>0</v>
      </c>
      <c r="X140" s="667"/>
      <c r="Y140" s="662">
        <f>IF(D140&lt;&gt;0,($C141*(1-$V$1))-$D140,0)</f>
        <v>-0.10000000000000142</v>
      </c>
      <c r="Z140" s="429">
        <f>IFERROR(IF(C140&lt;&gt;"",$Y$1/(D136/100)*(C140/100),""),"")</f>
        <v>102.54278728606357</v>
      </c>
      <c r="AA140" s="548">
        <f>IFERROR($Z$1/(D140/100)*(C136/100),"")</f>
        <v>116800</v>
      </c>
      <c r="AB140" s="38"/>
    </row>
    <row r="141" spans="1:28" ht="12.75" customHeight="1">
      <c r="A141" s="652" t="s">
        <v>221</v>
      </c>
      <c r="B141" s="653">
        <v>898</v>
      </c>
      <c r="C141" s="625">
        <v>34.9</v>
      </c>
      <c r="D141" s="727">
        <v>35.1</v>
      </c>
      <c r="E141" s="642">
        <v>1390</v>
      </c>
      <c r="F141" s="654">
        <v>34.9</v>
      </c>
      <c r="G141" s="655">
        <v>-1.8000000000000002E-2</v>
      </c>
      <c r="H141" s="629">
        <v>35.151000000000003</v>
      </c>
      <c r="I141" s="630">
        <v>36.15</v>
      </c>
      <c r="J141" s="630">
        <v>34.85</v>
      </c>
      <c r="K141" s="658">
        <v>35.54</v>
      </c>
      <c r="L141" s="613">
        <v>366007</v>
      </c>
      <c r="M141" s="632">
        <v>1034746</v>
      </c>
      <c r="N141" s="613">
        <v>306</v>
      </c>
      <c r="O141" s="614">
        <v>45330.708645833336</v>
      </c>
      <c r="P141" s="396">
        <v>140</v>
      </c>
      <c r="Q141" s="616">
        <v>0</v>
      </c>
      <c r="R141" s="656">
        <v>0</v>
      </c>
      <c r="S141" s="618">
        <v>0</v>
      </c>
      <c r="T141" s="635">
        <v>0</v>
      </c>
      <c r="U141" s="598">
        <v>0</v>
      </c>
      <c r="V141" s="668">
        <v>0</v>
      </c>
      <c r="W141" s="675">
        <f>V140*(F140/100)</f>
        <v>0</v>
      </c>
      <c r="X141" s="669"/>
      <c r="Y141" s="663">
        <f>IFERROR(INT($Z$1/(F140/100)),"")</f>
        <v>285</v>
      </c>
      <c r="Z141" s="646">
        <f>IFERROR(IF(C141&lt;&gt;"",$Y$1/(D137/100)*(C141/100),""),"")</f>
        <v>100.55222088835535</v>
      </c>
      <c r="AA141" s="657">
        <f>IFERROR($Z$1/(D141/100)*(C137/100),"")</f>
        <v>118262.10826210826</v>
      </c>
      <c r="AB141" s="38"/>
    </row>
    <row r="142" spans="1:28" ht="12.75" customHeight="1">
      <c r="A142" s="365" t="s">
        <v>570</v>
      </c>
      <c r="B142" s="331">
        <v>27</v>
      </c>
      <c r="C142" s="433">
        <v>47510</v>
      </c>
      <c r="D142" s="342">
        <v>48090</v>
      </c>
      <c r="E142" s="331">
        <v>1</v>
      </c>
      <c r="F142" s="376">
        <v>47560</v>
      </c>
      <c r="G142" s="446">
        <v>-1.5300000000000001E-2</v>
      </c>
      <c r="H142" s="313">
        <v>48000</v>
      </c>
      <c r="I142" s="305">
        <v>48675</v>
      </c>
      <c r="J142" s="305">
        <v>47360</v>
      </c>
      <c r="K142" s="346">
        <v>48300</v>
      </c>
      <c r="L142" s="337">
        <v>46424342</v>
      </c>
      <c r="M142" s="309">
        <v>97130</v>
      </c>
      <c r="N142" s="337">
        <v>152</v>
      </c>
      <c r="O142" s="385">
        <v>45330.684247685182</v>
      </c>
      <c r="P142" s="397">
        <v>141</v>
      </c>
      <c r="Q142" s="352">
        <v>0</v>
      </c>
      <c r="R142" s="366">
        <v>0</v>
      </c>
      <c r="S142" s="372">
        <v>0</v>
      </c>
      <c r="T142" s="329">
        <v>0</v>
      </c>
      <c r="U142" s="650">
        <v>0</v>
      </c>
      <c r="V142" s="674">
        <v>0</v>
      </c>
      <c r="W142" s="670">
        <f t="shared" ref="W142" si="55">(V142*X142)</f>
        <v>0</v>
      </c>
      <c r="X142" s="671"/>
      <c r="Y142" s="593">
        <f>IF(D142&lt;&gt;0,($C143*(1-$V$1))-$D142,0)</f>
        <v>-90</v>
      </c>
      <c r="Z142" s="726"/>
      <c r="AA142" s="464"/>
      <c r="AB142" s="38"/>
    </row>
    <row r="143" spans="1:28" ht="12.75" customHeight="1">
      <c r="A143" s="364" t="s">
        <v>190</v>
      </c>
      <c r="B143" s="316">
        <v>52</v>
      </c>
      <c r="C143" s="315">
        <v>48000</v>
      </c>
      <c r="D143" s="728">
        <v>48320</v>
      </c>
      <c r="E143" s="729">
        <v>70720</v>
      </c>
      <c r="F143" s="317">
        <v>48320</v>
      </c>
      <c r="G143" s="449">
        <v>-1.38E-2</v>
      </c>
      <c r="H143" s="312">
        <v>49500</v>
      </c>
      <c r="I143" s="303">
        <v>49500</v>
      </c>
      <c r="J143" s="303">
        <v>47900</v>
      </c>
      <c r="K143" s="344">
        <v>49000</v>
      </c>
      <c r="L143" s="310">
        <v>667402531</v>
      </c>
      <c r="M143" s="307">
        <v>1376820</v>
      </c>
      <c r="N143" s="310">
        <v>372</v>
      </c>
      <c r="O143" s="386">
        <v>45330.705069444448</v>
      </c>
      <c r="P143" s="396">
        <v>142</v>
      </c>
      <c r="Q143" s="349">
        <v>0</v>
      </c>
      <c r="R143" s="367">
        <v>0</v>
      </c>
      <c r="S143" s="369">
        <v>0</v>
      </c>
      <c r="T143" s="328">
        <v>0</v>
      </c>
      <c r="U143" s="360">
        <v>0</v>
      </c>
      <c r="V143" s="672">
        <v>0</v>
      </c>
      <c r="W143" s="676">
        <f>V142*(F142/100)</f>
        <v>0</v>
      </c>
      <c r="X143" s="673"/>
      <c r="Y143" s="664">
        <f>IFERROR(INT($Y$1/(F142/100)),"")</f>
        <v>252</v>
      </c>
      <c r="Z143" s="592"/>
      <c r="AA143" s="465"/>
      <c r="AB143" s="38"/>
    </row>
    <row r="144" spans="1:28" ht="12.75" hidden="1" customHeight="1">
      <c r="A144" s="319" t="s">
        <v>571</v>
      </c>
      <c r="B144" s="331"/>
      <c r="C144" s="433"/>
      <c r="D144" s="342"/>
      <c r="E144" s="331"/>
      <c r="F144" s="701"/>
      <c r="G144" s="450"/>
      <c r="H144" s="318"/>
      <c r="I144" s="304"/>
      <c r="J144" s="304"/>
      <c r="K144" s="347">
        <v>40.5</v>
      </c>
      <c r="L144" s="330"/>
      <c r="M144" s="308"/>
      <c r="N144" s="330"/>
      <c r="O144" s="387"/>
      <c r="P144" s="397">
        <v>143</v>
      </c>
      <c r="Q144" s="350">
        <v>0</v>
      </c>
      <c r="R144" s="368">
        <v>0</v>
      </c>
      <c r="S144" s="374">
        <v>0</v>
      </c>
      <c r="T144" s="327">
        <v>0</v>
      </c>
      <c r="U144" s="359">
        <v>0</v>
      </c>
      <c r="V144" s="415"/>
      <c r="W144" s="677">
        <f t="shared" ref="W144" si="56">(V144*X144)</f>
        <v>0</v>
      </c>
      <c r="X144" s="688"/>
      <c r="Y144" s="679">
        <f>IF(D144&lt;&gt;0,($C145*(1-$V$1))-$D144,0)</f>
        <v>0</v>
      </c>
      <c r="Z144" s="431" t="str">
        <f>IFERROR(IF(C144&lt;&gt;"",$Y$1/(D142/100)*(C144/100),""),"")</f>
        <v/>
      </c>
      <c r="AA144" s="547" t="str">
        <f>IFERROR($AA$1/(D144/100)*(C142/100),"")</f>
        <v/>
      </c>
      <c r="AB144" s="38"/>
    </row>
    <row r="145" spans="1:32" ht="12.75" hidden="1" customHeight="1">
      <c r="A145" s="399" t="s">
        <v>234</v>
      </c>
      <c r="B145" s="316"/>
      <c r="C145" s="315"/>
      <c r="D145" s="728"/>
      <c r="E145" s="729"/>
      <c r="F145" s="317"/>
      <c r="G145" s="449"/>
      <c r="H145" s="312"/>
      <c r="I145" s="303"/>
      <c r="J145" s="303"/>
      <c r="K145" s="344">
        <v>40.375</v>
      </c>
      <c r="L145" s="310"/>
      <c r="M145" s="307"/>
      <c r="N145" s="310"/>
      <c r="O145" s="386"/>
      <c r="P145" s="396">
        <v>144</v>
      </c>
      <c r="Q145" s="349">
        <v>0</v>
      </c>
      <c r="R145" s="367">
        <v>0</v>
      </c>
      <c r="S145" s="369">
        <v>0</v>
      </c>
      <c r="T145" s="328">
        <v>0</v>
      </c>
      <c r="U145" s="360">
        <v>0</v>
      </c>
      <c r="V145" s="414">
        <v>0</v>
      </c>
      <c r="W145" s="678">
        <f>V144*(F144/100)</f>
        <v>0</v>
      </c>
      <c r="X145" s="689"/>
      <c r="Y145" s="687" t="str">
        <f>IFERROR(INT($AA$1/(F144/100)),"")</f>
        <v/>
      </c>
      <c r="Z145" s="430" t="str">
        <f>IFERROR(IF(C145&lt;&gt;"",$Y$1/(D143/100)*(C145/100),""),"")</f>
        <v/>
      </c>
      <c r="AA145" s="549" t="str">
        <f>IFERROR($AA$1/(D145/100)*(C143/100),"")</f>
        <v/>
      </c>
      <c r="AB145" s="38"/>
    </row>
    <row r="146" spans="1:32" ht="12.75" customHeight="1">
      <c r="A146" s="601" t="s">
        <v>572</v>
      </c>
      <c r="B146" s="331">
        <v>1800</v>
      </c>
      <c r="C146" s="433">
        <v>40.514000000000003</v>
      </c>
      <c r="D146" s="342">
        <v>41.7</v>
      </c>
      <c r="E146" s="331">
        <v>2230</v>
      </c>
      <c r="F146" s="701">
        <v>41.1</v>
      </c>
      <c r="G146" s="450">
        <v>-2.3700000000000002E-2</v>
      </c>
      <c r="H146" s="318">
        <v>40.103999999999999</v>
      </c>
      <c r="I146" s="304">
        <v>41.7</v>
      </c>
      <c r="J146" s="304">
        <v>40.103999999999999</v>
      </c>
      <c r="K146" s="347">
        <v>42.1</v>
      </c>
      <c r="L146" s="330">
        <v>8804</v>
      </c>
      <c r="M146" s="308">
        <v>21447</v>
      </c>
      <c r="N146" s="330">
        <v>35</v>
      </c>
      <c r="O146" s="387">
        <v>45330.630601851852</v>
      </c>
      <c r="P146" s="397">
        <v>145</v>
      </c>
      <c r="Q146" s="350">
        <v>0</v>
      </c>
      <c r="R146" s="368">
        <v>0</v>
      </c>
      <c r="S146" s="374">
        <v>0</v>
      </c>
      <c r="T146" s="327">
        <v>0</v>
      </c>
      <c r="U146" s="359">
        <v>0</v>
      </c>
      <c r="V146" s="665">
        <v>0</v>
      </c>
      <c r="W146" s="666">
        <f t="shared" ref="W146" si="57">(V146*X146)</f>
        <v>0</v>
      </c>
      <c r="X146" s="667"/>
      <c r="Y146" s="662">
        <f>IF(D146&lt;&gt;0,($C147*(1-$V$1))-$D146,0)</f>
        <v>-1.4000000000000057</v>
      </c>
      <c r="Z146" s="429">
        <f>IFERROR(IF(C146&lt;&gt;"",$Y$1/(D142/100)*(C146/100),""),"")</f>
        <v>101.09544603867749</v>
      </c>
      <c r="AA146" s="548">
        <f>IFERROR($Z$1/(D146/100)*(C142/100),"")</f>
        <v>113932.85371702637</v>
      </c>
      <c r="AB146" s="38"/>
    </row>
    <row r="147" spans="1:32" ht="12.75" customHeight="1">
      <c r="A147" s="652" t="s">
        <v>235</v>
      </c>
      <c r="B147" s="653">
        <v>2600</v>
      </c>
      <c r="C147" s="625">
        <v>40.299999999999997</v>
      </c>
      <c r="D147" s="727">
        <v>40.9</v>
      </c>
      <c r="E147" s="642">
        <v>796</v>
      </c>
      <c r="F147" s="654">
        <v>40.581000000000003</v>
      </c>
      <c r="G147" s="655">
        <v>7.1999999999999998E-3</v>
      </c>
      <c r="H147" s="629">
        <v>40</v>
      </c>
      <c r="I147" s="630">
        <v>41.4</v>
      </c>
      <c r="J147" s="630">
        <v>40</v>
      </c>
      <c r="K147" s="658">
        <v>40.29</v>
      </c>
      <c r="L147" s="613">
        <v>15775</v>
      </c>
      <c r="M147" s="632">
        <v>38714</v>
      </c>
      <c r="N147" s="613">
        <v>132</v>
      </c>
      <c r="O147" s="614">
        <v>45330.69568287037</v>
      </c>
      <c r="P147" s="396">
        <v>146</v>
      </c>
      <c r="Q147" s="616">
        <v>0</v>
      </c>
      <c r="R147" s="656">
        <v>0</v>
      </c>
      <c r="S147" s="618">
        <v>0</v>
      </c>
      <c r="T147" s="635">
        <v>0</v>
      </c>
      <c r="U147" s="598">
        <v>0</v>
      </c>
      <c r="V147" s="668">
        <v>0</v>
      </c>
      <c r="W147" s="675">
        <f>V146*(F146/100)</f>
        <v>0</v>
      </c>
      <c r="X147" s="669"/>
      <c r="Y147" s="663">
        <f>IFERROR(INT($Z$1/(F146/100)),"")</f>
        <v>243</v>
      </c>
      <c r="Z147" s="646">
        <f>IFERROR(IF(C147&lt;&gt;"",$Y$1/(D143/100)*(C147/100),""),"")</f>
        <v>100.08278145695364</v>
      </c>
      <c r="AA147" s="657">
        <f>IFERROR($Z$1/(D147/100)*(C143/100),"")</f>
        <v>117359.41320293398</v>
      </c>
      <c r="AB147" s="38"/>
    </row>
    <row r="148" spans="1:32" ht="12.75" customHeight="1">
      <c r="A148" s="365" t="s">
        <v>567</v>
      </c>
      <c r="B148" s="331">
        <v>150</v>
      </c>
      <c r="C148" s="433">
        <v>39800</v>
      </c>
      <c r="D148" s="342">
        <v>40610</v>
      </c>
      <c r="E148" s="331">
        <v>4819</v>
      </c>
      <c r="F148" s="376">
        <v>40320</v>
      </c>
      <c r="G148" s="446">
        <v>-3.3599999999999998E-2</v>
      </c>
      <c r="H148" s="313">
        <v>41500</v>
      </c>
      <c r="I148" s="305">
        <v>42215</v>
      </c>
      <c r="J148" s="305">
        <v>40320</v>
      </c>
      <c r="K148" s="346">
        <v>41725</v>
      </c>
      <c r="L148" s="337">
        <v>19366424</v>
      </c>
      <c r="M148" s="309">
        <v>47335</v>
      </c>
      <c r="N148" s="337">
        <v>134</v>
      </c>
      <c r="O148" s="385">
        <v>45330.683472222219</v>
      </c>
      <c r="P148" s="397">
        <v>147</v>
      </c>
      <c r="Q148" s="352">
        <v>0</v>
      </c>
      <c r="R148" s="366">
        <v>0</v>
      </c>
      <c r="S148" s="372">
        <v>0</v>
      </c>
      <c r="T148" s="329">
        <v>0</v>
      </c>
      <c r="U148" s="650">
        <v>0</v>
      </c>
      <c r="V148" s="674">
        <v>0</v>
      </c>
      <c r="W148" s="670">
        <f t="shared" ref="W148" si="58">(V148*X148)</f>
        <v>0</v>
      </c>
      <c r="X148" s="671"/>
      <c r="Y148" s="593">
        <f>IF(D148&lt;&gt;0,($C149*(1-$V$1))-$D148,0)</f>
        <v>90</v>
      </c>
      <c r="Z148" s="726"/>
      <c r="AA148" s="464"/>
      <c r="AB148" s="38"/>
      <c r="AC148" s="659">
        <v>28</v>
      </c>
      <c r="AE148" s="47">
        <v>440</v>
      </c>
      <c r="AF148" s="47">
        <f>AC148*AE148</f>
        <v>12320</v>
      </c>
    </row>
    <row r="149" spans="1:32" ht="12.75" customHeight="1">
      <c r="A149" s="364" t="s">
        <v>188</v>
      </c>
      <c r="B149" s="316">
        <v>537</v>
      </c>
      <c r="C149" s="315">
        <v>40700</v>
      </c>
      <c r="D149" s="728">
        <v>40880</v>
      </c>
      <c r="E149" s="729">
        <v>100</v>
      </c>
      <c r="F149" s="317">
        <v>40900</v>
      </c>
      <c r="G149" s="449">
        <v>-2.5000000000000001E-2</v>
      </c>
      <c r="H149" s="312">
        <v>43000</v>
      </c>
      <c r="I149" s="303">
        <v>43000</v>
      </c>
      <c r="J149" s="303">
        <v>40700</v>
      </c>
      <c r="K149" s="344">
        <v>41950</v>
      </c>
      <c r="L149" s="310">
        <v>195004874</v>
      </c>
      <c r="M149" s="307">
        <v>473428</v>
      </c>
      <c r="N149" s="310">
        <v>423</v>
      </c>
      <c r="O149" s="386">
        <v>45330.705289351848</v>
      </c>
      <c r="P149" s="396">
        <v>148</v>
      </c>
      <c r="Q149" s="349">
        <v>0</v>
      </c>
      <c r="R149" s="367">
        <v>0</v>
      </c>
      <c r="S149" s="369">
        <v>0</v>
      </c>
      <c r="T149" s="328">
        <v>0</v>
      </c>
      <c r="U149" s="360">
        <v>0</v>
      </c>
      <c r="V149" s="672">
        <v>0</v>
      </c>
      <c r="W149" s="676">
        <f>V148*(F148/100)</f>
        <v>0</v>
      </c>
      <c r="X149" s="673"/>
      <c r="Y149" s="664">
        <f>IFERROR(INT($Y$1/(F148/100)),"")</f>
        <v>297</v>
      </c>
      <c r="Z149" s="592"/>
      <c r="AA149" s="465"/>
      <c r="AB149" s="38"/>
      <c r="AC149" s="659"/>
      <c r="AF149" s="47">
        <f t="shared" ref="AF149:AF151" si="59">AC149*AE149</f>
        <v>0</v>
      </c>
    </row>
    <row r="150" spans="1:32" ht="12.75" hidden="1" customHeight="1">
      <c r="A150" s="319" t="s">
        <v>568</v>
      </c>
      <c r="B150" s="331"/>
      <c r="C150" s="433"/>
      <c r="D150" s="342"/>
      <c r="E150" s="331"/>
      <c r="F150" s="701"/>
      <c r="G150" s="450"/>
      <c r="H150" s="318"/>
      <c r="I150" s="304"/>
      <c r="J150" s="304"/>
      <c r="K150" s="347">
        <v>27.25</v>
      </c>
      <c r="L150" s="330"/>
      <c r="M150" s="308"/>
      <c r="N150" s="330"/>
      <c r="O150" s="387"/>
      <c r="P150" s="397">
        <v>149</v>
      </c>
      <c r="Q150" s="350">
        <v>0</v>
      </c>
      <c r="R150" s="368">
        <v>0</v>
      </c>
      <c r="S150" s="374">
        <v>0</v>
      </c>
      <c r="T150" s="327">
        <v>0</v>
      </c>
      <c r="U150" s="359">
        <v>0</v>
      </c>
      <c r="V150" s="415"/>
      <c r="W150" s="677">
        <f t="shared" ref="W150" si="60">(V150*X150)</f>
        <v>0</v>
      </c>
      <c r="X150" s="688"/>
      <c r="Y150" s="679">
        <f>IF(D150&lt;&gt;0,($C151*(1-$V$1))-$D150,0)</f>
        <v>0</v>
      </c>
      <c r="Z150" s="431" t="str">
        <f>IFERROR(IF(C150&lt;&gt;"",$Y$1/(D148/100)*(C150/100),""),"")</f>
        <v/>
      </c>
      <c r="AA150" s="547" t="str">
        <f>IFERROR($AA$1/(D150/100)*(C148/100),"")</f>
        <v/>
      </c>
      <c r="AB150" s="38"/>
      <c r="AC150" s="659"/>
      <c r="AF150" s="47">
        <f t="shared" si="59"/>
        <v>0</v>
      </c>
    </row>
    <row r="151" spans="1:32" ht="12.75" hidden="1" customHeight="1">
      <c r="A151" s="399" t="s">
        <v>236</v>
      </c>
      <c r="B151" s="316"/>
      <c r="C151" s="315"/>
      <c r="D151" s="728">
        <v>43</v>
      </c>
      <c r="E151" s="729">
        <v>25000</v>
      </c>
      <c r="F151" s="317"/>
      <c r="G151" s="449"/>
      <c r="H151" s="312"/>
      <c r="I151" s="303"/>
      <c r="J151" s="303"/>
      <c r="K151" s="344">
        <v>27.25</v>
      </c>
      <c r="L151" s="310"/>
      <c r="M151" s="307"/>
      <c r="N151" s="310"/>
      <c r="O151" s="386"/>
      <c r="P151" s="396">
        <v>150</v>
      </c>
      <c r="Q151" s="349">
        <v>0</v>
      </c>
      <c r="R151" s="367">
        <v>0</v>
      </c>
      <c r="S151" s="369">
        <v>0</v>
      </c>
      <c r="T151" s="328">
        <v>0</v>
      </c>
      <c r="U151" s="360">
        <v>0</v>
      </c>
      <c r="V151" s="414">
        <v>0</v>
      </c>
      <c r="W151" s="678">
        <f>V150*(F150/100)</f>
        <v>0</v>
      </c>
      <c r="X151" s="689"/>
      <c r="Y151" s="687" t="str">
        <f>IFERROR(INT($AA$1/(F150/100)),"")</f>
        <v/>
      </c>
      <c r="Z151" s="430" t="str">
        <f>IFERROR(IF(C151&lt;&gt;"",$Y$1/(D149/100)*(C151/100),""),"")</f>
        <v/>
      </c>
      <c r="AA151" s="549">
        <f>IFERROR($AA$1/(D151/100)*(C149/100),"")</f>
        <v>94651.162790697679</v>
      </c>
      <c r="AB151" s="38"/>
      <c r="AC151" s="710"/>
      <c r="AD151" s="710"/>
      <c r="AE151" s="710"/>
      <c r="AF151" s="710">
        <f t="shared" si="59"/>
        <v>0</v>
      </c>
    </row>
    <row r="152" spans="1:32" ht="12.75" customHeight="1">
      <c r="A152" s="601" t="s">
        <v>569</v>
      </c>
      <c r="B152" s="331">
        <v>1593</v>
      </c>
      <c r="C152" s="433">
        <v>34</v>
      </c>
      <c r="D152" s="342">
        <v>35</v>
      </c>
      <c r="E152" s="331">
        <v>39</v>
      </c>
      <c r="F152" s="701">
        <v>34</v>
      </c>
      <c r="G152" s="450">
        <v>-2.5699999999999997E-2</v>
      </c>
      <c r="H152" s="318">
        <v>34.957999999999998</v>
      </c>
      <c r="I152" s="304">
        <v>35.5</v>
      </c>
      <c r="J152" s="304">
        <v>34</v>
      </c>
      <c r="K152" s="347">
        <v>34.9</v>
      </c>
      <c r="L152" s="330">
        <v>20829</v>
      </c>
      <c r="M152" s="308">
        <v>59085</v>
      </c>
      <c r="N152" s="330">
        <v>55</v>
      </c>
      <c r="O152" s="387">
        <v>45330.68346064815</v>
      </c>
      <c r="P152" s="397">
        <v>151</v>
      </c>
      <c r="Q152" s="350">
        <v>0</v>
      </c>
      <c r="R152" s="368">
        <v>0</v>
      </c>
      <c r="S152" s="374">
        <v>0</v>
      </c>
      <c r="T152" s="327">
        <v>0</v>
      </c>
      <c r="U152" s="359">
        <v>0</v>
      </c>
      <c r="V152" s="665">
        <v>0</v>
      </c>
      <c r="W152" s="666">
        <f t="shared" ref="W152" si="61">(V152*X152)</f>
        <v>0</v>
      </c>
      <c r="X152" s="667"/>
      <c r="Y152" s="662">
        <f>IF(D152&lt;&gt;0,($C153*(1-$V$1))-$D152,0)</f>
        <v>-0.64999999999999858</v>
      </c>
      <c r="Z152" s="429">
        <f>IFERROR(IF(C152&lt;&gt;"",$Y$1/(D148/100)*(C152/100),""),"")</f>
        <v>100.46786505786753</v>
      </c>
      <c r="AA152" s="548">
        <f>IFERROR($Z$1/(D152/100)*(C148/100),"")</f>
        <v>113714.28571428572</v>
      </c>
      <c r="AB152" s="38"/>
      <c r="AC152" s="714">
        <f>SUM(AC148:AC151)</f>
        <v>28</v>
      </c>
      <c r="AD152" s="715"/>
      <c r="AE152" s="715" t="s">
        <v>627</v>
      </c>
      <c r="AF152" s="715">
        <f>SUM(AF148:AF151)</f>
        <v>12320</v>
      </c>
    </row>
    <row r="153" spans="1:32" ht="12.75" customHeight="1">
      <c r="A153" s="652" t="s">
        <v>237</v>
      </c>
      <c r="B153" s="653">
        <v>100</v>
      </c>
      <c r="C153" s="625">
        <v>34.35</v>
      </c>
      <c r="D153" s="727">
        <v>35</v>
      </c>
      <c r="E153" s="642">
        <v>9991</v>
      </c>
      <c r="F153" s="654">
        <v>34.32</v>
      </c>
      <c r="G153" s="655">
        <v>-1.6399999999999998E-2</v>
      </c>
      <c r="H153" s="629">
        <v>34.6</v>
      </c>
      <c r="I153" s="630">
        <v>35</v>
      </c>
      <c r="J153" s="630">
        <v>33.5</v>
      </c>
      <c r="K153" s="658">
        <v>34.895000000000003</v>
      </c>
      <c r="L153" s="613">
        <v>86684</v>
      </c>
      <c r="M153" s="632">
        <v>248729</v>
      </c>
      <c r="N153" s="613">
        <v>101</v>
      </c>
      <c r="O153" s="614">
        <v>45330.681469907409</v>
      </c>
      <c r="P153" s="396">
        <v>152</v>
      </c>
      <c r="Q153" s="616">
        <v>0</v>
      </c>
      <c r="R153" s="656">
        <v>0</v>
      </c>
      <c r="S153" s="618">
        <v>0</v>
      </c>
      <c r="T153" s="635">
        <v>0</v>
      </c>
      <c r="U153" s="598">
        <v>0</v>
      </c>
      <c r="V153" s="668">
        <v>0</v>
      </c>
      <c r="W153" s="675">
        <f>V152*(F152/100)</f>
        <v>0</v>
      </c>
      <c r="X153" s="669"/>
      <c r="Y153" s="663">
        <f>IFERROR(INT($Z$1/(F152/100)),"")</f>
        <v>294</v>
      </c>
      <c r="Z153" s="646">
        <f>IFERROR(IF(C153&lt;&gt;"",$Y$1/(D149/100)*(C153/100),""),"")</f>
        <v>100.83170254403133</v>
      </c>
      <c r="AA153" s="657">
        <f>IFERROR($Z$1/(D153/100)*(C149/100),"")</f>
        <v>116285.71428571429</v>
      </c>
      <c r="AB153" s="38"/>
      <c r="AC153" s="773">
        <f>AF152/AC152</f>
        <v>440</v>
      </c>
      <c r="AD153" s="773"/>
      <c r="AE153" s="773"/>
      <c r="AF153" s="773"/>
    </row>
    <row r="154" spans="1:32" ht="12.75" customHeight="1">
      <c r="A154" s="365" t="s">
        <v>573</v>
      </c>
      <c r="B154" s="331">
        <v>703</v>
      </c>
      <c r="C154" s="433">
        <v>43555</v>
      </c>
      <c r="D154" s="342">
        <v>44390</v>
      </c>
      <c r="E154" s="331">
        <v>1368</v>
      </c>
      <c r="F154" s="376">
        <v>44495</v>
      </c>
      <c r="G154" s="446">
        <v>-1.11E-2</v>
      </c>
      <c r="H154" s="313">
        <v>44375</v>
      </c>
      <c r="I154" s="305">
        <v>45365</v>
      </c>
      <c r="J154" s="305">
        <v>43555</v>
      </c>
      <c r="K154" s="346">
        <v>44995</v>
      </c>
      <c r="L154" s="337">
        <v>18364990</v>
      </c>
      <c r="M154" s="309">
        <v>41476</v>
      </c>
      <c r="N154" s="337">
        <v>122</v>
      </c>
      <c r="O154" s="385">
        <v>45330.680428240739</v>
      </c>
      <c r="P154" s="397">
        <v>153</v>
      </c>
      <c r="Q154" s="352">
        <v>0</v>
      </c>
      <c r="R154" s="366">
        <v>0</v>
      </c>
      <c r="S154" s="372">
        <v>0</v>
      </c>
      <c r="T154" s="329">
        <v>0</v>
      </c>
      <c r="U154" s="650">
        <v>0</v>
      </c>
      <c r="V154" s="674"/>
      <c r="W154" s="670">
        <f t="shared" ref="W154" si="62">(V154*X154)</f>
        <v>0</v>
      </c>
      <c r="X154" s="671"/>
      <c r="Y154" s="593">
        <f>IF(D154&lt;&gt;0,($C155*(1-$V$1))-$D154,0)</f>
        <v>-240</v>
      </c>
      <c r="Z154" s="726"/>
      <c r="AA154" s="464"/>
      <c r="AB154" s="38"/>
    </row>
    <row r="155" spans="1:32" ht="12.75" customHeight="1">
      <c r="A155" s="364" t="s">
        <v>189</v>
      </c>
      <c r="B155" s="316">
        <v>429</v>
      </c>
      <c r="C155" s="315">
        <v>44150</v>
      </c>
      <c r="D155" s="728">
        <v>44700</v>
      </c>
      <c r="E155" s="729">
        <v>971</v>
      </c>
      <c r="F155" s="317">
        <v>44700</v>
      </c>
      <c r="G155" s="449">
        <v>-6.6E-3</v>
      </c>
      <c r="H155" s="312">
        <v>45000</v>
      </c>
      <c r="I155" s="303">
        <v>46800</v>
      </c>
      <c r="J155" s="303">
        <v>44050</v>
      </c>
      <c r="K155" s="344">
        <v>45000</v>
      </c>
      <c r="L155" s="310">
        <v>196693193</v>
      </c>
      <c r="M155" s="307">
        <v>440780</v>
      </c>
      <c r="N155" s="310">
        <v>430</v>
      </c>
      <c r="O155" s="386">
        <v>45330.708518518521</v>
      </c>
      <c r="P155" s="396">
        <v>154</v>
      </c>
      <c r="Q155" s="349">
        <v>0</v>
      </c>
      <c r="R155" s="367">
        <v>0</v>
      </c>
      <c r="S155" s="369">
        <v>0</v>
      </c>
      <c r="T155" s="328">
        <v>0</v>
      </c>
      <c r="U155" s="360">
        <v>0</v>
      </c>
      <c r="V155" s="672">
        <v>0</v>
      </c>
      <c r="W155" s="676">
        <f>V154*(F154/100)</f>
        <v>0</v>
      </c>
      <c r="X155" s="673"/>
      <c r="Y155" s="664">
        <f>IFERROR(INT($Y$1/(F154/100)),"")</f>
        <v>269</v>
      </c>
      <c r="Z155" s="592"/>
      <c r="AA155" s="465"/>
      <c r="AB155" s="38"/>
    </row>
    <row r="156" spans="1:32" ht="12.75" hidden="1" customHeight="1">
      <c r="A156" s="319" t="s">
        <v>574</v>
      </c>
      <c r="B156" s="331"/>
      <c r="C156" s="433"/>
      <c r="D156" s="342"/>
      <c r="E156" s="331"/>
      <c r="F156" s="701"/>
      <c r="G156" s="450"/>
      <c r="H156" s="318"/>
      <c r="I156" s="304"/>
      <c r="J156" s="304"/>
      <c r="K156" s="347">
        <v>21.007999999999999</v>
      </c>
      <c r="L156" s="330"/>
      <c r="M156" s="308"/>
      <c r="N156" s="330"/>
      <c r="O156" s="387"/>
      <c r="P156" s="397">
        <v>155</v>
      </c>
      <c r="Q156" s="350">
        <v>0</v>
      </c>
      <c r="R156" s="368">
        <v>0</v>
      </c>
      <c r="S156" s="374">
        <v>0</v>
      </c>
      <c r="T156" s="327">
        <v>0</v>
      </c>
      <c r="U156" s="359">
        <v>0</v>
      </c>
      <c r="V156" s="415"/>
      <c r="W156" s="677">
        <f t="shared" ref="W156" si="63">(V156*X156)</f>
        <v>0</v>
      </c>
      <c r="X156" s="688"/>
      <c r="Y156" s="679">
        <f>IF(D156&lt;&gt;0,($C157*(1-$V$1))-$D156,0)</f>
        <v>0</v>
      </c>
      <c r="Z156" s="431" t="str">
        <f>IFERROR(IF(C156&lt;&gt;"",$Y$1/(D154/100)*(C156/100),""),"")</f>
        <v/>
      </c>
      <c r="AA156" s="547" t="str">
        <f>IFERROR($AA$1/(D156/100)*(C154/100),"")</f>
        <v/>
      </c>
      <c r="AB156" s="38"/>
    </row>
    <row r="157" spans="1:32" ht="12.75" hidden="1" customHeight="1">
      <c r="A157" s="399" t="s">
        <v>276</v>
      </c>
      <c r="B157" s="316"/>
      <c r="C157" s="315"/>
      <c r="D157" s="728"/>
      <c r="E157" s="729"/>
      <c r="F157" s="317"/>
      <c r="G157" s="449"/>
      <c r="H157" s="312"/>
      <c r="I157" s="303"/>
      <c r="J157" s="303"/>
      <c r="K157" s="344">
        <v>25.276</v>
      </c>
      <c r="L157" s="310"/>
      <c r="M157" s="307"/>
      <c r="N157" s="310"/>
      <c r="O157" s="386"/>
      <c r="P157" s="396">
        <v>156</v>
      </c>
      <c r="Q157" s="349">
        <v>0</v>
      </c>
      <c r="R157" s="367">
        <v>0</v>
      </c>
      <c r="S157" s="369">
        <v>0</v>
      </c>
      <c r="T157" s="328">
        <v>0</v>
      </c>
      <c r="U157" s="360">
        <v>0</v>
      </c>
      <c r="V157" s="414">
        <v>0</v>
      </c>
      <c r="W157" s="678">
        <f>V156*(F156/100)</f>
        <v>0</v>
      </c>
      <c r="X157" s="689"/>
      <c r="Y157" s="687" t="str">
        <f>IFERROR(INT($AA$1/(F156/100)),"")</f>
        <v/>
      </c>
      <c r="Z157" s="430" t="str">
        <f>IFERROR(IF(C157&lt;&gt;"",$Y$1/(D155/100)*(C157/100),""),"")</f>
        <v/>
      </c>
      <c r="AA157" s="549" t="str">
        <f>IFERROR($AA$1/(D157/100)*(C155/100),"")</f>
        <v/>
      </c>
      <c r="AB157" s="38"/>
    </row>
    <row r="158" spans="1:32" ht="12.75" customHeight="1">
      <c r="A158" s="601" t="s">
        <v>575</v>
      </c>
      <c r="B158" s="331">
        <v>191</v>
      </c>
      <c r="C158" s="433">
        <v>38.1</v>
      </c>
      <c r="D158" s="342">
        <v>38.97</v>
      </c>
      <c r="E158" s="331">
        <v>500</v>
      </c>
      <c r="F158" s="701">
        <v>39.299999999999997</v>
      </c>
      <c r="G158" s="450">
        <v>2.6099999999999998E-2</v>
      </c>
      <c r="H158" s="318">
        <v>37.021999999999998</v>
      </c>
      <c r="I158" s="304">
        <v>39.299999999999997</v>
      </c>
      <c r="J158" s="304">
        <v>37.021999999999998</v>
      </c>
      <c r="K158" s="347">
        <v>38.299999999999997</v>
      </c>
      <c r="L158" s="330">
        <v>1597</v>
      </c>
      <c r="M158" s="308">
        <v>4188</v>
      </c>
      <c r="N158" s="330">
        <v>16</v>
      </c>
      <c r="O158" s="387">
        <v>45330.670624999999</v>
      </c>
      <c r="P158" s="397">
        <v>157</v>
      </c>
      <c r="Q158" s="350">
        <v>0</v>
      </c>
      <c r="R158" s="368">
        <v>0</v>
      </c>
      <c r="S158" s="374">
        <v>0</v>
      </c>
      <c r="T158" s="327">
        <v>0</v>
      </c>
      <c r="U158" s="359">
        <v>0</v>
      </c>
      <c r="V158" s="665">
        <v>0</v>
      </c>
      <c r="W158" s="666">
        <f t="shared" ref="W158" si="64">(V158*X158)</f>
        <v>0</v>
      </c>
      <c r="X158" s="667"/>
      <c r="Y158" s="662">
        <f>IF(D158&lt;&gt;0,($C159*(1-$V$1))-$D158,0)</f>
        <v>-0.92000000000000171</v>
      </c>
      <c r="Z158" s="429">
        <f>IFERROR(IF(C158&lt;&gt;"",$Y$1/(D154/100)*(C158/100),""),"")</f>
        <v>102.99617030862807</v>
      </c>
      <c r="AA158" s="548">
        <f>IFERROR($Z$1/(D158/100)*(C154/100),"")</f>
        <v>111765.46061072619</v>
      </c>
      <c r="AB158" s="38"/>
    </row>
    <row r="159" spans="1:32" ht="12.75" customHeight="1">
      <c r="A159" s="652" t="s">
        <v>277</v>
      </c>
      <c r="B159" s="653">
        <v>450</v>
      </c>
      <c r="C159" s="625">
        <v>38.049999999999997</v>
      </c>
      <c r="D159" s="727">
        <v>38.396999999999998</v>
      </c>
      <c r="E159" s="642">
        <v>500</v>
      </c>
      <c r="F159" s="654">
        <v>38.01</v>
      </c>
      <c r="G159" s="655">
        <v>-1.52E-2</v>
      </c>
      <c r="H159" s="629">
        <v>38.049999999999997</v>
      </c>
      <c r="I159" s="630">
        <v>38.4</v>
      </c>
      <c r="J159" s="630">
        <v>38</v>
      </c>
      <c r="K159" s="658">
        <v>38.6</v>
      </c>
      <c r="L159" s="613">
        <v>20884</v>
      </c>
      <c r="M159" s="632">
        <v>54868</v>
      </c>
      <c r="N159" s="613">
        <v>28</v>
      </c>
      <c r="O159" s="614">
        <v>45330.698923611111</v>
      </c>
      <c r="P159" s="396">
        <v>158</v>
      </c>
      <c r="Q159" s="616">
        <v>0</v>
      </c>
      <c r="R159" s="656">
        <v>0</v>
      </c>
      <c r="S159" s="618">
        <v>0</v>
      </c>
      <c r="T159" s="635">
        <v>0</v>
      </c>
      <c r="U159" s="598">
        <v>0</v>
      </c>
      <c r="V159" s="668">
        <v>0</v>
      </c>
      <c r="W159" s="675">
        <f>V158*(F158/100)</f>
        <v>0</v>
      </c>
      <c r="X159" s="669"/>
      <c r="Y159" s="663">
        <f>IFERROR(INT($Z$1/(F158/100)),"")</f>
        <v>254</v>
      </c>
      <c r="Z159" s="646">
        <f>IFERROR(IF(C159&lt;&gt;"",$Y$1/(D155/100)*(C159/100),""),"")</f>
        <v>102.1476510067114</v>
      </c>
      <c r="AA159" s="657">
        <f>IFERROR($Z$1/(D159/100)*(C155/100),"")</f>
        <v>114982.94137562832</v>
      </c>
      <c r="AB159" s="38"/>
    </row>
    <row r="160" spans="1:32" ht="12.75" customHeight="1">
      <c r="A160" s="365" t="s">
        <v>573</v>
      </c>
      <c r="B160" s="331">
        <v>703</v>
      </c>
      <c r="C160" s="433">
        <v>43555</v>
      </c>
      <c r="D160" s="342">
        <v>44390</v>
      </c>
      <c r="E160" s="331">
        <v>1368</v>
      </c>
      <c r="F160" s="376">
        <v>44495</v>
      </c>
      <c r="G160" s="446">
        <v>-1.11E-2</v>
      </c>
      <c r="H160" s="313">
        <v>44375</v>
      </c>
      <c r="I160" s="305">
        <v>45365</v>
      </c>
      <c r="J160" s="305">
        <v>43555</v>
      </c>
      <c r="K160" s="346">
        <v>44995</v>
      </c>
      <c r="L160" s="337">
        <v>18364990</v>
      </c>
      <c r="M160" s="309">
        <v>41476</v>
      </c>
      <c r="N160" s="337">
        <v>122</v>
      </c>
      <c r="O160" s="385">
        <v>45330.680428240739</v>
      </c>
      <c r="P160" s="397">
        <v>159</v>
      </c>
      <c r="Q160" s="352">
        <v>0</v>
      </c>
      <c r="R160" s="366">
        <v>0</v>
      </c>
      <c r="S160" s="372">
        <v>0</v>
      </c>
      <c r="T160" s="329">
        <v>0</v>
      </c>
      <c r="U160" s="650">
        <v>0</v>
      </c>
      <c r="V160" s="674"/>
      <c r="W160" s="670">
        <f t="shared" ref="W160" si="65">(V160*X160)</f>
        <v>0</v>
      </c>
      <c r="X160" s="671"/>
      <c r="Y160" s="593">
        <f>IF(D160&lt;&gt;0,($C161*(1-$V$1))-$D160,0)</f>
        <v>-240</v>
      </c>
      <c r="Z160" s="726"/>
      <c r="AA160" s="464"/>
    </row>
    <row r="161" spans="1:27" ht="12.75" customHeight="1">
      <c r="A161" s="364" t="s">
        <v>189</v>
      </c>
      <c r="B161" s="316">
        <v>429</v>
      </c>
      <c r="C161" s="315">
        <v>44150</v>
      </c>
      <c r="D161" s="728">
        <v>44700</v>
      </c>
      <c r="E161" s="729">
        <v>971</v>
      </c>
      <c r="F161" s="317">
        <v>44700</v>
      </c>
      <c r="G161" s="449">
        <v>-6.6E-3</v>
      </c>
      <c r="H161" s="312">
        <v>45000</v>
      </c>
      <c r="I161" s="303">
        <v>46800</v>
      </c>
      <c r="J161" s="303">
        <v>44050</v>
      </c>
      <c r="K161" s="344">
        <v>45000</v>
      </c>
      <c r="L161" s="310">
        <v>196693193</v>
      </c>
      <c r="M161" s="307">
        <v>440780</v>
      </c>
      <c r="N161" s="310">
        <v>430</v>
      </c>
      <c r="O161" s="386">
        <v>45330.708518518521</v>
      </c>
      <c r="P161" s="396">
        <v>160</v>
      </c>
      <c r="Q161" s="349">
        <v>0</v>
      </c>
      <c r="R161" s="367">
        <v>0</v>
      </c>
      <c r="S161" s="369">
        <v>0</v>
      </c>
      <c r="T161" s="328">
        <v>0</v>
      </c>
      <c r="U161" s="360">
        <v>0</v>
      </c>
      <c r="V161" s="672">
        <v>0</v>
      </c>
      <c r="W161" s="676">
        <f>V160*(F160/100)</f>
        <v>0</v>
      </c>
      <c r="X161" s="673"/>
      <c r="Y161" s="664">
        <f>IFERROR(INT($Y$1/(F160/100)),"")</f>
        <v>269</v>
      </c>
      <c r="Z161" s="592"/>
      <c r="AA161" s="465"/>
    </row>
    <row r="162" spans="1:27" ht="12.75" hidden="1" customHeight="1">
      <c r="A162" s="319" t="s">
        <v>574</v>
      </c>
      <c r="B162" s="331"/>
      <c r="C162" s="433"/>
      <c r="D162" s="342"/>
      <c r="E162" s="331"/>
      <c r="F162" s="701"/>
      <c r="G162" s="450"/>
      <c r="H162" s="318"/>
      <c r="I162" s="304"/>
      <c r="J162" s="304"/>
      <c r="K162" s="347">
        <v>21.007999999999999</v>
      </c>
      <c r="L162" s="330"/>
      <c r="M162" s="308"/>
      <c r="N162" s="330"/>
      <c r="O162" s="387"/>
      <c r="P162" s="397">
        <v>161</v>
      </c>
      <c r="Q162" s="350">
        <v>0</v>
      </c>
      <c r="R162" s="368">
        <v>0</v>
      </c>
      <c r="S162" s="374">
        <v>0</v>
      </c>
      <c r="T162" s="327">
        <v>0</v>
      </c>
      <c r="U162" s="359">
        <v>0</v>
      </c>
      <c r="V162" s="415"/>
      <c r="W162" s="677">
        <f t="shared" ref="W162" si="66">(V162*X162)</f>
        <v>0</v>
      </c>
      <c r="X162" s="688"/>
      <c r="Y162" s="679">
        <f>IF(D162&lt;&gt;0,($C163*(1-$V$1))-$D162,0)</f>
        <v>0</v>
      </c>
      <c r="Z162" s="431" t="str">
        <f>IFERROR(IF(C162&lt;&gt;"",$Y$1/(D160/100)*(C162/100),""),"")</f>
        <v/>
      </c>
      <c r="AA162" s="547" t="str">
        <f>IFERROR($AA$1/(D162/100)*(C160/100),"")</f>
        <v/>
      </c>
    </row>
    <row r="163" spans="1:27" ht="12.75" hidden="1" customHeight="1">
      <c r="A163" s="399" t="s">
        <v>276</v>
      </c>
      <c r="B163" s="316"/>
      <c r="C163" s="315"/>
      <c r="D163" s="728"/>
      <c r="E163" s="729"/>
      <c r="F163" s="317"/>
      <c r="G163" s="449"/>
      <c r="H163" s="312"/>
      <c r="I163" s="303"/>
      <c r="J163" s="303"/>
      <c r="K163" s="344">
        <v>25.276</v>
      </c>
      <c r="L163" s="310"/>
      <c r="M163" s="307"/>
      <c r="N163" s="310"/>
      <c r="O163" s="386"/>
      <c r="P163" s="396">
        <v>162</v>
      </c>
      <c r="Q163" s="349">
        <v>0</v>
      </c>
      <c r="R163" s="367">
        <v>0</v>
      </c>
      <c r="S163" s="369">
        <v>0</v>
      </c>
      <c r="T163" s="328">
        <v>0</v>
      </c>
      <c r="U163" s="360">
        <v>0</v>
      </c>
      <c r="V163" s="414">
        <v>0</v>
      </c>
      <c r="W163" s="678">
        <f>V162*(F162/100)</f>
        <v>0</v>
      </c>
      <c r="X163" s="689"/>
      <c r="Y163" s="687" t="str">
        <f>IFERROR(INT($AA$1/(F162/100)),"")</f>
        <v/>
      </c>
      <c r="Z163" s="430" t="str">
        <f>IFERROR(IF(C163&lt;&gt;"",$Y$1/(D161/100)*(C163/100),""),"")</f>
        <v/>
      </c>
      <c r="AA163" s="549" t="str">
        <f>IFERROR($AA$1/(D163/100)*(C161/100),"")</f>
        <v/>
      </c>
    </row>
    <row r="164" spans="1:27" ht="12.75" customHeight="1">
      <c r="A164" s="601" t="s">
        <v>575</v>
      </c>
      <c r="B164" s="331">
        <v>191</v>
      </c>
      <c r="C164" s="433">
        <v>38.1</v>
      </c>
      <c r="D164" s="342">
        <v>38.97</v>
      </c>
      <c r="E164" s="331">
        <v>500</v>
      </c>
      <c r="F164" s="701">
        <v>39.299999999999997</v>
      </c>
      <c r="G164" s="450">
        <v>2.6099999999999998E-2</v>
      </c>
      <c r="H164" s="318">
        <v>37.021999999999998</v>
      </c>
      <c r="I164" s="304">
        <v>39.299999999999997</v>
      </c>
      <c r="J164" s="304">
        <v>37.021999999999998</v>
      </c>
      <c r="K164" s="347">
        <v>38.299999999999997</v>
      </c>
      <c r="L164" s="330">
        <v>1597</v>
      </c>
      <c r="M164" s="308">
        <v>4188</v>
      </c>
      <c r="N164" s="330">
        <v>16</v>
      </c>
      <c r="O164" s="387">
        <v>45330.670624999999</v>
      </c>
      <c r="P164" s="397">
        <v>163</v>
      </c>
      <c r="Q164" s="350">
        <v>0</v>
      </c>
      <c r="R164" s="368">
        <v>0</v>
      </c>
      <c r="S164" s="374">
        <v>0</v>
      </c>
      <c r="T164" s="327">
        <v>0</v>
      </c>
      <c r="U164" s="359">
        <v>0</v>
      </c>
      <c r="V164" s="665">
        <v>0</v>
      </c>
      <c r="W164" s="666">
        <f t="shared" ref="W164" si="67">(V164*X164)</f>
        <v>0</v>
      </c>
      <c r="X164" s="667"/>
      <c r="Y164" s="662">
        <f>IF(D164&lt;&gt;0,($C165*(1-$V$1))-$D164,0)</f>
        <v>-0.92000000000000171</v>
      </c>
      <c r="Z164" s="429">
        <f>IFERROR(IF(C164&lt;&gt;"",$Y$1/(D160/100)*(C164/100),""),"")</f>
        <v>102.99617030862807</v>
      </c>
      <c r="AA164" s="548">
        <f>IFERROR($Z$1/(D164/100)*(C160/100),"")</f>
        <v>111765.46061072619</v>
      </c>
    </row>
    <row r="165" spans="1:27" ht="12.75" customHeight="1">
      <c r="A165" s="702" t="s">
        <v>277</v>
      </c>
      <c r="B165" s="653">
        <v>450</v>
      </c>
      <c r="C165" s="625">
        <v>38.049999999999997</v>
      </c>
      <c r="D165" s="727">
        <v>38.396999999999998</v>
      </c>
      <c r="E165" s="642">
        <v>500</v>
      </c>
      <c r="F165" s="703">
        <v>38.01</v>
      </c>
      <c r="G165" s="446">
        <v>-1.52E-2</v>
      </c>
      <c r="H165" s="313">
        <v>38.049999999999997</v>
      </c>
      <c r="I165" s="305">
        <v>38.4</v>
      </c>
      <c r="J165" s="305">
        <v>38</v>
      </c>
      <c r="K165" s="346">
        <v>38.6</v>
      </c>
      <c r="L165" s="337">
        <v>20884</v>
      </c>
      <c r="M165" s="309">
        <v>54868</v>
      </c>
      <c r="N165" s="337">
        <v>28</v>
      </c>
      <c r="O165" s="385">
        <v>45330.698923611111</v>
      </c>
      <c r="P165" s="396">
        <v>164</v>
      </c>
      <c r="Q165" s="352">
        <v>0</v>
      </c>
      <c r="R165" s="366">
        <v>0</v>
      </c>
      <c r="S165" s="372">
        <v>0</v>
      </c>
      <c r="T165" s="329">
        <v>0</v>
      </c>
      <c r="U165" s="704">
        <v>0</v>
      </c>
      <c r="V165" s="668">
        <v>0</v>
      </c>
      <c r="W165" s="705">
        <f>V164*(F164/100)</f>
        <v>0</v>
      </c>
      <c r="X165" s="706"/>
      <c r="Y165" s="707">
        <f>IFERROR(INT($Z$1/(F164/100)),"")</f>
        <v>254</v>
      </c>
      <c r="Z165" s="708">
        <f>IFERROR(IF(C165&lt;&gt;"",$Y$1/(D161/100)*(C165/100),""),"")</f>
        <v>102.1476510067114</v>
      </c>
      <c r="AA165" s="709">
        <f>IFERROR($Z$1/(D165/100)*(C161/100),"")</f>
        <v>114982.94137562832</v>
      </c>
    </row>
  </sheetData>
  <sortState xmlns:xlrd2="http://schemas.microsoft.com/office/spreadsheetml/2017/richdata2" ref="A15">
    <sortCondition descending="1" ref="A14:A15"/>
  </sortState>
  <mergeCells count="14">
    <mergeCell ref="AC153:AF153"/>
    <mergeCell ref="AC63:AF63"/>
    <mergeCell ref="AC69:AF69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  <mergeCell ref="Q1:R1"/>
  </mergeCells>
  <phoneticPr fontId="16" type="noConversion"/>
  <conditionalFormatting sqref="A54">
    <cfRule type="expression" dxfId="2071" priority="7555">
      <formula>V54&lt;&gt;0</formula>
    </cfRule>
  </conditionalFormatting>
  <conditionalFormatting sqref="A55">
    <cfRule type="expression" dxfId="2070" priority="7554">
      <formula>V55&lt;&gt;0</formula>
    </cfRule>
  </conditionalFormatting>
  <conditionalFormatting sqref="A56">
    <cfRule type="expression" dxfId="2069" priority="7553">
      <formula>V56&lt;&gt;0</formula>
    </cfRule>
  </conditionalFormatting>
  <conditionalFormatting sqref="A57">
    <cfRule type="expression" dxfId="2068" priority="7552">
      <formula>V57&lt;&gt;0</formula>
    </cfRule>
  </conditionalFormatting>
  <conditionalFormatting sqref="A58:A59">
    <cfRule type="expression" dxfId="2067" priority="7342">
      <formula>V58&lt;&gt;0</formula>
    </cfRule>
  </conditionalFormatting>
  <conditionalFormatting sqref="A60:A61">
    <cfRule type="expression" dxfId="2066" priority="12498">
      <formula>V60&lt;&gt;0</formula>
    </cfRule>
  </conditionalFormatting>
  <conditionalFormatting sqref="A62:A63">
    <cfRule type="expression" dxfId="2065" priority="12497">
      <formula>V62&lt;&gt;0</formula>
    </cfRule>
  </conditionalFormatting>
  <conditionalFormatting sqref="B58">
    <cfRule type="cellIs" dxfId="2064" priority="13186" operator="greaterThan">
      <formula>E58</formula>
    </cfRule>
  </conditionalFormatting>
  <conditionalFormatting sqref="G64:G153 G2:G29 G54:G57">
    <cfRule type="cellIs" dxfId="2063" priority="11759" operator="lessThan">
      <formula>0</formula>
    </cfRule>
  </conditionalFormatting>
  <conditionalFormatting sqref="Q2:T41 Q54:T153">
    <cfRule type="cellIs" dxfId="2062" priority="11268" operator="equal">
      <formula>0</formula>
    </cfRule>
  </conditionalFormatting>
  <conditionalFormatting sqref="V2:V41 V54:V75">
    <cfRule type="cellIs" dxfId="2061" priority="11761" operator="lessThan">
      <formula>0</formula>
    </cfRule>
    <cfRule type="cellIs" dxfId="2060" priority="11762" operator="equal">
      <formula>0</formula>
    </cfRule>
  </conditionalFormatting>
  <conditionalFormatting sqref="Y60 Y62">
    <cfRule type="cellIs" dxfId="2059" priority="7364" operator="lessThanOrEqual">
      <formula>0</formula>
    </cfRule>
  </conditionalFormatting>
  <conditionalFormatting sqref="Y30:Z41 W54:X57">
    <cfRule type="cellIs" dxfId="2058" priority="12011" operator="equal">
      <formula>0</formula>
    </cfRule>
  </conditionalFormatting>
  <conditionalFormatting sqref="W59">
    <cfRule type="cellIs" dxfId="2057" priority="7318" operator="equal">
      <formula>0</formula>
    </cfRule>
  </conditionalFormatting>
  <conditionalFormatting sqref="W58">
    <cfRule type="cellIs" dxfId="2056" priority="2428" operator="equal">
      <formula>0</formula>
    </cfRule>
    <cfRule type="cellIs" dxfId="2055" priority="2430" operator="lessThan">
      <formula>W59</formula>
    </cfRule>
    <cfRule type="cellIs" dxfId="2054" priority="7317" operator="lessThan">
      <formula>0</formula>
    </cfRule>
  </conditionalFormatting>
  <conditionalFormatting sqref="W61">
    <cfRule type="cellIs" dxfId="2053" priority="7316" operator="equal">
      <formula>0</formula>
    </cfRule>
  </conditionalFormatting>
  <conditionalFormatting sqref="W60">
    <cfRule type="cellIs" dxfId="2052" priority="2426" operator="equal">
      <formula>0</formula>
    </cfRule>
    <cfRule type="cellIs" dxfId="2051" priority="2427" operator="lessThan">
      <formula>W61</formula>
    </cfRule>
    <cfRule type="cellIs" dxfId="2050" priority="7315" operator="lessThan">
      <formula>0</formula>
    </cfRule>
  </conditionalFormatting>
  <conditionalFormatting sqref="W62">
    <cfRule type="cellIs" dxfId="2049" priority="2425" operator="equal">
      <formula>0</formula>
    </cfRule>
    <cfRule type="cellIs" dxfId="2048" priority="2431" operator="lessThan">
      <formula>W63</formula>
    </cfRule>
  </conditionalFormatting>
  <conditionalFormatting sqref="W19">
    <cfRule type="cellIs" dxfId="2047" priority="7222" operator="lessThan">
      <formula>0</formula>
    </cfRule>
  </conditionalFormatting>
  <conditionalFormatting sqref="W18">
    <cfRule type="cellIs" dxfId="2046" priority="7221" operator="lessThan">
      <formula>0</formula>
    </cfRule>
  </conditionalFormatting>
  <conditionalFormatting sqref="W21">
    <cfRule type="cellIs" dxfId="2045" priority="7220" operator="lessThan">
      <formula>0</formula>
    </cfRule>
  </conditionalFormatting>
  <conditionalFormatting sqref="W20">
    <cfRule type="cellIs" dxfId="2044" priority="7219" operator="lessThan">
      <formula>0</formula>
    </cfRule>
  </conditionalFormatting>
  <conditionalFormatting sqref="W11 W15">
    <cfRule type="cellIs" dxfId="2043" priority="7218" operator="lessThan">
      <formula>0</formula>
    </cfRule>
  </conditionalFormatting>
  <conditionalFormatting sqref="W10 W14">
    <cfRule type="cellIs" dxfId="2042" priority="7217" operator="lessThan">
      <formula>0</formula>
    </cfRule>
  </conditionalFormatting>
  <conditionalFormatting sqref="W13 W17">
    <cfRule type="cellIs" dxfId="2041" priority="7216" operator="lessThan">
      <formula>0</formula>
    </cfRule>
  </conditionalFormatting>
  <conditionalFormatting sqref="W12 W16">
    <cfRule type="cellIs" dxfId="2040" priority="7215" operator="lessThan">
      <formula>0</formula>
    </cfRule>
  </conditionalFormatting>
  <conditionalFormatting sqref="Z2 Z6 Z10 Z14">
    <cfRule type="cellIs" dxfId="2039" priority="6985" operator="equal">
      <formula>0</formula>
    </cfRule>
  </conditionalFormatting>
  <conditionalFormatting sqref="Z3 Z7 Z11 Z15">
    <cfRule type="cellIs" dxfId="2038" priority="6984" operator="equal">
      <formula>0</formula>
    </cfRule>
  </conditionalFormatting>
  <conditionalFormatting sqref="Z4 Z8 Z12 Z16">
    <cfRule type="cellIs" dxfId="2037" priority="6983" operator="equal">
      <formula>0</formula>
    </cfRule>
  </conditionalFormatting>
  <conditionalFormatting sqref="Z5 Z9 Z13 Z17">
    <cfRule type="cellIs" dxfId="2036" priority="6982" operator="equal">
      <formula>0</formula>
    </cfRule>
  </conditionalFormatting>
  <conditionalFormatting sqref="A64:A65">
    <cfRule type="expression" dxfId="2035" priority="6935">
      <formula>V64&lt;&gt;0</formula>
    </cfRule>
  </conditionalFormatting>
  <conditionalFormatting sqref="A66:A67">
    <cfRule type="expression" dxfId="2034" priority="6937">
      <formula>V66&lt;&gt;0</formula>
    </cfRule>
  </conditionalFormatting>
  <conditionalFormatting sqref="A70:A71">
    <cfRule type="expression" dxfId="2033" priority="6932">
      <formula>V70&lt;&gt;0</formula>
    </cfRule>
  </conditionalFormatting>
  <conditionalFormatting sqref="A72:A73">
    <cfRule type="expression" dxfId="2032" priority="6934">
      <formula>V72&lt;&gt;0</formula>
    </cfRule>
  </conditionalFormatting>
  <conditionalFormatting sqref="A76:A77">
    <cfRule type="expression" dxfId="2031" priority="6929">
      <formula>V76&lt;&gt;0</formula>
    </cfRule>
  </conditionalFormatting>
  <conditionalFormatting sqref="A78:A79">
    <cfRule type="expression" dxfId="2030" priority="6931">
      <formula>V78&lt;&gt;0</formula>
    </cfRule>
  </conditionalFormatting>
  <conditionalFormatting sqref="A82:A83">
    <cfRule type="expression" dxfId="2029" priority="6926">
      <formula>V82&lt;&gt;0</formula>
    </cfRule>
  </conditionalFormatting>
  <conditionalFormatting sqref="A84:A85">
    <cfRule type="expression" dxfId="2028" priority="6928">
      <formula>V84&lt;&gt;0</formula>
    </cfRule>
  </conditionalFormatting>
  <conditionalFormatting sqref="A88:A89">
    <cfRule type="expression" dxfId="2027" priority="6923">
      <formula>V88&lt;&gt;0</formula>
    </cfRule>
  </conditionalFormatting>
  <conditionalFormatting sqref="A90:A91">
    <cfRule type="expression" dxfId="2026" priority="6925">
      <formula>V90&lt;&gt;0</formula>
    </cfRule>
  </conditionalFormatting>
  <conditionalFormatting sqref="A94:A95">
    <cfRule type="expression" dxfId="2025" priority="6920">
      <formula>V94&lt;&gt;0</formula>
    </cfRule>
  </conditionalFormatting>
  <conditionalFormatting sqref="A96:A97">
    <cfRule type="expression" dxfId="2024" priority="6922">
      <formula>V96&lt;&gt;0</formula>
    </cfRule>
  </conditionalFormatting>
  <conditionalFormatting sqref="A100:A101">
    <cfRule type="expression" dxfId="2023" priority="6917">
      <formula>V100&lt;&gt;0</formula>
    </cfRule>
  </conditionalFormatting>
  <conditionalFormatting sqref="A102:A103">
    <cfRule type="expression" dxfId="2022" priority="6919">
      <formula>V102&lt;&gt;0</formula>
    </cfRule>
  </conditionalFormatting>
  <conditionalFormatting sqref="A106:A107">
    <cfRule type="expression" dxfId="2021" priority="6914">
      <formula>V106&lt;&gt;0</formula>
    </cfRule>
  </conditionalFormatting>
  <conditionalFormatting sqref="A108:A109">
    <cfRule type="expression" dxfId="2020" priority="6916">
      <formula>V108&lt;&gt;0</formula>
    </cfRule>
  </conditionalFormatting>
  <conditionalFormatting sqref="A112:A113">
    <cfRule type="expression" dxfId="2019" priority="6911">
      <formula>V112&lt;&gt;0</formula>
    </cfRule>
  </conditionalFormatting>
  <conditionalFormatting sqref="A114:A115">
    <cfRule type="expression" dxfId="2018" priority="6913">
      <formula>V114&lt;&gt;0</formula>
    </cfRule>
  </conditionalFormatting>
  <conditionalFormatting sqref="A118:A119">
    <cfRule type="expression" dxfId="2017" priority="6908">
      <formula>V118&lt;&gt;0</formula>
    </cfRule>
  </conditionalFormatting>
  <conditionalFormatting sqref="A120:A121">
    <cfRule type="expression" dxfId="2016" priority="6910">
      <formula>V120&lt;&gt;0</formula>
    </cfRule>
  </conditionalFormatting>
  <conditionalFormatting sqref="A124:A125">
    <cfRule type="expression" dxfId="2015" priority="6905">
      <formula>V124&lt;&gt;0</formula>
    </cfRule>
  </conditionalFormatting>
  <conditionalFormatting sqref="A126:A127">
    <cfRule type="expression" dxfId="2014" priority="6907">
      <formula>V126&lt;&gt;0</formula>
    </cfRule>
  </conditionalFormatting>
  <conditionalFormatting sqref="A130:A131">
    <cfRule type="expression" dxfId="2013" priority="6902">
      <formula>V130&lt;&gt;0</formula>
    </cfRule>
  </conditionalFormatting>
  <conditionalFormatting sqref="A132:A133">
    <cfRule type="expression" dxfId="2012" priority="6904">
      <formula>V132&lt;&gt;0</formula>
    </cfRule>
  </conditionalFormatting>
  <conditionalFormatting sqref="A136:A137">
    <cfRule type="expression" dxfId="2011" priority="6899">
      <formula>V136&lt;&gt;0</formula>
    </cfRule>
  </conditionalFormatting>
  <conditionalFormatting sqref="A138:A139">
    <cfRule type="expression" dxfId="2010" priority="6901">
      <formula>V138&lt;&gt;0</formula>
    </cfRule>
  </conditionalFormatting>
  <conditionalFormatting sqref="A142:A143">
    <cfRule type="expression" dxfId="2009" priority="6896">
      <formula>V142&lt;&gt;0</formula>
    </cfRule>
  </conditionalFormatting>
  <conditionalFormatting sqref="A144:A145">
    <cfRule type="expression" dxfId="2008" priority="6898">
      <formula>V144&lt;&gt;0</formula>
    </cfRule>
  </conditionalFormatting>
  <conditionalFormatting sqref="A148:A149">
    <cfRule type="expression" dxfId="2007" priority="6893">
      <formula>V148&lt;&gt;0</formula>
    </cfRule>
  </conditionalFormatting>
  <conditionalFormatting sqref="A150:A151">
    <cfRule type="expression" dxfId="2006" priority="6895">
      <formula>V150&lt;&gt;0</formula>
    </cfRule>
  </conditionalFormatting>
  <conditionalFormatting sqref="G58:G63">
    <cfRule type="cellIs" dxfId="2005" priority="6117" operator="lessThan">
      <formula>0</formula>
    </cfRule>
  </conditionalFormatting>
  <conditionalFormatting sqref="G22">
    <cfRule type="cellIs" dxfId="2004" priority="6116" operator="equal">
      <formula>0</formula>
    </cfRule>
  </conditionalFormatting>
  <conditionalFormatting sqref="G23">
    <cfRule type="cellIs" dxfId="2003" priority="6115" operator="equal">
      <formula>0</formula>
    </cfRule>
  </conditionalFormatting>
  <conditionalFormatting sqref="G24">
    <cfRule type="cellIs" dxfId="2002" priority="6114" operator="equal">
      <formula>0</formula>
    </cfRule>
  </conditionalFormatting>
  <conditionalFormatting sqref="G25">
    <cfRule type="cellIs" dxfId="2001" priority="6113" operator="equal">
      <formula>0</formula>
    </cfRule>
  </conditionalFormatting>
  <conditionalFormatting sqref="G26">
    <cfRule type="cellIs" dxfId="2000" priority="6112" operator="equal">
      <formula>0</formula>
    </cfRule>
  </conditionalFormatting>
  <conditionalFormatting sqref="G27">
    <cfRule type="cellIs" dxfId="1999" priority="6111" operator="equal">
      <formula>0</formula>
    </cfRule>
  </conditionalFormatting>
  <conditionalFormatting sqref="G28">
    <cfRule type="cellIs" dxfId="1998" priority="6110" operator="equal">
      <formula>0</formula>
    </cfRule>
  </conditionalFormatting>
  <conditionalFormatting sqref="G29">
    <cfRule type="cellIs" dxfId="1997" priority="6109" operator="equal">
      <formula>0</formula>
    </cfRule>
  </conditionalFormatting>
  <conditionalFormatting sqref="G2">
    <cfRule type="cellIs" dxfId="1996" priority="6108" operator="equal">
      <formula>0</formula>
    </cfRule>
  </conditionalFormatting>
  <conditionalFormatting sqref="G3">
    <cfRule type="cellIs" dxfId="1995" priority="6107" operator="equal">
      <formula>0</formula>
    </cfRule>
  </conditionalFormatting>
  <conditionalFormatting sqref="G4">
    <cfRule type="cellIs" dxfId="1994" priority="6106" operator="equal">
      <formula>0</formula>
    </cfRule>
  </conditionalFormatting>
  <conditionalFormatting sqref="G5">
    <cfRule type="cellIs" dxfId="1993" priority="6105" operator="equal">
      <formula>0</formula>
    </cfRule>
  </conditionalFormatting>
  <conditionalFormatting sqref="G6">
    <cfRule type="cellIs" dxfId="1992" priority="6104" operator="equal">
      <formula>0</formula>
    </cfRule>
  </conditionalFormatting>
  <conditionalFormatting sqref="G7">
    <cfRule type="cellIs" dxfId="1991" priority="6103" operator="equal">
      <formula>0</formula>
    </cfRule>
  </conditionalFormatting>
  <conditionalFormatting sqref="G8">
    <cfRule type="cellIs" dxfId="1990" priority="6102" operator="equal">
      <formula>0</formula>
    </cfRule>
  </conditionalFormatting>
  <conditionalFormatting sqref="G9">
    <cfRule type="cellIs" dxfId="1989" priority="6101" operator="equal">
      <formula>0</formula>
    </cfRule>
  </conditionalFormatting>
  <conditionalFormatting sqref="G10">
    <cfRule type="cellIs" dxfId="1988" priority="6100" operator="equal">
      <formula>0</formula>
    </cfRule>
  </conditionalFormatting>
  <conditionalFormatting sqref="G11">
    <cfRule type="cellIs" dxfId="1987" priority="6099" operator="equal">
      <formula>0</formula>
    </cfRule>
  </conditionalFormatting>
  <conditionalFormatting sqref="G12">
    <cfRule type="cellIs" dxfId="1986" priority="6098" operator="equal">
      <formula>0</formula>
    </cfRule>
  </conditionalFormatting>
  <conditionalFormatting sqref="G13">
    <cfRule type="cellIs" dxfId="1985" priority="6097" operator="equal">
      <formula>0</formula>
    </cfRule>
  </conditionalFormatting>
  <conditionalFormatting sqref="G14 G18">
    <cfRule type="cellIs" dxfId="1984" priority="6096" operator="equal">
      <formula>0</formula>
    </cfRule>
  </conditionalFormatting>
  <conditionalFormatting sqref="G15 G19">
    <cfRule type="cellIs" dxfId="1983" priority="6095" operator="equal">
      <formula>0</formula>
    </cfRule>
  </conditionalFormatting>
  <conditionalFormatting sqref="G16 G20">
    <cfRule type="cellIs" dxfId="1982" priority="6094" operator="equal">
      <formula>0</formula>
    </cfRule>
  </conditionalFormatting>
  <conditionalFormatting sqref="G17 G21">
    <cfRule type="cellIs" dxfId="1981" priority="6093" operator="equal">
      <formula>0</formula>
    </cfRule>
  </conditionalFormatting>
  <conditionalFormatting sqref="Y5">
    <cfRule type="cellIs" dxfId="1980" priority="6036" operator="equal">
      <formula>0</formula>
    </cfRule>
    <cfRule type="cellIs" dxfId="1979" priority="6039" operator="greaterThan">
      <formula>Y2</formula>
    </cfRule>
  </conditionalFormatting>
  <conditionalFormatting sqref="Y3">
    <cfRule type="cellIs" dxfId="1978" priority="6038" operator="equal">
      <formula>0</formula>
    </cfRule>
  </conditionalFormatting>
  <conditionalFormatting sqref="Y4">
    <cfRule type="cellIs" dxfId="1977" priority="6037" operator="equal">
      <formula>0</formula>
    </cfRule>
  </conditionalFormatting>
  <conditionalFormatting sqref="Y9">
    <cfRule type="cellIs" dxfId="1976" priority="6030" operator="equal">
      <formula>0</formula>
    </cfRule>
    <cfRule type="cellIs" dxfId="1975" priority="6033" operator="greaterThan">
      <formula>Y6</formula>
    </cfRule>
  </conditionalFormatting>
  <conditionalFormatting sqref="Y7">
    <cfRule type="cellIs" dxfId="1974" priority="6032" operator="equal">
      <formula>0</formula>
    </cfRule>
  </conditionalFormatting>
  <conditionalFormatting sqref="Y8">
    <cfRule type="cellIs" dxfId="1973" priority="6031" operator="equal">
      <formula>0</formula>
    </cfRule>
  </conditionalFormatting>
  <conditionalFormatting sqref="Y13 Y17">
    <cfRule type="cellIs" dxfId="1972" priority="6024" operator="equal">
      <formula>0</formula>
    </cfRule>
    <cfRule type="cellIs" dxfId="1971" priority="6027" operator="greaterThan">
      <formula>Y10</formula>
    </cfRule>
  </conditionalFormatting>
  <conditionalFormatting sqref="Y11 Y15">
    <cfRule type="cellIs" dxfId="1970" priority="6026" operator="equal">
      <formula>0</formula>
    </cfRule>
  </conditionalFormatting>
  <conditionalFormatting sqref="Y12 Y16">
    <cfRule type="cellIs" dxfId="1969" priority="6025" operator="equal">
      <formula>0</formula>
    </cfRule>
  </conditionalFormatting>
  <conditionalFormatting sqref="AA22">
    <cfRule type="cellIs" dxfId="1968" priority="5202" operator="equal">
      <formula>0</formula>
    </cfRule>
  </conditionalFormatting>
  <conditionalFormatting sqref="AA23">
    <cfRule type="cellIs" dxfId="1967" priority="5201" operator="equal">
      <formula>0</formula>
    </cfRule>
  </conditionalFormatting>
  <conditionalFormatting sqref="AA24">
    <cfRule type="cellIs" dxfId="1966" priority="5200" operator="equal">
      <formula>0</formula>
    </cfRule>
  </conditionalFormatting>
  <conditionalFormatting sqref="AA25">
    <cfRule type="cellIs" dxfId="1965" priority="5199" operator="equal">
      <formula>0</formula>
    </cfRule>
  </conditionalFormatting>
  <conditionalFormatting sqref="AA26">
    <cfRule type="cellIs" dxfId="1964" priority="5198" operator="equal">
      <formula>0</formula>
    </cfRule>
  </conditionalFormatting>
  <conditionalFormatting sqref="AA27">
    <cfRule type="cellIs" dxfId="1963" priority="5197" operator="equal">
      <formula>0</formula>
    </cfRule>
  </conditionalFormatting>
  <conditionalFormatting sqref="AA28">
    <cfRule type="cellIs" dxfId="1962" priority="5196" operator="equal">
      <formula>0</formula>
    </cfRule>
  </conditionalFormatting>
  <conditionalFormatting sqref="AA29">
    <cfRule type="cellIs" dxfId="1961" priority="5195" operator="equal">
      <formula>0</formula>
    </cfRule>
  </conditionalFormatting>
  <conditionalFormatting sqref="Y5 Y9 Y13 Y17">
    <cfRule type="expression" dxfId="1960" priority="15179">
      <formula>IF($Y5&gt;$Y2,AND(MID($A5,5,1)="D"))</formula>
    </cfRule>
    <cfRule type="expression" dxfId="1959" priority="15180">
      <formula>IF($Y5&gt;$Y2,AND(MID($A5,5,1)="C"))</formula>
    </cfRule>
  </conditionalFormatting>
  <conditionalFormatting sqref="AA2:AA3 AA6:AA7 AA10:AA11 AA14:AA15">
    <cfRule type="expression" dxfId="1958" priority="15187">
      <formula>IF($Y5&gt;$Y2,AND(MID($A2,5,1)="D"))</formula>
    </cfRule>
    <cfRule type="expression" dxfId="1957" priority="15188">
      <formula>IF($Y5&gt;$Y2,AND(MID($A2,5,1)="C"))</formula>
    </cfRule>
    <cfRule type="cellIs" dxfId="1956" priority="15189" operator="equal">
      <formula>0</formula>
    </cfRule>
  </conditionalFormatting>
  <conditionalFormatting sqref="AA4:AA5 AA8:AA9 AA12:AA13 AA16:AA17">
    <cfRule type="expression" dxfId="1955" priority="15199">
      <formula>IF($Y5&gt;$Y2,AND(MID($A5,5,1)="D"))</formula>
    </cfRule>
    <cfRule type="expression" dxfId="1954" priority="15200">
      <formula>IF($Y5&gt;$Y2,AND(MID($A5,5,1)="C"))</formula>
    </cfRule>
    <cfRule type="cellIs" dxfId="1953" priority="15201" operator="equal">
      <formula>0</formula>
    </cfRule>
  </conditionalFormatting>
  <conditionalFormatting sqref="Z18:AA18 Z20:AA20">
    <cfRule type="expression" dxfId="1952" priority="15211">
      <formula>IF($AA18&gt;$Y19,AND(MID($A18,5,1)=" "))</formula>
    </cfRule>
    <cfRule type="expression" dxfId="1951" priority="15212">
      <formula>IF($AA18&gt;$Y19,AND(MID($A18,5,1)="C"))</formula>
    </cfRule>
    <cfRule type="expression" dxfId="1950" priority="15213">
      <formula>IF($AA18&gt;$Y19,AND(MID($A18,5,1)="D"))</formula>
    </cfRule>
  </conditionalFormatting>
  <conditionalFormatting sqref="Z19:AA19 Z21:AA21">
    <cfRule type="expression" dxfId="1949" priority="15217">
      <formula>IF($AA19&gt;$Y18,AND(MID($A19,5,1)=" "))</formula>
    </cfRule>
    <cfRule type="expression" dxfId="1948" priority="15218">
      <formula>IF($AA19&gt;$Y18,AND(MID($A19,5,1)="C"))</formula>
    </cfRule>
    <cfRule type="expression" dxfId="1947" priority="15219">
      <formula>IF($AA19&gt;$Y18,AND(MID($A19,5,1)="D"))</formula>
    </cfRule>
  </conditionalFormatting>
  <conditionalFormatting sqref="B2 B6 B10 B14">
    <cfRule type="expression" dxfId="1946" priority="15223">
      <formula>IF($Y5&gt;$Y2,AND(MID($A2,5,1)=" "))</formula>
    </cfRule>
    <cfRule type="expression" dxfId="1945" priority="15224">
      <formula>IF($Y5&gt;$Y2,AND(MID($A2,5,1)="C"))</formula>
    </cfRule>
    <cfRule type="expression" dxfId="1944" priority="15225">
      <formula>IF($Y5&gt;$Y2,AND(MID($A2,5,1)="D"))</formula>
    </cfRule>
  </conditionalFormatting>
  <conditionalFormatting sqref="E3 E7 E11 E15">
    <cfRule type="expression" dxfId="1943" priority="15238">
      <formula>IF($Y5&gt;$Y2,AND(MID($A3,5,1)=" "))</formula>
    </cfRule>
    <cfRule type="expression" dxfId="1942" priority="15239">
      <formula>IF($Y5&gt;$Y2,AND(MID($A3,5,1)="C"))</formula>
    </cfRule>
    <cfRule type="expression" dxfId="1941" priority="15240">
      <formula>IF($Y5&gt;$Y2,AND(MID($A3,5,1)="D"))</formula>
    </cfRule>
  </conditionalFormatting>
  <conditionalFormatting sqref="B4 B8 B12 B16">
    <cfRule type="expression" dxfId="1940" priority="15253">
      <formula>IF($Y5&gt;$Y2,AND(MID($A4,5,1)=" "))</formula>
    </cfRule>
    <cfRule type="expression" dxfId="1939" priority="15254">
      <formula>IF($Y5&gt;$Y2,AND(MID($A4,5,1)="C"))</formula>
    </cfRule>
    <cfRule type="expression" dxfId="1938" priority="15255">
      <formula>IF($Y5&gt;$Y2,AND(MID($A4,5,1)="D"))</formula>
    </cfRule>
  </conditionalFormatting>
  <conditionalFormatting sqref="E5 E9 E13 E17">
    <cfRule type="expression" dxfId="1937" priority="15268">
      <formula>IF($Y5&gt;$Y2,AND(MID($A5,5,1)=" "))</formula>
    </cfRule>
    <cfRule type="expression" dxfId="1936" priority="15269">
      <formula>IF($Y5&gt;$Y2,AND(MID($A5,5,1)="C"))</formula>
    </cfRule>
    <cfRule type="expression" dxfId="1935" priority="15270">
      <formula>IF($Y5&gt;$Y2,AND(MID($A5,5,1)="D"))</formula>
    </cfRule>
  </conditionalFormatting>
  <conditionalFormatting sqref="C2 C6 C10 C14 C18">
    <cfRule type="expression" dxfId="1934" priority="15283">
      <formula>IF($Y5&gt;$Y2,AND(MID($A2,5,1)=" "))</formula>
    </cfRule>
    <cfRule type="expression" dxfId="1933" priority="15284">
      <formula>IF($Y5&gt;$Y2,AND(MID($A2,5,1)="C"))</formula>
    </cfRule>
    <cfRule type="expression" dxfId="1932" priority="15285">
      <formula>IF($Y5&gt;$Y2,AND(MID($A2,5,1)="D"))</formula>
    </cfRule>
  </conditionalFormatting>
  <conditionalFormatting sqref="D3 D7 D11 D15 D19">
    <cfRule type="expression" dxfId="1931" priority="15298">
      <formula>IF($Y5&gt;$Y2,AND(MID($A3,5,1)=" "))</formula>
    </cfRule>
    <cfRule type="expression" dxfId="1930" priority="15299">
      <formula>IF($Y5&gt;$Y2,AND(MID($A3,5,1)="C"))</formula>
    </cfRule>
    <cfRule type="expression" dxfId="1929" priority="15300">
      <formula>IF($Y5&gt;$Y2,AND(MID($A3,5,1)="D"))</formula>
    </cfRule>
  </conditionalFormatting>
  <conditionalFormatting sqref="D5 D9 D13 D17 D21">
    <cfRule type="expression" dxfId="1928" priority="15313">
      <formula>IF($Y5&gt;$Y2,AND(MID($A5,5,1)=" "))</formula>
    </cfRule>
    <cfRule type="expression" dxfId="1927" priority="15314">
      <formula>IF($Y5&gt;$Y2,AND(MID($A5,5,1)="C"))</formula>
    </cfRule>
    <cfRule type="expression" dxfId="1926" priority="15315">
      <formula>IF($Y5&gt;$Y2,AND(MID($A5,5,1)="D"))</formula>
    </cfRule>
  </conditionalFormatting>
  <conditionalFormatting sqref="C4 C8 C12 C16 C20">
    <cfRule type="expression" dxfId="1925" priority="15328">
      <formula>IF($Y5&gt;$Y2,AND(MID($A4,5,1)=" "))</formula>
    </cfRule>
    <cfRule type="expression" dxfId="1924" priority="15329">
      <formula>IF($Y5&gt;$Y2,AND(MID($A4,5,1)="C"))</formula>
    </cfRule>
    <cfRule type="expression" dxfId="1923" priority="15330">
      <formula>IF($Y5&gt;$Y2,AND(MID($A4,5,1)="D"))</formula>
    </cfRule>
  </conditionalFormatting>
  <conditionalFormatting sqref="A6 A14 A18 A2">
    <cfRule type="expression" dxfId="1922" priority="15343">
      <formula>$V10&lt;&gt;0</formula>
    </cfRule>
  </conditionalFormatting>
  <conditionalFormatting sqref="A9 A17 A5">
    <cfRule type="expression" dxfId="1921" priority="15363">
      <formula>$V13&lt;&gt;0</formula>
    </cfRule>
  </conditionalFormatting>
  <conditionalFormatting sqref="A7 A15 A3">
    <cfRule type="expression" dxfId="1920" priority="15383">
      <formula>$V11&lt;&gt;0</formula>
    </cfRule>
    <cfRule type="expression" dxfId="1919" priority="15384">
      <formula>IF($Y5&gt;$Y2,AND(MID($A3,5,1)=" "))</formula>
    </cfRule>
    <cfRule type="expression" dxfId="1918" priority="15385">
      <formula>IF($Y5&gt;$Y2,AND(MID($A3,5,1)="C"))</formula>
    </cfRule>
    <cfRule type="expression" dxfId="1917" priority="15386">
      <formula>IF($Y5&gt;$Y2,AND(MID($A3,5,1)="D"))</formula>
    </cfRule>
  </conditionalFormatting>
  <conditionalFormatting sqref="A8 A16 A4">
    <cfRule type="expression" dxfId="1916" priority="15403">
      <formula>$V12&lt;&gt;0</formula>
    </cfRule>
    <cfRule type="expression" dxfId="1915" priority="15404">
      <formula>IF($Y5&gt;$Y2,AND(MID($A4,5,1)=" "))</formula>
    </cfRule>
    <cfRule type="expression" dxfId="1914" priority="15405">
      <formula>IF($Y5&gt;$Y2,AND(MID($A4,5,1)="C"))</formula>
    </cfRule>
    <cfRule type="expression" dxfId="1913" priority="15406">
      <formula>IF($Y5&gt;$Y2,AND(MID($A4,5,1)="D"))</formula>
    </cfRule>
  </conditionalFormatting>
  <conditionalFormatting sqref="G154:G165">
    <cfRule type="cellIs" dxfId="1912" priority="5184" operator="lessThan">
      <formula>0</formula>
    </cfRule>
  </conditionalFormatting>
  <conditionalFormatting sqref="Q154:T165">
    <cfRule type="cellIs" dxfId="1911" priority="5181" operator="equal">
      <formula>0</formula>
    </cfRule>
  </conditionalFormatting>
  <conditionalFormatting sqref="A154:A155 A160:A161">
    <cfRule type="expression" dxfId="1910" priority="5176">
      <formula>V154&lt;&gt;0</formula>
    </cfRule>
  </conditionalFormatting>
  <conditionalFormatting sqref="A156:A157 A162:A163">
    <cfRule type="expression" dxfId="1909" priority="5178">
      <formula>V156&lt;&gt;0</formula>
    </cfRule>
  </conditionalFormatting>
  <conditionalFormatting sqref="Z60">
    <cfRule type="cellIs" dxfId="1908" priority="5158" operator="equal">
      <formula>0</formula>
    </cfRule>
  </conditionalFormatting>
  <conditionalFormatting sqref="AA60">
    <cfRule type="cellIs" dxfId="1907" priority="5157" operator="equal">
      <formula>0</formula>
    </cfRule>
  </conditionalFormatting>
  <conditionalFormatting sqref="Z61 Z63">
    <cfRule type="cellIs" dxfId="1906" priority="5155" operator="equal">
      <formula>0</formula>
    </cfRule>
  </conditionalFormatting>
  <conditionalFormatting sqref="AA61:AA63">
    <cfRule type="cellIs" dxfId="1905" priority="5154" operator="equal">
      <formula>0</formula>
    </cfRule>
  </conditionalFormatting>
  <conditionalFormatting sqref="Z66">
    <cfRule type="cellIs" dxfId="1904" priority="5153" operator="equal">
      <formula>0</formula>
    </cfRule>
  </conditionalFormatting>
  <conditionalFormatting sqref="AA66">
    <cfRule type="cellIs" dxfId="1903" priority="5152" operator="equal">
      <formula>0</formula>
    </cfRule>
  </conditionalFormatting>
  <conditionalFormatting sqref="Z67:Z69">
    <cfRule type="cellIs" dxfId="1902" priority="5150" operator="equal">
      <formula>0</formula>
    </cfRule>
  </conditionalFormatting>
  <conditionalFormatting sqref="AA67:AA69">
    <cfRule type="cellIs" dxfId="1901" priority="5149" operator="equal">
      <formula>0</formula>
    </cfRule>
  </conditionalFormatting>
  <conditionalFormatting sqref="Z72">
    <cfRule type="cellIs" dxfId="1900" priority="5148" operator="equal">
      <formula>0</formula>
    </cfRule>
  </conditionalFormatting>
  <conditionalFormatting sqref="AA72">
    <cfRule type="cellIs" dxfId="1899" priority="5147" operator="equal">
      <formula>0</formula>
    </cfRule>
  </conditionalFormatting>
  <conditionalFormatting sqref="Z73:Z75">
    <cfRule type="cellIs" dxfId="1898" priority="5145" operator="equal">
      <formula>0</formula>
    </cfRule>
  </conditionalFormatting>
  <conditionalFormatting sqref="AA73:AA75">
    <cfRule type="cellIs" dxfId="1897" priority="5144" operator="equal">
      <formula>0</formula>
    </cfRule>
  </conditionalFormatting>
  <conditionalFormatting sqref="Z78">
    <cfRule type="cellIs" dxfId="1896" priority="5143" operator="equal">
      <formula>0</formula>
    </cfRule>
  </conditionalFormatting>
  <conditionalFormatting sqref="AA78">
    <cfRule type="cellIs" dxfId="1895" priority="5142" operator="equal">
      <formula>0</formula>
    </cfRule>
  </conditionalFormatting>
  <conditionalFormatting sqref="Z79:Z81">
    <cfRule type="cellIs" dxfId="1894" priority="5140" operator="equal">
      <formula>0</formula>
    </cfRule>
  </conditionalFormatting>
  <conditionalFormatting sqref="AA79:AA81">
    <cfRule type="cellIs" dxfId="1893" priority="5139" operator="equal">
      <formula>0</formula>
    </cfRule>
  </conditionalFormatting>
  <conditionalFormatting sqref="Z84">
    <cfRule type="cellIs" dxfId="1892" priority="5138" operator="equal">
      <formula>0</formula>
    </cfRule>
  </conditionalFormatting>
  <conditionalFormatting sqref="AA84">
    <cfRule type="cellIs" dxfId="1891" priority="5137" operator="equal">
      <formula>0</formula>
    </cfRule>
  </conditionalFormatting>
  <conditionalFormatting sqref="Z85:Z87">
    <cfRule type="cellIs" dxfId="1890" priority="5135" operator="equal">
      <formula>0</formula>
    </cfRule>
  </conditionalFormatting>
  <conditionalFormatting sqref="AA85:AA87">
    <cfRule type="cellIs" dxfId="1889" priority="5134" operator="equal">
      <formula>0</formula>
    </cfRule>
  </conditionalFormatting>
  <conditionalFormatting sqref="Z90">
    <cfRule type="cellIs" dxfId="1888" priority="5133" operator="equal">
      <formula>0</formula>
    </cfRule>
  </conditionalFormatting>
  <conditionalFormatting sqref="AA90">
    <cfRule type="cellIs" dxfId="1887" priority="5132" operator="equal">
      <formula>0</formula>
    </cfRule>
  </conditionalFormatting>
  <conditionalFormatting sqref="Z91:Z93">
    <cfRule type="cellIs" dxfId="1886" priority="5130" operator="equal">
      <formula>0</formula>
    </cfRule>
  </conditionalFormatting>
  <conditionalFormatting sqref="AA91:AA93">
    <cfRule type="cellIs" dxfId="1885" priority="5129" operator="equal">
      <formula>0</formula>
    </cfRule>
  </conditionalFormatting>
  <conditionalFormatting sqref="Z96">
    <cfRule type="cellIs" dxfId="1884" priority="5128" operator="equal">
      <formula>0</formula>
    </cfRule>
  </conditionalFormatting>
  <conditionalFormatting sqref="AA96">
    <cfRule type="cellIs" dxfId="1883" priority="5127" operator="equal">
      <formula>0</formula>
    </cfRule>
  </conditionalFormatting>
  <conditionalFormatting sqref="Z97:Z99">
    <cfRule type="cellIs" dxfId="1882" priority="5125" operator="equal">
      <formula>0</formula>
    </cfRule>
  </conditionalFormatting>
  <conditionalFormatting sqref="AA97:AA99">
    <cfRule type="cellIs" dxfId="1881" priority="5124" operator="equal">
      <formula>0</formula>
    </cfRule>
  </conditionalFormatting>
  <conditionalFormatting sqref="Z102">
    <cfRule type="cellIs" dxfId="1880" priority="5123" operator="equal">
      <formula>0</formula>
    </cfRule>
  </conditionalFormatting>
  <conditionalFormatting sqref="AA102">
    <cfRule type="cellIs" dxfId="1879" priority="5122" operator="equal">
      <formula>0</formula>
    </cfRule>
  </conditionalFormatting>
  <conditionalFormatting sqref="Z103:Z105">
    <cfRule type="cellIs" dxfId="1878" priority="5120" operator="equal">
      <formula>0</formula>
    </cfRule>
  </conditionalFormatting>
  <conditionalFormatting sqref="AA103:AA105">
    <cfRule type="cellIs" dxfId="1877" priority="5119" operator="equal">
      <formula>0</formula>
    </cfRule>
  </conditionalFormatting>
  <conditionalFormatting sqref="Z108">
    <cfRule type="cellIs" dxfId="1876" priority="5118" operator="equal">
      <formula>0</formula>
    </cfRule>
  </conditionalFormatting>
  <conditionalFormatting sqref="AA108">
    <cfRule type="cellIs" dxfId="1875" priority="5117" operator="equal">
      <formula>0</formula>
    </cfRule>
  </conditionalFormatting>
  <conditionalFormatting sqref="Z132">
    <cfRule type="cellIs" dxfId="1874" priority="5098" operator="equal">
      <formula>0</formula>
    </cfRule>
  </conditionalFormatting>
  <conditionalFormatting sqref="Z109:Z111">
    <cfRule type="cellIs" dxfId="1873" priority="5115" operator="equal">
      <formula>0</formula>
    </cfRule>
  </conditionalFormatting>
  <conditionalFormatting sqref="AA109:AA111">
    <cfRule type="cellIs" dxfId="1872" priority="5114" operator="equal">
      <formula>0</formula>
    </cfRule>
  </conditionalFormatting>
  <conditionalFormatting sqref="Z114">
    <cfRule type="cellIs" dxfId="1871" priority="5113" operator="equal">
      <formula>0</formula>
    </cfRule>
  </conditionalFormatting>
  <conditionalFormatting sqref="AA114">
    <cfRule type="cellIs" dxfId="1870" priority="5112" operator="equal">
      <formula>0</formula>
    </cfRule>
  </conditionalFormatting>
  <conditionalFormatting sqref="Z133:Z135">
    <cfRule type="cellIs" dxfId="1869" priority="5095" operator="equal">
      <formula>0</formula>
    </cfRule>
  </conditionalFormatting>
  <conditionalFormatting sqref="Z115:Z117">
    <cfRule type="cellIs" dxfId="1868" priority="5110" operator="equal">
      <formula>0</formula>
    </cfRule>
  </conditionalFormatting>
  <conditionalFormatting sqref="AA115:AA117">
    <cfRule type="cellIs" dxfId="1867" priority="5109" operator="equal">
      <formula>0</formula>
    </cfRule>
  </conditionalFormatting>
  <conditionalFormatting sqref="Z120">
    <cfRule type="cellIs" dxfId="1866" priority="5108" operator="equal">
      <formula>0</formula>
    </cfRule>
  </conditionalFormatting>
  <conditionalFormatting sqref="AA120">
    <cfRule type="cellIs" dxfId="1865" priority="5107" operator="equal">
      <formula>0</formula>
    </cfRule>
  </conditionalFormatting>
  <conditionalFormatting sqref="AA138">
    <cfRule type="cellIs" dxfId="1864" priority="5092" operator="equal">
      <formula>0</formula>
    </cfRule>
  </conditionalFormatting>
  <conditionalFormatting sqref="Z121:Z123">
    <cfRule type="cellIs" dxfId="1863" priority="5105" operator="equal">
      <formula>0</formula>
    </cfRule>
  </conditionalFormatting>
  <conditionalFormatting sqref="AA121:AA123">
    <cfRule type="cellIs" dxfId="1862" priority="5104" operator="equal">
      <formula>0</formula>
    </cfRule>
  </conditionalFormatting>
  <conditionalFormatting sqref="Z126">
    <cfRule type="cellIs" dxfId="1861" priority="5103" operator="equal">
      <formula>0</formula>
    </cfRule>
  </conditionalFormatting>
  <conditionalFormatting sqref="AA126">
    <cfRule type="cellIs" dxfId="1860" priority="5102" operator="equal">
      <formula>0</formula>
    </cfRule>
  </conditionalFormatting>
  <conditionalFormatting sqref="AA139:AA141">
    <cfRule type="cellIs" dxfId="1859" priority="5089" operator="equal">
      <formula>0</formula>
    </cfRule>
  </conditionalFormatting>
  <conditionalFormatting sqref="Z127:Z129">
    <cfRule type="cellIs" dxfId="1858" priority="5100" operator="equal">
      <formula>0</formula>
    </cfRule>
  </conditionalFormatting>
  <conditionalFormatting sqref="AA127:AA129">
    <cfRule type="cellIs" dxfId="1857" priority="5099" operator="equal">
      <formula>0</formula>
    </cfRule>
  </conditionalFormatting>
  <conditionalFormatting sqref="AA132">
    <cfRule type="cellIs" dxfId="1856" priority="5097" operator="equal">
      <formula>0</formula>
    </cfRule>
  </conditionalFormatting>
  <conditionalFormatting sqref="AA133:AA135">
    <cfRule type="cellIs" dxfId="1855" priority="5094" operator="equal">
      <formula>0</formula>
    </cfRule>
  </conditionalFormatting>
  <conditionalFormatting sqref="Z138">
    <cfRule type="cellIs" dxfId="1854" priority="5093" operator="equal">
      <formula>0</formula>
    </cfRule>
  </conditionalFormatting>
  <conditionalFormatting sqref="Z150">
    <cfRule type="cellIs" dxfId="1853" priority="5083" operator="equal">
      <formula>0</formula>
    </cfRule>
  </conditionalFormatting>
  <conditionalFormatting sqref="Z139:Z141">
    <cfRule type="cellIs" dxfId="1852" priority="5090" operator="equal">
      <formula>0</formula>
    </cfRule>
  </conditionalFormatting>
  <conditionalFormatting sqref="Z144">
    <cfRule type="cellIs" dxfId="1851" priority="5088" operator="equal">
      <formula>0</formula>
    </cfRule>
  </conditionalFormatting>
  <conditionalFormatting sqref="AA144">
    <cfRule type="cellIs" dxfId="1850" priority="5087" operator="equal">
      <formula>0</formula>
    </cfRule>
  </conditionalFormatting>
  <conditionalFormatting sqref="Z151:Z153">
    <cfRule type="cellIs" dxfId="1849" priority="5080" operator="equal">
      <formula>0</formula>
    </cfRule>
  </conditionalFormatting>
  <conditionalFormatting sqref="Z145:Z147">
    <cfRule type="cellIs" dxfId="1848" priority="5085" operator="equal">
      <formula>0</formula>
    </cfRule>
  </conditionalFormatting>
  <conditionalFormatting sqref="AA145:AA147">
    <cfRule type="cellIs" dxfId="1847" priority="5084" operator="equal">
      <formula>0</formula>
    </cfRule>
  </conditionalFormatting>
  <conditionalFormatting sqref="AA150">
    <cfRule type="cellIs" dxfId="1846" priority="5082" operator="equal">
      <formula>0</formula>
    </cfRule>
  </conditionalFormatting>
  <conditionalFormatting sqref="AA156 AA162">
    <cfRule type="cellIs" dxfId="1845" priority="5077" operator="equal">
      <formula>0</formula>
    </cfRule>
  </conditionalFormatting>
  <conditionalFormatting sqref="AA151:AA153">
    <cfRule type="cellIs" dxfId="1844" priority="5079" operator="equal">
      <formula>0</formula>
    </cfRule>
  </conditionalFormatting>
  <conditionalFormatting sqref="Z156 Z162">
    <cfRule type="cellIs" dxfId="1843" priority="5078" operator="equal">
      <formula>0</formula>
    </cfRule>
  </conditionalFormatting>
  <conditionalFormatting sqref="AA157:AA159 AA163:AA165">
    <cfRule type="cellIs" dxfId="1842" priority="5074" operator="equal">
      <formula>0</formula>
    </cfRule>
  </conditionalFormatting>
  <conditionalFormatting sqref="Z157:Z159 Z163:Z165">
    <cfRule type="cellIs" dxfId="1841" priority="5075" operator="equal">
      <formula>0</formula>
    </cfRule>
  </conditionalFormatting>
  <conditionalFormatting sqref="AA62 AA68 AA74 AA80 AA86 AA92 AA98 AA104 AA110 AA116 AA122 AA128 AA134 AA140 AA146 AA152 AA158 AA164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840" priority="5068" operator="equal">
      <formula>0</formula>
    </cfRule>
  </conditionalFormatting>
  <conditionalFormatting sqref="B18:B19">
    <cfRule type="cellIs" dxfId="1839" priority="5030" operator="greaterThan">
      <formula>E18</formula>
    </cfRule>
  </conditionalFormatting>
  <conditionalFormatting sqref="E18:E19">
    <cfRule type="cellIs" dxfId="1838" priority="5029" operator="greaterThan">
      <formula>B18</formula>
    </cfRule>
  </conditionalFormatting>
  <conditionalFormatting sqref="E20:E21">
    <cfRule type="cellIs" dxfId="1837" priority="5028" operator="greaterThan">
      <formula>B20</formula>
    </cfRule>
  </conditionalFormatting>
  <conditionalFormatting sqref="B20:B21">
    <cfRule type="cellIs" dxfId="1836" priority="5027" operator="greaterThan">
      <formula>E20</formula>
    </cfRule>
  </conditionalFormatting>
  <conditionalFormatting sqref="A18">
    <cfRule type="expression" dxfId="1835" priority="5026">
      <formula>V18&lt;&gt;0</formula>
    </cfRule>
  </conditionalFormatting>
  <conditionalFormatting sqref="A19">
    <cfRule type="expression" dxfId="1834" priority="5022">
      <formula>$V27&lt;&gt;0</formula>
    </cfRule>
    <cfRule type="expression" dxfId="1833" priority="5023">
      <formula>IF($Y22&gt;$Y19,AND(MID($A19,5,1)=" "))</formula>
    </cfRule>
    <cfRule type="expression" dxfId="1832" priority="5024">
      <formula>IF($Y22&gt;$Y19,AND(MID($A19,5,1)="C"))</formula>
    </cfRule>
    <cfRule type="expression" dxfId="1831" priority="5025">
      <formula>IF($Y22&gt;$Y19,AND(MID($A19,5,1)="D"))</formula>
    </cfRule>
  </conditionalFormatting>
  <conditionalFormatting sqref="A19">
    <cfRule type="expression" dxfId="1830" priority="5021">
      <formula>V19&lt;&gt;0</formula>
    </cfRule>
  </conditionalFormatting>
  <conditionalFormatting sqref="A20">
    <cfRule type="expression" dxfId="1829" priority="5017">
      <formula>$V28&lt;&gt;0</formula>
    </cfRule>
    <cfRule type="expression" dxfId="1828" priority="5018">
      <formula>IF($Y23&gt;$Y20,AND(MID($A20,5,1)=" "))</formula>
    </cfRule>
    <cfRule type="expression" dxfId="1827" priority="5019">
      <formula>IF($Y23&gt;$Y20,AND(MID($A20,5,1)="C"))</formula>
    </cfRule>
    <cfRule type="expression" dxfId="1826" priority="5020">
      <formula>IF($Y23&gt;$Y20,AND(MID($A20,5,1)="D"))</formula>
    </cfRule>
  </conditionalFormatting>
  <conditionalFormatting sqref="A20">
    <cfRule type="expression" dxfId="1825" priority="5016">
      <formula>V20&lt;&gt;0</formula>
    </cfRule>
  </conditionalFormatting>
  <conditionalFormatting sqref="A21">
    <cfRule type="expression" dxfId="1824" priority="5012">
      <formula>$V29&lt;&gt;0</formula>
    </cfRule>
    <cfRule type="expression" dxfId="1823" priority="5013">
      <formula>IF($Y24&gt;$Y21,AND(MID($A21,5,1)=" "))</formula>
    </cfRule>
    <cfRule type="expression" dxfId="1822" priority="5014">
      <formula>IF($Y24&gt;$Y21,AND(MID($A21,5,1)="C"))</formula>
    </cfRule>
    <cfRule type="expression" dxfId="1821" priority="5015">
      <formula>IF($Y24&gt;$Y21,AND(MID($A21,5,1)="D"))</formula>
    </cfRule>
  </conditionalFormatting>
  <conditionalFormatting sqref="A21">
    <cfRule type="expression" dxfId="1820" priority="5011">
      <formula>V21&lt;&gt;0</formula>
    </cfRule>
  </conditionalFormatting>
  <conditionalFormatting sqref="Y58">
    <cfRule type="cellIs" dxfId="1819" priority="4958" operator="lessThanOrEqual">
      <formula>0</formula>
    </cfRule>
  </conditionalFormatting>
  <conditionalFormatting sqref="Y54">
    <cfRule type="cellIs" dxfId="1818" priority="4847" operator="greaterThan">
      <formula>Z54</formula>
    </cfRule>
    <cfRule type="cellIs" dxfId="1817" priority="4848" operator="lessThanOrEqual">
      <formula>0</formula>
    </cfRule>
  </conditionalFormatting>
  <conditionalFormatting sqref="Y56">
    <cfRule type="cellIs" dxfId="1816" priority="4845" operator="greaterThan">
      <formula>Z56</formula>
    </cfRule>
    <cfRule type="cellIs" dxfId="1815" priority="4846" operator="lessThanOrEqual">
      <formula>0</formula>
    </cfRule>
  </conditionalFormatting>
  <conditionalFormatting sqref="A68:A69">
    <cfRule type="expression" dxfId="1814" priority="4843">
      <formula>V68&lt;&gt;0</formula>
    </cfRule>
  </conditionalFormatting>
  <conditionalFormatting sqref="A74:A75">
    <cfRule type="expression" dxfId="1813" priority="4842">
      <formula>V74&lt;&gt;0</formula>
    </cfRule>
  </conditionalFormatting>
  <conditionalFormatting sqref="A80:A81">
    <cfRule type="expression" dxfId="1812" priority="4841">
      <formula>V80&lt;&gt;0</formula>
    </cfRule>
  </conditionalFormatting>
  <conditionalFormatting sqref="A86:A87">
    <cfRule type="expression" dxfId="1811" priority="4840">
      <formula>V86&lt;&gt;0</formula>
    </cfRule>
  </conditionalFormatting>
  <conditionalFormatting sqref="A92:A93">
    <cfRule type="expression" dxfId="1810" priority="4839">
      <formula>V92&lt;&gt;0</formula>
    </cfRule>
  </conditionalFormatting>
  <conditionalFormatting sqref="A98:A99">
    <cfRule type="expression" dxfId="1809" priority="4838">
      <formula>V98&lt;&gt;0</formula>
    </cfRule>
  </conditionalFormatting>
  <conditionalFormatting sqref="A104:A105">
    <cfRule type="expression" dxfId="1808" priority="4837">
      <formula>V104&lt;&gt;0</formula>
    </cfRule>
  </conditionalFormatting>
  <conditionalFormatting sqref="A110:A111">
    <cfRule type="expression" dxfId="1807" priority="4836">
      <formula>V110&lt;&gt;0</formula>
    </cfRule>
  </conditionalFormatting>
  <conditionalFormatting sqref="A116:A117">
    <cfRule type="expression" dxfId="1806" priority="4835">
      <formula>V116&lt;&gt;0</formula>
    </cfRule>
  </conditionalFormatting>
  <conditionalFormatting sqref="A122:A123">
    <cfRule type="expression" dxfId="1805" priority="4834">
      <formula>V122&lt;&gt;0</formula>
    </cfRule>
  </conditionalFormatting>
  <conditionalFormatting sqref="A128:A129">
    <cfRule type="expression" dxfId="1804" priority="4833">
      <formula>V128&lt;&gt;0</formula>
    </cfRule>
  </conditionalFormatting>
  <conditionalFormatting sqref="A134:A135">
    <cfRule type="expression" dxfId="1803" priority="4832">
      <formula>V134&lt;&gt;0</formula>
    </cfRule>
  </conditionalFormatting>
  <conditionalFormatting sqref="A140:A141">
    <cfRule type="expression" dxfId="1802" priority="4831">
      <formula>V140&lt;&gt;0</formula>
    </cfRule>
  </conditionalFormatting>
  <conditionalFormatting sqref="A146:A147">
    <cfRule type="expression" dxfId="1801" priority="4830">
      <formula>V146&lt;&gt;0</formula>
    </cfRule>
  </conditionalFormatting>
  <conditionalFormatting sqref="A152:A153">
    <cfRule type="expression" dxfId="1800" priority="4829">
      <formula>V152&lt;&gt;0</formula>
    </cfRule>
  </conditionalFormatting>
  <conditionalFormatting sqref="A158:A159">
    <cfRule type="expression" dxfId="1799" priority="4828">
      <formula>V158&lt;&gt;0</formula>
    </cfRule>
  </conditionalFormatting>
  <conditionalFormatting sqref="A164:A165">
    <cfRule type="expression" dxfId="1798" priority="4827">
      <formula>V164&lt;&gt;0</formula>
    </cfRule>
  </conditionalFormatting>
  <conditionalFormatting sqref="X58">
    <cfRule type="expression" dxfId="1797" priority="4805">
      <formula>F58/100&lt;X58</formula>
    </cfRule>
    <cfRule type="expression" dxfId="1796" priority="4806">
      <formula>X58&lt;F58/100</formula>
    </cfRule>
  </conditionalFormatting>
  <conditionalFormatting sqref="X59">
    <cfRule type="expression" dxfId="1795" priority="4803">
      <formula>F59/100&lt;X59</formula>
    </cfRule>
    <cfRule type="expression" dxfId="1794" priority="4804">
      <formula>X59&lt;F59/100</formula>
    </cfRule>
  </conditionalFormatting>
  <conditionalFormatting sqref="X60">
    <cfRule type="expression" dxfId="1793" priority="4731">
      <formula>F60/100&lt;X60</formula>
    </cfRule>
    <cfRule type="expression" dxfId="1792" priority="4732">
      <formula>X60&lt;F60/100</formula>
    </cfRule>
  </conditionalFormatting>
  <conditionalFormatting sqref="X61">
    <cfRule type="expression" dxfId="1791" priority="4729">
      <formula>F61/100&lt;X61</formula>
    </cfRule>
    <cfRule type="expression" dxfId="1790" priority="4730">
      <formula>X61&lt;F61/100</formula>
    </cfRule>
  </conditionalFormatting>
  <conditionalFormatting sqref="X62">
    <cfRule type="expression" dxfId="1789" priority="4727">
      <formula>F62/100&lt;X62</formula>
    </cfRule>
    <cfRule type="expression" dxfId="1788" priority="4728">
      <formula>X62&lt;F62/100</formula>
    </cfRule>
  </conditionalFormatting>
  <conditionalFormatting sqref="X63">
    <cfRule type="expression" dxfId="1787" priority="4725">
      <formula>F63/100&lt;X63</formula>
    </cfRule>
    <cfRule type="expression" dxfId="1786" priority="4726">
      <formula>X63&lt;F63/100</formula>
    </cfRule>
  </conditionalFormatting>
  <conditionalFormatting sqref="W63">
    <cfRule type="cellIs" dxfId="1785" priority="2413" operator="equal">
      <formula>0</formula>
    </cfRule>
    <cfRule type="cellIs" dxfId="1784" priority="3890" operator="greaterThan">
      <formula>W62</formula>
    </cfRule>
  </conditionalFormatting>
  <conditionalFormatting sqref="A10">
    <cfRule type="expression" dxfId="1783" priority="2593">
      <formula>$V18&lt;&gt;0</formula>
    </cfRule>
    <cfRule type="expression" dxfId="1782" priority="2594">
      <formula>IF($Y13&gt;$Y10,AND(MID($A10,5,1)=" "))</formula>
    </cfRule>
    <cfRule type="expression" dxfId="1781" priority="2595">
      <formula>IF($Y13&gt;$Y10,AND(MID($A10,5,1)="C"))</formula>
    </cfRule>
    <cfRule type="expression" dxfId="1780" priority="2596">
      <formula>IF($Y13&gt;$Y10,AND(MID($A10,5,1)="D"))</formula>
    </cfRule>
  </conditionalFormatting>
  <conditionalFormatting sqref="A13">
    <cfRule type="expression" dxfId="1779" priority="2597">
      <formula>$V21&lt;&gt;0</formula>
    </cfRule>
    <cfRule type="expression" dxfId="1778" priority="2598">
      <formula>IF($Y13&gt;$Y10,AND(MID($A13,5,1)=" "))</formula>
    </cfRule>
    <cfRule type="expression" dxfId="1777" priority="2599">
      <formula>IF($Y13&gt;$Y10,AND(MID($A13,5,1)="C"))</formula>
    </cfRule>
    <cfRule type="expression" dxfId="1776" priority="2600">
      <formula>IF($Y13&gt;$Y10,AND(MID($A13,5,1)="D"))</formula>
    </cfRule>
  </conditionalFormatting>
  <conditionalFormatting sqref="A11">
    <cfRule type="expression" dxfId="1775" priority="2601">
      <formula>$V19&lt;&gt;0</formula>
    </cfRule>
    <cfRule type="expression" dxfId="1774" priority="2602">
      <formula>IF($Y13&gt;$Y10,AND(MID($A11,5,1)=" "))</formula>
    </cfRule>
    <cfRule type="expression" dxfId="1773" priority="2603">
      <formula>IF($Y13&gt;$Y10,AND(MID($A11,5,1)="C"))</formula>
    </cfRule>
    <cfRule type="expression" dxfId="1772" priority="2604">
      <formula>IF($Y13&gt;$Y10,AND(MID($A11,5,1)="D"))</formula>
    </cfRule>
  </conditionalFormatting>
  <conditionalFormatting sqref="A12">
    <cfRule type="expression" dxfId="1771" priority="2605">
      <formula>$V20&lt;&gt;0</formula>
    </cfRule>
    <cfRule type="expression" dxfId="1770" priority="2606">
      <formula>IF($Y13&gt;$Y10,AND(MID($A12,5,1)=" "))</formula>
    </cfRule>
    <cfRule type="expression" dxfId="1769" priority="2607">
      <formula>IF($Y13&gt;$Y10,AND(MID($A12,5,1)="C"))</formula>
    </cfRule>
    <cfRule type="expression" dxfId="1768" priority="2608">
      <formula>IF($Y13&gt;$Y10,AND(MID($A12,5,1)="D"))</formula>
    </cfRule>
  </conditionalFormatting>
  <conditionalFormatting sqref="Y59">
    <cfRule type="cellIs" dxfId="1767" priority="2554" operator="equal">
      <formula>0</formula>
    </cfRule>
  </conditionalFormatting>
  <conditionalFormatting sqref="Y61">
    <cfRule type="cellIs" dxfId="1766" priority="2553" operator="equal">
      <formula>0</formula>
    </cfRule>
  </conditionalFormatting>
  <conditionalFormatting sqref="Y63">
    <cfRule type="cellIs" dxfId="1765" priority="2552" operator="equal">
      <formula>0</formula>
    </cfRule>
  </conditionalFormatting>
  <conditionalFormatting sqref="Y66 Y68">
    <cfRule type="cellIs" dxfId="1764" priority="2516" operator="lessThanOrEqual">
      <formula>0</formula>
    </cfRule>
  </conditionalFormatting>
  <conditionalFormatting sqref="Y64">
    <cfRule type="cellIs" dxfId="1763" priority="2515" operator="lessThanOrEqual">
      <formula>0</formula>
    </cfRule>
  </conditionalFormatting>
  <conditionalFormatting sqref="Y65">
    <cfRule type="cellIs" dxfId="1762" priority="2514" operator="equal">
      <formula>0</formula>
    </cfRule>
  </conditionalFormatting>
  <conditionalFormatting sqref="Y67">
    <cfRule type="cellIs" dxfId="1761" priority="2513" operator="equal">
      <formula>0</formula>
    </cfRule>
  </conditionalFormatting>
  <conditionalFormatting sqref="Y69">
    <cfRule type="cellIs" dxfId="1760" priority="2512" operator="equal">
      <formula>0</formula>
    </cfRule>
  </conditionalFormatting>
  <conditionalFormatting sqref="Y72 Y74">
    <cfRule type="cellIs" dxfId="1759" priority="2511" operator="lessThanOrEqual">
      <formula>0</formula>
    </cfRule>
  </conditionalFormatting>
  <conditionalFormatting sqref="Y70">
    <cfRule type="cellIs" dxfId="1758" priority="2510" operator="lessThanOrEqual">
      <formula>0</formula>
    </cfRule>
  </conditionalFormatting>
  <conditionalFormatting sqref="Y71">
    <cfRule type="cellIs" dxfId="1757" priority="2509" operator="equal">
      <formula>0</formula>
    </cfRule>
  </conditionalFormatting>
  <conditionalFormatting sqref="Y73">
    <cfRule type="cellIs" dxfId="1756" priority="2508" operator="equal">
      <formula>0</formula>
    </cfRule>
  </conditionalFormatting>
  <conditionalFormatting sqref="Y75">
    <cfRule type="cellIs" dxfId="1755" priority="2507" operator="equal">
      <formula>0</formula>
    </cfRule>
  </conditionalFormatting>
  <conditionalFormatting sqref="Y78 Y80">
    <cfRule type="cellIs" dxfId="1754" priority="2506" operator="lessThanOrEqual">
      <formula>0</formula>
    </cfRule>
  </conditionalFormatting>
  <conditionalFormatting sqref="Y76">
    <cfRule type="cellIs" dxfId="1753" priority="2505" operator="lessThanOrEqual">
      <formula>0</formula>
    </cfRule>
  </conditionalFormatting>
  <conditionalFormatting sqref="Y77">
    <cfRule type="cellIs" dxfId="1752" priority="2504" operator="equal">
      <formula>0</formula>
    </cfRule>
  </conditionalFormatting>
  <conditionalFormatting sqref="Y79">
    <cfRule type="cellIs" dxfId="1751" priority="2503" operator="equal">
      <formula>0</formula>
    </cfRule>
  </conditionalFormatting>
  <conditionalFormatting sqref="Y81">
    <cfRule type="cellIs" dxfId="1750" priority="2502" operator="equal">
      <formula>0</formula>
    </cfRule>
  </conditionalFormatting>
  <conditionalFormatting sqref="Y84 Y86">
    <cfRule type="cellIs" dxfId="1749" priority="2501" operator="lessThanOrEqual">
      <formula>0</formula>
    </cfRule>
  </conditionalFormatting>
  <conditionalFormatting sqref="Y82">
    <cfRule type="cellIs" dxfId="1748" priority="2500" operator="lessThanOrEqual">
      <formula>0</formula>
    </cfRule>
  </conditionalFormatting>
  <conditionalFormatting sqref="Y83">
    <cfRule type="cellIs" dxfId="1747" priority="2499" operator="equal">
      <formula>0</formula>
    </cfRule>
  </conditionalFormatting>
  <conditionalFormatting sqref="Y85">
    <cfRule type="cellIs" dxfId="1746" priority="2498" operator="equal">
      <formula>0</formula>
    </cfRule>
  </conditionalFormatting>
  <conditionalFormatting sqref="Y87">
    <cfRule type="cellIs" dxfId="1745" priority="2497" operator="equal">
      <formula>0</formula>
    </cfRule>
  </conditionalFormatting>
  <conditionalFormatting sqref="Y90 Y92">
    <cfRule type="cellIs" dxfId="1744" priority="2496" operator="lessThanOrEqual">
      <formula>0</formula>
    </cfRule>
  </conditionalFormatting>
  <conditionalFormatting sqref="Y88">
    <cfRule type="cellIs" dxfId="1743" priority="2495" operator="lessThanOrEqual">
      <formula>0</formula>
    </cfRule>
  </conditionalFormatting>
  <conditionalFormatting sqref="Y89">
    <cfRule type="cellIs" dxfId="1742" priority="2494" operator="equal">
      <formula>0</formula>
    </cfRule>
  </conditionalFormatting>
  <conditionalFormatting sqref="Y91">
    <cfRule type="cellIs" dxfId="1741" priority="2493" operator="equal">
      <formula>0</formula>
    </cfRule>
  </conditionalFormatting>
  <conditionalFormatting sqref="Y93">
    <cfRule type="cellIs" dxfId="1740" priority="2492" operator="equal">
      <formula>0</formula>
    </cfRule>
  </conditionalFormatting>
  <conditionalFormatting sqref="Y96 Y98">
    <cfRule type="cellIs" dxfId="1739" priority="2491" operator="lessThanOrEqual">
      <formula>0</formula>
    </cfRule>
  </conditionalFormatting>
  <conditionalFormatting sqref="Y94">
    <cfRule type="cellIs" dxfId="1738" priority="2490" operator="lessThanOrEqual">
      <formula>0</formula>
    </cfRule>
  </conditionalFormatting>
  <conditionalFormatting sqref="Y95">
    <cfRule type="cellIs" dxfId="1737" priority="2489" operator="equal">
      <formula>0</formula>
    </cfRule>
  </conditionalFormatting>
  <conditionalFormatting sqref="Y97">
    <cfRule type="cellIs" dxfId="1736" priority="2488" operator="equal">
      <formula>0</formula>
    </cfRule>
  </conditionalFormatting>
  <conditionalFormatting sqref="Y99">
    <cfRule type="cellIs" dxfId="1735" priority="2487" operator="equal">
      <formula>0</formula>
    </cfRule>
  </conditionalFormatting>
  <conditionalFormatting sqref="Y102 Y104">
    <cfRule type="cellIs" dxfId="1734" priority="2486" operator="lessThanOrEqual">
      <formula>0</formula>
    </cfRule>
  </conditionalFormatting>
  <conditionalFormatting sqref="Y100">
    <cfRule type="cellIs" dxfId="1733" priority="2485" operator="lessThanOrEqual">
      <formula>0</formula>
    </cfRule>
  </conditionalFormatting>
  <conditionalFormatting sqref="Y101">
    <cfRule type="cellIs" dxfId="1732" priority="2484" operator="equal">
      <formula>0</formula>
    </cfRule>
  </conditionalFormatting>
  <conditionalFormatting sqref="Y103">
    <cfRule type="cellIs" dxfId="1731" priority="2483" operator="equal">
      <formula>0</formula>
    </cfRule>
  </conditionalFormatting>
  <conditionalFormatting sqref="Y105">
    <cfRule type="cellIs" dxfId="1730" priority="2482" operator="equal">
      <formula>0</formula>
    </cfRule>
  </conditionalFormatting>
  <conditionalFormatting sqref="Y108 Y110">
    <cfRule type="cellIs" dxfId="1729" priority="2481" operator="lessThanOrEqual">
      <formula>0</formula>
    </cfRule>
  </conditionalFormatting>
  <conditionalFormatting sqref="Y106">
    <cfRule type="cellIs" dxfId="1728" priority="2480" operator="lessThanOrEqual">
      <formula>0</formula>
    </cfRule>
  </conditionalFormatting>
  <conditionalFormatting sqref="Y107">
    <cfRule type="cellIs" dxfId="1727" priority="2479" operator="equal">
      <formula>0</formula>
    </cfRule>
  </conditionalFormatting>
  <conditionalFormatting sqref="Y109">
    <cfRule type="cellIs" dxfId="1726" priority="2478" operator="equal">
      <formula>0</formula>
    </cfRule>
  </conditionalFormatting>
  <conditionalFormatting sqref="Y111">
    <cfRule type="cellIs" dxfId="1725" priority="2477" operator="equal">
      <formula>0</formula>
    </cfRule>
  </conditionalFormatting>
  <conditionalFormatting sqref="Y114 Y116">
    <cfRule type="cellIs" dxfId="1724" priority="2476" operator="lessThanOrEqual">
      <formula>0</formula>
    </cfRule>
  </conditionalFormatting>
  <conditionalFormatting sqref="Y112">
    <cfRule type="cellIs" dxfId="1723" priority="2475" operator="lessThanOrEqual">
      <formula>0</formula>
    </cfRule>
  </conditionalFormatting>
  <conditionalFormatting sqref="Y113">
    <cfRule type="cellIs" dxfId="1722" priority="2474" operator="equal">
      <formula>0</formula>
    </cfRule>
  </conditionalFormatting>
  <conditionalFormatting sqref="Y115">
    <cfRule type="cellIs" dxfId="1721" priority="2473" operator="equal">
      <formula>0</formula>
    </cfRule>
  </conditionalFormatting>
  <conditionalFormatting sqref="Y117">
    <cfRule type="cellIs" dxfId="1720" priority="2472" operator="equal">
      <formula>0</formula>
    </cfRule>
  </conditionalFormatting>
  <conditionalFormatting sqref="Y120 Y122">
    <cfRule type="cellIs" dxfId="1719" priority="2471" operator="lessThanOrEqual">
      <formula>0</formula>
    </cfRule>
  </conditionalFormatting>
  <conditionalFormatting sqref="Y118">
    <cfRule type="cellIs" dxfId="1718" priority="2470" operator="lessThanOrEqual">
      <formula>0</formula>
    </cfRule>
  </conditionalFormatting>
  <conditionalFormatting sqref="Y119">
    <cfRule type="cellIs" dxfId="1717" priority="2469" operator="equal">
      <formula>0</formula>
    </cfRule>
  </conditionalFormatting>
  <conditionalFormatting sqref="Y121">
    <cfRule type="cellIs" dxfId="1716" priority="2468" operator="equal">
      <formula>0</formula>
    </cfRule>
  </conditionalFormatting>
  <conditionalFormatting sqref="Y123">
    <cfRule type="cellIs" dxfId="1715" priority="2467" operator="equal">
      <formula>0</formula>
    </cfRule>
  </conditionalFormatting>
  <conditionalFormatting sqref="Y126 Y128">
    <cfRule type="cellIs" dxfId="1714" priority="2466" operator="lessThanOrEqual">
      <formula>0</formula>
    </cfRule>
  </conditionalFormatting>
  <conditionalFormatting sqref="Y124">
    <cfRule type="cellIs" dxfId="1713" priority="2465" operator="lessThanOrEqual">
      <formula>0</formula>
    </cfRule>
  </conditionalFormatting>
  <conditionalFormatting sqref="Y125">
    <cfRule type="cellIs" dxfId="1712" priority="2464" operator="equal">
      <formula>0</formula>
    </cfRule>
  </conditionalFormatting>
  <conditionalFormatting sqref="Y127">
    <cfRule type="cellIs" dxfId="1711" priority="2463" operator="equal">
      <formula>0</formula>
    </cfRule>
  </conditionalFormatting>
  <conditionalFormatting sqref="Y129">
    <cfRule type="cellIs" dxfId="1710" priority="2462" operator="equal">
      <formula>0</formula>
    </cfRule>
  </conditionalFormatting>
  <conditionalFormatting sqref="Y132 Y134">
    <cfRule type="cellIs" dxfId="1709" priority="2461" operator="lessThanOrEqual">
      <formula>0</formula>
    </cfRule>
  </conditionalFormatting>
  <conditionalFormatting sqref="Y130">
    <cfRule type="cellIs" dxfId="1708" priority="2460" operator="lessThanOrEqual">
      <formula>0</formula>
    </cfRule>
  </conditionalFormatting>
  <conditionalFormatting sqref="Y131">
    <cfRule type="cellIs" dxfId="1707" priority="2459" operator="equal">
      <formula>0</formula>
    </cfRule>
  </conditionalFormatting>
  <conditionalFormatting sqref="Y133">
    <cfRule type="cellIs" dxfId="1706" priority="2458" operator="equal">
      <formula>0</formula>
    </cfRule>
  </conditionalFormatting>
  <conditionalFormatting sqref="Y135">
    <cfRule type="cellIs" dxfId="1705" priority="2457" operator="equal">
      <formula>0</formula>
    </cfRule>
  </conditionalFormatting>
  <conditionalFormatting sqref="Y138 Y140">
    <cfRule type="cellIs" dxfId="1704" priority="2456" operator="lessThanOrEqual">
      <formula>0</formula>
    </cfRule>
  </conditionalFormatting>
  <conditionalFormatting sqref="Y136">
    <cfRule type="cellIs" dxfId="1703" priority="2455" operator="lessThanOrEqual">
      <formula>0</formula>
    </cfRule>
  </conditionalFormatting>
  <conditionalFormatting sqref="Y137">
    <cfRule type="cellIs" dxfId="1702" priority="2454" operator="equal">
      <formula>0</formula>
    </cfRule>
  </conditionalFormatting>
  <conditionalFormatting sqref="Y139">
    <cfRule type="cellIs" dxfId="1701" priority="2453" operator="equal">
      <formula>0</formula>
    </cfRule>
  </conditionalFormatting>
  <conditionalFormatting sqref="Y141">
    <cfRule type="cellIs" dxfId="1700" priority="2452" operator="equal">
      <formula>0</formula>
    </cfRule>
  </conditionalFormatting>
  <conditionalFormatting sqref="Y144 Y146">
    <cfRule type="cellIs" dxfId="1699" priority="2451" operator="lessThanOrEqual">
      <formula>0</formula>
    </cfRule>
  </conditionalFormatting>
  <conditionalFormatting sqref="Y142">
    <cfRule type="cellIs" dxfId="1698" priority="2450" operator="lessThanOrEqual">
      <formula>0</formula>
    </cfRule>
  </conditionalFormatting>
  <conditionalFormatting sqref="Y143">
    <cfRule type="cellIs" dxfId="1697" priority="2449" operator="equal">
      <formula>0</formula>
    </cfRule>
  </conditionalFormatting>
  <conditionalFormatting sqref="Y145">
    <cfRule type="cellIs" dxfId="1696" priority="2448" operator="equal">
      <formula>0</formula>
    </cfRule>
  </conditionalFormatting>
  <conditionalFormatting sqref="Y147">
    <cfRule type="cellIs" dxfId="1695" priority="2447" operator="equal">
      <formula>0</formula>
    </cfRule>
  </conditionalFormatting>
  <conditionalFormatting sqref="Y150 Y152">
    <cfRule type="cellIs" dxfId="1694" priority="2446" operator="lessThanOrEqual">
      <formula>0</formula>
    </cfRule>
  </conditionalFormatting>
  <conditionalFormatting sqref="Y148">
    <cfRule type="cellIs" dxfId="1693" priority="2445" operator="lessThanOrEqual">
      <formula>0</formula>
    </cfRule>
  </conditionalFormatting>
  <conditionalFormatting sqref="Y149">
    <cfRule type="cellIs" dxfId="1692" priority="2444" operator="equal">
      <formula>0</formula>
    </cfRule>
  </conditionalFormatting>
  <conditionalFormatting sqref="Y151">
    <cfRule type="cellIs" dxfId="1691" priority="2443" operator="equal">
      <formula>0</formula>
    </cfRule>
  </conditionalFormatting>
  <conditionalFormatting sqref="Y153">
    <cfRule type="cellIs" dxfId="1690" priority="2442" operator="equal">
      <formula>0</formula>
    </cfRule>
  </conditionalFormatting>
  <conditionalFormatting sqref="Y156 Y158">
    <cfRule type="cellIs" dxfId="1689" priority="2441" operator="lessThanOrEqual">
      <formula>0</formula>
    </cfRule>
  </conditionalFormatting>
  <conditionalFormatting sqref="Y154">
    <cfRule type="cellIs" dxfId="1688" priority="2440" operator="lessThanOrEqual">
      <formula>0</formula>
    </cfRule>
  </conditionalFormatting>
  <conditionalFormatting sqref="Y155">
    <cfRule type="cellIs" dxfId="1687" priority="2439" operator="equal">
      <formula>0</formula>
    </cfRule>
  </conditionalFormatting>
  <conditionalFormatting sqref="Y157">
    <cfRule type="cellIs" dxfId="1686" priority="2438" operator="equal">
      <formula>0</formula>
    </cfRule>
  </conditionalFormatting>
  <conditionalFormatting sqref="Y159">
    <cfRule type="cellIs" dxfId="1685" priority="2437" operator="equal">
      <formula>0</formula>
    </cfRule>
  </conditionalFormatting>
  <conditionalFormatting sqref="Y162 Y164">
    <cfRule type="cellIs" dxfId="1684" priority="2436" operator="lessThanOrEqual">
      <formula>0</formula>
    </cfRule>
  </conditionalFormatting>
  <conditionalFormatting sqref="Y160">
    <cfRule type="cellIs" dxfId="1683" priority="2435" operator="lessThanOrEqual">
      <formula>0</formula>
    </cfRule>
  </conditionalFormatting>
  <conditionalFormatting sqref="Y161">
    <cfRule type="cellIs" dxfId="1682" priority="2434" operator="equal">
      <formula>0</formula>
    </cfRule>
  </conditionalFormatting>
  <conditionalFormatting sqref="Y163">
    <cfRule type="cellIs" dxfId="1681" priority="2433" operator="equal">
      <formula>0</formula>
    </cfRule>
  </conditionalFormatting>
  <conditionalFormatting sqref="Y165">
    <cfRule type="cellIs" dxfId="1680" priority="2432" operator="equal">
      <formula>0</formula>
    </cfRule>
  </conditionalFormatting>
  <conditionalFormatting sqref="W65">
    <cfRule type="cellIs" dxfId="1679" priority="1974" operator="lessThan">
      <formula>W64</formula>
    </cfRule>
    <cfRule type="cellIs" dxfId="1678" priority="2400" operator="equal">
      <formula>0</formula>
    </cfRule>
  </conditionalFormatting>
  <conditionalFormatting sqref="W64">
    <cfRule type="cellIs" dxfId="1677" priority="1975" operator="lessThan">
      <formula>W65</formula>
    </cfRule>
    <cfRule type="cellIs" dxfId="1676" priority="2393" operator="equal">
      <formula>0</formula>
    </cfRule>
    <cfRule type="cellIs" dxfId="1675" priority="2394" operator="lessThan">
      <formula>W65</formula>
    </cfRule>
    <cfRule type="cellIs" dxfId="1674" priority="2399" operator="lessThan">
      <formula>0</formula>
    </cfRule>
  </conditionalFormatting>
  <conditionalFormatting sqref="W67">
    <cfRule type="cellIs" dxfId="1673" priority="2398" operator="equal">
      <formula>0</formula>
    </cfRule>
  </conditionalFormatting>
  <conditionalFormatting sqref="W66">
    <cfRule type="cellIs" dxfId="1672" priority="2391" operator="equal">
      <formula>0</formula>
    </cfRule>
    <cfRule type="cellIs" dxfId="1671" priority="2392" operator="lessThan">
      <formula>W67</formula>
    </cfRule>
    <cfRule type="cellIs" dxfId="1670" priority="2397" operator="lessThan">
      <formula>0</formula>
    </cfRule>
  </conditionalFormatting>
  <conditionalFormatting sqref="W68">
    <cfRule type="cellIs" dxfId="1669" priority="2390" operator="equal">
      <formula>0</formula>
    </cfRule>
    <cfRule type="cellIs" dxfId="1668" priority="2395" operator="lessThan">
      <formula>W69</formula>
    </cfRule>
  </conditionalFormatting>
  <conditionalFormatting sqref="W73">
    <cfRule type="cellIs" dxfId="1667" priority="2386" operator="equal">
      <formula>0</formula>
    </cfRule>
  </conditionalFormatting>
  <conditionalFormatting sqref="W72">
    <cfRule type="cellIs" dxfId="1666" priority="2379" operator="equal">
      <formula>0</formula>
    </cfRule>
    <cfRule type="cellIs" dxfId="1665" priority="2380" operator="lessThan">
      <formula>W73</formula>
    </cfRule>
    <cfRule type="cellIs" dxfId="1664" priority="2385" operator="lessThan">
      <formula>0</formula>
    </cfRule>
  </conditionalFormatting>
  <conditionalFormatting sqref="W74">
    <cfRule type="cellIs" dxfId="1663" priority="2378" operator="equal">
      <formula>0</formula>
    </cfRule>
    <cfRule type="cellIs" dxfId="1662" priority="2383" operator="lessThan">
      <formula>W75</formula>
    </cfRule>
  </conditionalFormatting>
  <conditionalFormatting sqref="W79">
    <cfRule type="cellIs" dxfId="1661" priority="2374" operator="equal">
      <formula>0</formula>
    </cfRule>
  </conditionalFormatting>
  <conditionalFormatting sqref="W78">
    <cfRule type="cellIs" dxfId="1660" priority="2367" operator="equal">
      <formula>0</formula>
    </cfRule>
    <cfRule type="cellIs" dxfId="1659" priority="2368" operator="lessThan">
      <formula>W79</formula>
    </cfRule>
    <cfRule type="cellIs" dxfId="1658" priority="2373" operator="lessThan">
      <formula>0</formula>
    </cfRule>
  </conditionalFormatting>
  <conditionalFormatting sqref="W80">
    <cfRule type="cellIs" dxfId="1657" priority="2366" operator="equal">
      <formula>0</formula>
    </cfRule>
    <cfRule type="cellIs" dxfId="1656" priority="2371" operator="lessThan">
      <formula>W81</formula>
    </cfRule>
  </conditionalFormatting>
  <conditionalFormatting sqref="W81">
    <cfRule type="cellIs" dxfId="1655" priority="2365" operator="equal">
      <formula>0</formula>
    </cfRule>
    <cfRule type="cellIs" dxfId="1654" priority="2372" operator="greaterThan">
      <formula>W80</formula>
    </cfRule>
  </conditionalFormatting>
  <conditionalFormatting sqref="W85">
    <cfRule type="cellIs" dxfId="1653" priority="2362" operator="equal">
      <formula>0</formula>
    </cfRule>
  </conditionalFormatting>
  <conditionalFormatting sqref="W84">
    <cfRule type="cellIs" dxfId="1652" priority="2355" operator="equal">
      <formula>0</formula>
    </cfRule>
    <cfRule type="cellIs" dxfId="1651" priority="2356" operator="lessThan">
      <formula>W85</formula>
    </cfRule>
    <cfRule type="cellIs" dxfId="1650" priority="2361" operator="lessThan">
      <formula>0</formula>
    </cfRule>
  </conditionalFormatting>
  <conditionalFormatting sqref="W86">
    <cfRule type="cellIs" dxfId="1649" priority="2354" operator="equal">
      <formula>0</formula>
    </cfRule>
    <cfRule type="cellIs" dxfId="1648" priority="2359" operator="lessThan">
      <formula>W87</formula>
    </cfRule>
  </conditionalFormatting>
  <conditionalFormatting sqref="W87">
    <cfRule type="cellIs" dxfId="1647" priority="2353" operator="equal">
      <formula>0</formula>
    </cfRule>
    <cfRule type="cellIs" dxfId="1646" priority="2360" operator="greaterThan">
      <formula>W86</formula>
    </cfRule>
  </conditionalFormatting>
  <conditionalFormatting sqref="W91">
    <cfRule type="cellIs" dxfId="1645" priority="2350" operator="equal">
      <formula>0</formula>
    </cfRule>
  </conditionalFormatting>
  <conditionalFormatting sqref="W90">
    <cfRule type="cellIs" dxfId="1644" priority="2343" operator="equal">
      <formula>0</formula>
    </cfRule>
    <cfRule type="cellIs" dxfId="1643" priority="2344" operator="lessThan">
      <formula>W91</formula>
    </cfRule>
    <cfRule type="cellIs" dxfId="1642" priority="2349" operator="lessThan">
      <formula>0</formula>
    </cfRule>
  </conditionalFormatting>
  <conditionalFormatting sqref="W92">
    <cfRule type="cellIs" dxfId="1641" priority="2342" operator="equal">
      <formula>0</formula>
    </cfRule>
    <cfRule type="cellIs" dxfId="1640" priority="2347" operator="lessThan">
      <formula>W93</formula>
    </cfRule>
  </conditionalFormatting>
  <conditionalFormatting sqref="W93">
    <cfRule type="cellIs" dxfId="1639" priority="2341" operator="equal">
      <formula>0</formula>
    </cfRule>
    <cfRule type="cellIs" dxfId="1638" priority="2348" operator="greaterThan">
      <formula>W92</formula>
    </cfRule>
  </conditionalFormatting>
  <conditionalFormatting sqref="W97">
    <cfRule type="cellIs" dxfId="1637" priority="2338" operator="equal">
      <formula>0</formula>
    </cfRule>
  </conditionalFormatting>
  <conditionalFormatting sqref="W96">
    <cfRule type="cellIs" dxfId="1636" priority="2331" operator="equal">
      <formula>0</formula>
    </cfRule>
    <cfRule type="cellIs" dxfId="1635" priority="2332" operator="lessThan">
      <formula>W97</formula>
    </cfRule>
    <cfRule type="cellIs" dxfId="1634" priority="2337" operator="lessThan">
      <formula>0</formula>
    </cfRule>
  </conditionalFormatting>
  <conditionalFormatting sqref="W98">
    <cfRule type="cellIs" dxfId="1633" priority="2330" operator="equal">
      <formula>0</formula>
    </cfRule>
    <cfRule type="cellIs" dxfId="1632" priority="2335" operator="lessThan">
      <formula>W99</formula>
    </cfRule>
  </conditionalFormatting>
  <conditionalFormatting sqref="W99">
    <cfRule type="cellIs" dxfId="1631" priority="2329" operator="equal">
      <formula>0</formula>
    </cfRule>
    <cfRule type="cellIs" dxfId="1630" priority="2336" operator="greaterThan">
      <formula>W98</formula>
    </cfRule>
  </conditionalFormatting>
  <conditionalFormatting sqref="W103">
    <cfRule type="cellIs" dxfId="1629" priority="2326" operator="equal">
      <formula>0</formula>
    </cfRule>
  </conditionalFormatting>
  <conditionalFormatting sqref="W102">
    <cfRule type="cellIs" dxfId="1628" priority="2319" operator="equal">
      <formula>0</formula>
    </cfRule>
    <cfRule type="cellIs" dxfId="1627" priority="2320" operator="lessThan">
      <formula>W103</formula>
    </cfRule>
    <cfRule type="cellIs" dxfId="1626" priority="2325" operator="lessThan">
      <formula>0</formula>
    </cfRule>
  </conditionalFormatting>
  <conditionalFormatting sqref="W104">
    <cfRule type="cellIs" dxfId="1625" priority="2318" operator="equal">
      <formula>0</formula>
    </cfRule>
    <cfRule type="cellIs" dxfId="1624" priority="2323" operator="lessThan">
      <formula>W105</formula>
    </cfRule>
  </conditionalFormatting>
  <conditionalFormatting sqref="W105">
    <cfRule type="cellIs" dxfId="1623" priority="2317" operator="equal">
      <formula>0</formula>
    </cfRule>
    <cfRule type="cellIs" dxfId="1622" priority="2324" operator="greaterThan">
      <formula>W104</formula>
    </cfRule>
  </conditionalFormatting>
  <conditionalFormatting sqref="W109">
    <cfRule type="cellIs" dxfId="1621" priority="2314" operator="equal">
      <formula>0</formula>
    </cfRule>
  </conditionalFormatting>
  <conditionalFormatting sqref="W108">
    <cfRule type="cellIs" dxfId="1620" priority="2307" operator="equal">
      <formula>0</formula>
    </cfRule>
    <cfRule type="cellIs" dxfId="1619" priority="2308" operator="lessThan">
      <formula>W109</formula>
    </cfRule>
    <cfRule type="cellIs" dxfId="1618" priority="2313" operator="lessThan">
      <formula>0</formula>
    </cfRule>
  </conditionalFormatting>
  <conditionalFormatting sqref="W110">
    <cfRule type="cellIs" dxfId="1617" priority="2306" operator="equal">
      <formula>0</formula>
    </cfRule>
    <cfRule type="cellIs" dxfId="1616" priority="2311" operator="lessThan">
      <formula>W111</formula>
    </cfRule>
  </conditionalFormatting>
  <conditionalFormatting sqref="W111">
    <cfRule type="cellIs" dxfId="1615" priority="2305" operator="equal">
      <formula>0</formula>
    </cfRule>
    <cfRule type="cellIs" dxfId="1614" priority="2312" operator="greaterThan">
      <formula>W110</formula>
    </cfRule>
  </conditionalFormatting>
  <conditionalFormatting sqref="W115">
    <cfRule type="cellIs" dxfId="1613" priority="2302" operator="equal">
      <formula>0</formula>
    </cfRule>
  </conditionalFormatting>
  <conditionalFormatting sqref="W114">
    <cfRule type="cellIs" dxfId="1612" priority="2295" operator="equal">
      <formula>0</formula>
    </cfRule>
    <cfRule type="cellIs" dxfId="1611" priority="2296" operator="lessThan">
      <formula>W115</formula>
    </cfRule>
    <cfRule type="cellIs" dxfId="1610" priority="2301" operator="lessThan">
      <formula>0</formula>
    </cfRule>
  </conditionalFormatting>
  <conditionalFormatting sqref="W116">
    <cfRule type="cellIs" dxfId="1609" priority="2294" operator="equal">
      <formula>0</formula>
    </cfRule>
    <cfRule type="cellIs" dxfId="1608" priority="2299" operator="lessThan">
      <formula>W117</formula>
    </cfRule>
  </conditionalFormatting>
  <conditionalFormatting sqref="W117">
    <cfRule type="cellIs" dxfId="1607" priority="2293" operator="equal">
      <formula>0</formula>
    </cfRule>
    <cfRule type="cellIs" dxfId="1606" priority="2300" operator="greaterThan">
      <formula>W116</formula>
    </cfRule>
  </conditionalFormatting>
  <conditionalFormatting sqref="W121">
    <cfRule type="cellIs" dxfId="1605" priority="2290" operator="equal">
      <formula>0</formula>
    </cfRule>
  </conditionalFormatting>
  <conditionalFormatting sqref="W120">
    <cfRule type="cellIs" dxfId="1604" priority="2283" operator="equal">
      <formula>0</formula>
    </cfRule>
    <cfRule type="cellIs" dxfId="1603" priority="2284" operator="lessThan">
      <formula>W121</formula>
    </cfRule>
    <cfRule type="cellIs" dxfId="1602" priority="2289" operator="lessThan">
      <formula>0</formula>
    </cfRule>
  </conditionalFormatting>
  <conditionalFormatting sqref="W122">
    <cfRule type="cellIs" dxfId="1601" priority="2282" operator="equal">
      <formula>0</formula>
    </cfRule>
    <cfRule type="cellIs" dxfId="1600" priority="2287" operator="lessThan">
      <formula>W123</formula>
    </cfRule>
  </conditionalFormatting>
  <conditionalFormatting sqref="W123">
    <cfRule type="cellIs" dxfId="1599" priority="2281" operator="equal">
      <formula>0</formula>
    </cfRule>
    <cfRule type="cellIs" dxfId="1598" priority="2288" operator="greaterThan">
      <formula>W122</formula>
    </cfRule>
  </conditionalFormatting>
  <conditionalFormatting sqref="W127">
    <cfRule type="cellIs" dxfId="1597" priority="2278" operator="equal">
      <formula>0</formula>
    </cfRule>
  </conditionalFormatting>
  <conditionalFormatting sqref="W126">
    <cfRule type="cellIs" dxfId="1596" priority="2271" operator="equal">
      <formula>0</formula>
    </cfRule>
    <cfRule type="cellIs" dxfId="1595" priority="2272" operator="lessThan">
      <formula>W127</formula>
    </cfRule>
    <cfRule type="cellIs" dxfId="1594" priority="2277" operator="lessThan">
      <formula>0</formula>
    </cfRule>
  </conditionalFormatting>
  <conditionalFormatting sqref="W128">
    <cfRule type="cellIs" dxfId="1593" priority="2270" operator="equal">
      <formula>0</formula>
    </cfRule>
    <cfRule type="cellIs" dxfId="1592" priority="2275" operator="lessThan">
      <formula>W129</formula>
    </cfRule>
  </conditionalFormatting>
  <conditionalFormatting sqref="W129">
    <cfRule type="cellIs" dxfId="1591" priority="2269" operator="equal">
      <formula>0</formula>
    </cfRule>
    <cfRule type="cellIs" dxfId="1590" priority="2276" operator="greaterThan">
      <formula>W128</formula>
    </cfRule>
  </conditionalFormatting>
  <conditionalFormatting sqref="W133">
    <cfRule type="cellIs" dxfId="1589" priority="2266" operator="equal">
      <formula>0</formula>
    </cfRule>
  </conditionalFormatting>
  <conditionalFormatting sqref="W132">
    <cfRule type="cellIs" dxfId="1588" priority="2259" operator="equal">
      <formula>0</formula>
    </cfRule>
    <cfRule type="cellIs" dxfId="1587" priority="2260" operator="lessThan">
      <formula>W133</formula>
    </cfRule>
    <cfRule type="cellIs" dxfId="1586" priority="2265" operator="lessThan">
      <formula>0</formula>
    </cfRule>
  </conditionalFormatting>
  <conditionalFormatting sqref="W134">
    <cfRule type="cellIs" dxfId="1585" priority="2258" operator="equal">
      <formula>0</formula>
    </cfRule>
    <cfRule type="cellIs" dxfId="1584" priority="2263" operator="lessThan">
      <formula>W135</formula>
    </cfRule>
  </conditionalFormatting>
  <conditionalFormatting sqref="W135">
    <cfRule type="cellIs" dxfId="1583" priority="2257" operator="equal">
      <formula>0</formula>
    </cfRule>
    <cfRule type="cellIs" dxfId="1582" priority="2264" operator="greaterThan">
      <formula>W134</formula>
    </cfRule>
  </conditionalFormatting>
  <conditionalFormatting sqref="W139">
    <cfRule type="cellIs" dxfId="1581" priority="2254" operator="equal">
      <formula>0</formula>
    </cfRule>
  </conditionalFormatting>
  <conditionalFormatting sqref="W138">
    <cfRule type="cellIs" dxfId="1580" priority="2247" operator="equal">
      <formula>0</formula>
    </cfRule>
    <cfRule type="cellIs" dxfId="1579" priority="2248" operator="lessThan">
      <formula>W139</formula>
    </cfRule>
    <cfRule type="cellIs" dxfId="1578" priority="2253" operator="lessThan">
      <formula>0</formula>
    </cfRule>
  </conditionalFormatting>
  <conditionalFormatting sqref="W140">
    <cfRule type="cellIs" dxfId="1577" priority="2246" operator="equal">
      <formula>0</formula>
    </cfRule>
    <cfRule type="cellIs" dxfId="1576" priority="2251" operator="lessThan">
      <formula>W141</formula>
    </cfRule>
  </conditionalFormatting>
  <conditionalFormatting sqref="W141">
    <cfRule type="cellIs" dxfId="1575" priority="2245" operator="equal">
      <formula>0</formula>
    </cfRule>
    <cfRule type="cellIs" dxfId="1574" priority="2252" operator="greaterThan">
      <formula>W140</formula>
    </cfRule>
  </conditionalFormatting>
  <conditionalFormatting sqref="W145">
    <cfRule type="cellIs" dxfId="1573" priority="2242" operator="equal">
      <formula>0</formula>
    </cfRule>
  </conditionalFormatting>
  <conditionalFormatting sqref="W144">
    <cfRule type="cellIs" dxfId="1572" priority="2235" operator="equal">
      <formula>0</formula>
    </cfRule>
    <cfRule type="cellIs" dxfId="1571" priority="2236" operator="lessThan">
      <formula>W145</formula>
    </cfRule>
    <cfRule type="cellIs" dxfId="1570" priority="2241" operator="lessThan">
      <formula>0</formula>
    </cfRule>
  </conditionalFormatting>
  <conditionalFormatting sqref="W146">
    <cfRule type="cellIs" dxfId="1569" priority="2234" operator="equal">
      <formula>0</formula>
    </cfRule>
    <cfRule type="cellIs" dxfId="1568" priority="2239" operator="lessThan">
      <formula>W147</formula>
    </cfRule>
  </conditionalFormatting>
  <conditionalFormatting sqref="W147">
    <cfRule type="cellIs" dxfId="1567" priority="2233" operator="equal">
      <formula>0</formula>
    </cfRule>
    <cfRule type="cellIs" dxfId="1566" priority="2240" operator="greaterThan">
      <formula>W146</formula>
    </cfRule>
  </conditionalFormatting>
  <conditionalFormatting sqref="W149">
    <cfRule type="cellIs" dxfId="1565" priority="2232" operator="equal">
      <formula>0</formula>
    </cfRule>
  </conditionalFormatting>
  <conditionalFormatting sqref="W148">
    <cfRule type="cellIs" dxfId="1564" priority="2225" operator="equal">
      <formula>0</formula>
    </cfRule>
    <cfRule type="cellIs" dxfId="1563" priority="2226" operator="lessThan">
      <formula>W149</formula>
    </cfRule>
    <cfRule type="cellIs" dxfId="1562" priority="2231" operator="lessThan">
      <formula>0</formula>
    </cfRule>
  </conditionalFormatting>
  <conditionalFormatting sqref="W151">
    <cfRule type="cellIs" dxfId="1561" priority="2230" operator="equal">
      <formula>0</formula>
    </cfRule>
  </conditionalFormatting>
  <conditionalFormatting sqref="W150">
    <cfRule type="cellIs" dxfId="1560" priority="2223" operator="equal">
      <formula>0</formula>
    </cfRule>
    <cfRule type="cellIs" dxfId="1559" priority="2224" operator="lessThan">
      <formula>W151</formula>
    </cfRule>
    <cfRule type="cellIs" dxfId="1558" priority="2229" operator="lessThan">
      <formula>0</formula>
    </cfRule>
  </conditionalFormatting>
  <conditionalFormatting sqref="W152">
    <cfRule type="cellIs" dxfId="1557" priority="2222" operator="equal">
      <formula>0</formula>
    </cfRule>
    <cfRule type="cellIs" dxfId="1556" priority="2227" operator="lessThan">
      <formula>W153</formula>
    </cfRule>
  </conditionalFormatting>
  <conditionalFormatting sqref="W153">
    <cfRule type="cellIs" dxfId="1555" priority="2221" operator="equal">
      <formula>0</formula>
    </cfRule>
    <cfRule type="cellIs" dxfId="1554" priority="2228" operator="greaterThan">
      <formula>W152</formula>
    </cfRule>
  </conditionalFormatting>
  <conditionalFormatting sqref="W155">
    <cfRule type="cellIs" dxfId="1553" priority="2220" operator="equal">
      <formula>0</formula>
    </cfRule>
  </conditionalFormatting>
  <conditionalFormatting sqref="W154">
    <cfRule type="cellIs" dxfId="1552" priority="2213" operator="equal">
      <formula>0</formula>
    </cfRule>
    <cfRule type="cellIs" dxfId="1551" priority="2214" operator="lessThan">
      <formula>W155</formula>
    </cfRule>
    <cfRule type="cellIs" dxfId="1550" priority="2219" operator="lessThan">
      <formula>0</formula>
    </cfRule>
  </conditionalFormatting>
  <conditionalFormatting sqref="W157">
    <cfRule type="cellIs" dxfId="1549" priority="2218" operator="equal">
      <formula>0</formula>
    </cfRule>
  </conditionalFormatting>
  <conditionalFormatting sqref="W156">
    <cfRule type="cellIs" dxfId="1548" priority="2211" operator="equal">
      <formula>0</formula>
    </cfRule>
    <cfRule type="cellIs" dxfId="1547" priority="2212" operator="lessThan">
      <formula>W157</formula>
    </cfRule>
    <cfRule type="cellIs" dxfId="1546" priority="2217" operator="lessThan">
      <formula>0</formula>
    </cfRule>
  </conditionalFormatting>
  <conditionalFormatting sqref="W158">
    <cfRule type="cellIs" dxfId="1545" priority="2210" operator="equal">
      <formula>0</formula>
    </cfRule>
    <cfRule type="cellIs" dxfId="1544" priority="2215" operator="lessThan">
      <formula>W159</formula>
    </cfRule>
  </conditionalFormatting>
  <conditionalFormatting sqref="W159">
    <cfRule type="cellIs" dxfId="1543" priority="2209" operator="equal">
      <formula>0</formula>
    </cfRule>
    <cfRule type="cellIs" dxfId="1542" priority="2216" operator="greaterThan">
      <formula>W158</formula>
    </cfRule>
  </conditionalFormatting>
  <conditionalFormatting sqref="W161">
    <cfRule type="cellIs" dxfId="1541" priority="2208" operator="equal">
      <formula>0</formula>
    </cfRule>
  </conditionalFormatting>
  <conditionalFormatting sqref="W160">
    <cfRule type="cellIs" dxfId="1540" priority="2201" operator="equal">
      <formula>0</formula>
    </cfRule>
    <cfRule type="cellIs" dxfId="1539" priority="2202" operator="lessThan">
      <formula>W161</formula>
    </cfRule>
    <cfRule type="cellIs" dxfId="1538" priority="2207" operator="lessThan">
      <formula>0</formula>
    </cfRule>
  </conditionalFormatting>
  <conditionalFormatting sqref="W163">
    <cfRule type="cellIs" dxfId="1537" priority="2206" operator="equal">
      <formula>0</formula>
    </cfRule>
  </conditionalFormatting>
  <conditionalFormatting sqref="W162">
    <cfRule type="cellIs" dxfId="1536" priority="2199" operator="equal">
      <formula>0</formula>
    </cfRule>
    <cfRule type="cellIs" dxfId="1535" priority="2200" operator="lessThan">
      <formula>W163</formula>
    </cfRule>
    <cfRule type="cellIs" dxfId="1534" priority="2205" operator="lessThan">
      <formula>0</formula>
    </cfRule>
  </conditionalFormatting>
  <conditionalFormatting sqref="W164">
    <cfRule type="cellIs" dxfId="1533" priority="2198" operator="equal">
      <formula>0</formula>
    </cfRule>
    <cfRule type="cellIs" dxfId="1532" priority="2203" operator="lessThan">
      <formula>W165</formula>
    </cfRule>
  </conditionalFormatting>
  <conditionalFormatting sqref="W165">
    <cfRule type="cellIs" dxfId="1531" priority="2197" operator="equal">
      <formula>0</formula>
    </cfRule>
    <cfRule type="cellIs" dxfId="1530" priority="2204" operator="greaterThan">
      <formula>W164</formula>
    </cfRule>
  </conditionalFormatting>
  <conditionalFormatting sqref="X64">
    <cfRule type="expression" dxfId="1529" priority="2183">
      <formula>F64/100&lt;X64</formula>
    </cfRule>
    <cfRule type="expression" dxfId="1528" priority="2184">
      <formula>X64&lt;F64/100</formula>
    </cfRule>
  </conditionalFormatting>
  <conditionalFormatting sqref="X65">
    <cfRule type="expression" dxfId="1527" priority="2181">
      <formula>F65/100&lt;X65</formula>
    </cfRule>
    <cfRule type="expression" dxfId="1526" priority="2182">
      <formula>X65&lt;F65/100</formula>
    </cfRule>
  </conditionalFormatting>
  <conditionalFormatting sqref="X66">
    <cfRule type="expression" dxfId="1525" priority="2179">
      <formula>F66/100&lt;X66</formula>
    </cfRule>
    <cfRule type="expression" dxfId="1524" priority="2180">
      <formula>X66&lt;F66/100</formula>
    </cfRule>
  </conditionalFormatting>
  <conditionalFormatting sqref="X67">
    <cfRule type="expression" dxfId="1523" priority="2177">
      <formula>F67/100&lt;X67</formula>
    </cfRule>
    <cfRule type="expression" dxfId="1522" priority="2178">
      <formula>X67&lt;F67/100</formula>
    </cfRule>
  </conditionalFormatting>
  <conditionalFormatting sqref="X68">
    <cfRule type="expression" dxfId="1521" priority="2175">
      <formula>F68/100&lt;X68</formula>
    </cfRule>
    <cfRule type="expression" dxfId="1520" priority="2176">
      <formula>X68&lt;F68/100</formula>
    </cfRule>
  </conditionalFormatting>
  <conditionalFormatting sqref="X69">
    <cfRule type="expression" dxfId="1519" priority="2173">
      <formula>F69/100&lt;X69</formula>
    </cfRule>
    <cfRule type="expression" dxfId="1518" priority="2174">
      <formula>X69&lt;F69/100</formula>
    </cfRule>
  </conditionalFormatting>
  <conditionalFormatting sqref="X70">
    <cfRule type="expression" dxfId="1517" priority="2171">
      <formula>F70/100&lt;X70</formula>
    </cfRule>
    <cfRule type="expression" dxfId="1516" priority="2172">
      <formula>X70&lt;F70/100</formula>
    </cfRule>
  </conditionalFormatting>
  <conditionalFormatting sqref="X71">
    <cfRule type="expression" dxfId="1515" priority="2169">
      <formula>F71/100&lt;X71</formula>
    </cfRule>
    <cfRule type="expression" dxfId="1514" priority="2170">
      <formula>X71&lt;F71/100</formula>
    </cfRule>
  </conditionalFormatting>
  <conditionalFormatting sqref="X72">
    <cfRule type="expression" dxfId="1513" priority="2167">
      <formula>F72/100&lt;X72</formula>
    </cfRule>
    <cfRule type="expression" dxfId="1512" priority="2168">
      <formula>X72&lt;F72/100</formula>
    </cfRule>
  </conditionalFormatting>
  <conditionalFormatting sqref="X73">
    <cfRule type="expression" dxfId="1511" priority="2165">
      <formula>F73/100&lt;X73</formula>
    </cfRule>
    <cfRule type="expression" dxfId="1510" priority="2166">
      <formula>X73&lt;F73/100</formula>
    </cfRule>
  </conditionalFormatting>
  <conditionalFormatting sqref="X74">
    <cfRule type="expression" dxfId="1509" priority="2163">
      <formula>F74/100&lt;X74</formula>
    </cfRule>
    <cfRule type="expression" dxfId="1508" priority="2164">
      <formula>X74&lt;F74/100</formula>
    </cfRule>
  </conditionalFormatting>
  <conditionalFormatting sqref="X75">
    <cfRule type="expression" dxfId="1507" priority="2161">
      <formula>F75/100&lt;X75</formula>
    </cfRule>
    <cfRule type="expression" dxfId="1506" priority="2162">
      <formula>X75&lt;F75/100</formula>
    </cfRule>
  </conditionalFormatting>
  <conditionalFormatting sqref="X76">
    <cfRule type="expression" dxfId="1505" priority="2159">
      <formula>F76/100&lt;X76</formula>
    </cfRule>
    <cfRule type="expression" dxfId="1504" priority="2160">
      <formula>X76&lt;F76/100</formula>
    </cfRule>
  </conditionalFormatting>
  <conditionalFormatting sqref="X77">
    <cfRule type="expression" dxfId="1503" priority="2157">
      <formula>F77/100&lt;X77</formula>
    </cfRule>
    <cfRule type="expression" dxfId="1502" priority="2158">
      <formula>X77&lt;F77/100</formula>
    </cfRule>
  </conditionalFormatting>
  <conditionalFormatting sqref="X78">
    <cfRule type="expression" dxfId="1501" priority="2155">
      <formula>F78/100&lt;X78</formula>
    </cfRule>
    <cfRule type="expression" dxfId="1500" priority="2156">
      <formula>X78&lt;F78/100</formula>
    </cfRule>
  </conditionalFormatting>
  <conditionalFormatting sqref="X79">
    <cfRule type="expression" dxfId="1499" priority="2153">
      <formula>F79/100&lt;X79</formula>
    </cfRule>
    <cfRule type="expression" dxfId="1498" priority="2154">
      <formula>X79&lt;F79/100</formula>
    </cfRule>
  </conditionalFormatting>
  <conditionalFormatting sqref="X80">
    <cfRule type="expression" dxfId="1497" priority="2151">
      <formula>F80/100&lt;X80</formula>
    </cfRule>
    <cfRule type="expression" dxfId="1496" priority="2152">
      <formula>X80&lt;F80/100</formula>
    </cfRule>
  </conditionalFormatting>
  <conditionalFormatting sqref="X81">
    <cfRule type="expression" dxfId="1495" priority="2149">
      <formula>F81/100&lt;X81</formula>
    </cfRule>
    <cfRule type="expression" dxfId="1494" priority="2150">
      <formula>X81&lt;F81/100</formula>
    </cfRule>
  </conditionalFormatting>
  <conditionalFormatting sqref="X82">
    <cfRule type="expression" dxfId="1493" priority="2147">
      <formula>F82/100&lt;X82</formula>
    </cfRule>
    <cfRule type="expression" dxfId="1492" priority="2148">
      <formula>X82&lt;F82/100</formula>
    </cfRule>
  </conditionalFormatting>
  <conditionalFormatting sqref="X83">
    <cfRule type="expression" dxfId="1491" priority="2145">
      <formula>F83/100&lt;X83</formula>
    </cfRule>
    <cfRule type="expression" dxfId="1490" priority="2146">
      <formula>X83&lt;F83/100</formula>
    </cfRule>
  </conditionalFormatting>
  <conditionalFormatting sqref="X84">
    <cfRule type="expression" dxfId="1489" priority="2143">
      <formula>F84/100&lt;X84</formula>
    </cfRule>
    <cfRule type="expression" dxfId="1488" priority="2144">
      <formula>X84&lt;F84/100</formula>
    </cfRule>
  </conditionalFormatting>
  <conditionalFormatting sqref="X85">
    <cfRule type="expression" dxfId="1487" priority="2141">
      <formula>F85/100&lt;X85</formula>
    </cfRule>
    <cfRule type="expression" dxfId="1486" priority="2142">
      <formula>X85&lt;F85/100</formula>
    </cfRule>
  </conditionalFormatting>
  <conditionalFormatting sqref="X86">
    <cfRule type="expression" dxfId="1485" priority="2139">
      <formula>F86/100&lt;X86</formula>
    </cfRule>
    <cfRule type="expression" dxfId="1484" priority="2140">
      <formula>X86&lt;F86/100</formula>
    </cfRule>
  </conditionalFormatting>
  <conditionalFormatting sqref="X87">
    <cfRule type="expression" dxfId="1483" priority="2137">
      <formula>F87/100&lt;X87</formula>
    </cfRule>
    <cfRule type="expression" dxfId="1482" priority="2138">
      <formula>X87&lt;F87/100</formula>
    </cfRule>
  </conditionalFormatting>
  <conditionalFormatting sqref="X88">
    <cfRule type="expression" dxfId="1481" priority="2135">
      <formula>F88/100&lt;X88</formula>
    </cfRule>
    <cfRule type="expression" dxfId="1480" priority="2136">
      <formula>X88&lt;F88/100</formula>
    </cfRule>
  </conditionalFormatting>
  <conditionalFormatting sqref="X89">
    <cfRule type="expression" dxfId="1479" priority="2133">
      <formula>F89/100&lt;X89</formula>
    </cfRule>
    <cfRule type="expression" dxfId="1478" priority="2134">
      <formula>X89&lt;F89/100</formula>
    </cfRule>
  </conditionalFormatting>
  <conditionalFormatting sqref="X90">
    <cfRule type="expression" dxfId="1477" priority="2131">
      <formula>F90/100&lt;X90</formula>
    </cfRule>
    <cfRule type="expression" dxfId="1476" priority="2132">
      <formula>X90&lt;F90/100</formula>
    </cfRule>
  </conditionalFormatting>
  <conditionalFormatting sqref="X91">
    <cfRule type="expression" dxfId="1475" priority="2129">
      <formula>F91/100&lt;X91</formula>
    </cfRule>
    <cfRule type="expression" dxfId="1474" priority="2130">
      <formula>X91&lt;F91/100</formula>
    </cfRule>
  </conditionalFormatting>
  <conditionalFormatting sqref="X92">
    <cfRule type="expression" dxfId="1473" priority="2127">
      <formula>F92/100&lt;X92</formula>
    </cfRule>
    <cfRule type="expression" dxfId="1472" priority="2128">
      <formula>X92&lt;F92/100</formula>
    </cfRule>
  </conditionalFormatting>
  <conditionalFormatting sqref="X93">
    <cfRule type="expression" dxfId="1471" priority="2125">
      <formula>F93/100&lt;X93</formula>
    </cfRule>
    <cfRule type="expression" dxfId="1470" priority="2126">
      <formula>X93&lt;F93/100</formula>
    </cfRule>
  </conditionalFormatting>
  <conditionalFormatting sqref="X94">
    <cfRule type="expression" dxfId="1469" priority="2123">
      <formula>F94/100&lt;X94</formula>
    </cfRule>
    <cfRule type="expression" dxfId="1468" priority="2124">
      <formula>X94&lt;F94/100</formula>
    </cfRule>
  </conditionalFormatting>
  <conditionalFormatting sqref="X95">
    <cfRule type="expression" dxfId="1467" priority="2121">
      <formula>F95/100&lt;X95</formula>
    </cfRule>
    <cfRule type="expression" dxfId="1466" priority="2122">
      <formula>X95&lt;F95/100</formula>
    </cfRule>
  </conditionalFormatting>
  <conditionalFormatting sqref="X96">
    <cfRule type="expression" dxfId="1465" priority="2119">
      <formula>F96/100&lt;X96</formula>
    </cfRule>
    <cfRule type="expression" dxfId="1464" priority="2120">
      <formula>X96&lt;F96/100</formula>
    </cfRule>
  </conditionalFormatting>
  <conditionalFormatting sqref="X97">
    <cfRule type="expression" dxfId="1463" priority="2117">
      <formula>F97/100&lt;X97</formula>
    </cfRule>
    <cfRule type="expression" dxfId="1462" priority="2118">
      <formula>X97&lt;F97/100</formula>
    </cfRule>
  </conditionalFormatting>
  <conditionalFormatting sqref="X98">
    <cfRule type="expression" dxfId="1461" priority="2115">
      <formula>F98/100&lt;X98</formula>
    </cfRule>
    <cfRule type="expression" dxfId="1460" priority="2116">
      <formula>X98&lt;F98/100</formula>
    </cfRule>
  </conditionalFormatting>
  <conditionalFormatting sqref="X99">
    <cfRule type="expression" dxfId="1459" priority="2113">
      <formula>F99/100&lt;X99</formula>
    </cfRule>
    <cfRule type="expression" dxfId="1458" priority="2114">
      <formula>X99&lt;F99/100</formula>
    </cfRule>
  </conditionalFormatting>
  <conditionalFormatting sqref="X100">
    <cfRule type="expression" dxfId="1457" priority="2111">
      <formula>F100/100&lt;X100</formula>
    </cfRule>
    <cfRule type="expression" dxfId="1456" priority="2112">
      <formula>X100&lt;F100/100</formula>
    </cfRule>
  </conditionalFormatting>
  <conditionalFormatting sqref="X101">
    <cfRule type="expression" dxfId="1455" priority="2109">
      <formula>F101/100&lt;X101</formula>
    </cfRule>
    <cfRule type="expression" dxfId="1454" priority="2110">
      <formula>X101&lt;F101/100</formula>
    </cfRule>
  </conditionalFormatting>
  <conditionalFormatting sqref="X102">
    <cfRule type="expression" dxfId="1453" priority="2107">
      <formula>F102/100&lt;X102</formula>
    </cfRule>
    <cfRule type="expression" dxfId="1452" priority="2108">
      <formula>X102&lt;F102/100</formula>
    </cfRule>
  </conditionalFormatting>
  <conditionalFormatting sqref="X103">
    <cfRule type="expression" dxfId="1451" priority="2105">
      <formula>F103/100&lt;X103</formula>
    </cfRule>
    <cfRule type="expression" dxfId="1450" priority="2106">
      <formula>X103&lt;F103/100</formula>
    </cfRule>
  </conditionalFormatting>
  <conditionalFormatting sqref="X104">
    <cfRule type="expression" dxfId="1449" priority="2103">
      <formula>F104/100&lt;X104</formula>
    </cfRule>
    <cfRule type="expression" dxfId="1448" priority="2104">
      <formula>X104&lt;F104/100</formula>
    </cfRule>
  </conditionalFormatting>
  <conditionalFormatting sqref="X105">
    <cfRule type="expression" dxfId="1447" priority="2101">
      <formula>F105/100&lt;X105</formula>
    </cfRule>
    <cfRule type="expression" dxfId="1446" priority="2102">
      <formula>X105&lt;F105/100</formula>
    </cfRule>
  </conditionalFormatting>
  <conditionalFormatting sqref="X106">
    <cfRule type="expression" dxfId="1445" priority="2099">
      <formula>F106/100&lt;X106</formula>
    </cfRule>
    <cfRule type="expression" dxfId="1444" priority="2100">
      <formula>X106&lt;F106/100</formula>
    </cfRule>
  </conditionalFormatting>
  <conditionalFormatting sqref="X107">
    <cfRule type="expression" dxfId="1443" priority="2097">
      <formula>F107/100&lt;X107</formula>
    </cfRule>
    <cfRule type="expression" dxfId="1442" priority="2098">
      <formula>X107&lt;F107/100</formula>
    </cfRule>
  </conditionalFormatting>
  <conditionalFormatting sqref="X108">
    <cfRule type="expression" dxfId="1441" priority="2095">
      <formula>F108/100&lt;X108</formula>
    </cfRule>
    <cfRule type="expression" dxfId="1440" priority="2096">
      <formula>X108&lt;F108/100</formula>
    </cfRule>
  </conditionalFormatting>
  <conditionalFormatting sqref="X109">
    <cfRule type="expression" dxfId="1439" priority="2093">
      <formula>F109/100&lt;X109</formula>
    </cfRule>
    <cfRule type="expression" dxfId="1438" priority="2094">
      <formula>X109&lt;F109/100</formula>
    </cfRule>
  </conditionalFormatting>
  <conditionalFormatting sqref="X110">
    <cfRule type="expression" dxfId="1437" priority="2091">
      <formula>F110/100&lt;X110</formula>
    </cfRule>
    <cfRule type="expression" dxfId="1436" priority="2092">
      <formula>X110&lt;F110/100</formula>
    </cfRule>
  </conditionalFormatting>
  <conditionalFormatting sqref="X111">
    <cfRule type="expression" dxfId="1435" priority="2089">
      <formula>F111/100&lt;X111</formula>
    </cfRule>
    <cfRule type="expression" dxfId="1434" priority="2090">
      <formula>X111&lt;F111/100</formula>
    </cfRule>
  </conditionalFormatting>
  <conditionalFormatting sqref="X112">
    <cfRule type="expression" dxfId="1433" priority="2087">
      <formula>F112/100&lt;X112</formula>
    </cfRule>
    <cfRule type="expression" dxfId="1432" priority="2088">
      <formula>X112&lt;F112/100</formula>
    </cfRule>
  </conditionalFormatting>
  <conditionalFormatting sqref="X113">
    <cfRule type="expression" dxfId="1431" priority="2085">
      <formula>F113/100&lt;X113</formula>
    </cfRule>
    <cfRule type="expression" dxfId="1430" priority="2086">
      <formula>X113&lt;F113/100</formula>
    </cfRule>
  </conditionalFormatting>
  <conditionalFormatting sqref="X114">
    <cfRule type="expression" dxfId="1429" priority="2083">
      <formula>F114/100&lt;X114</formula>
    </cfRule>
    <cfRule type="expression" dxfId="1428" priority="2084">
      <formula>X114&lt;F114/100</formula>
    </cfRule>
  </conditionalFormatting>
  <conditionalFormatting sqref="X115">
    <cfRule type="expression" dxfId="1427" priority="2081">
      <formula>F115/100&lt;X115</formula>
    </cfRule>
    <cfRule type="expression" dxfId="1426" priority="2082">
      <formula>X115&lt;F115/100</formula>
    </cfRule>
  </conditionalFormatting>
  <conditionalFormatting sqref="X116">
    <cfRule type="expression" dxfId="1425" priority="2079">
      <formula>F116/100&lt;X116</formula>
    </cfRule>
    <cfRule type="expression" dxfId="1424" priority="2080">
      <formula>X116&lt;F116/100</formula>
    </cfRule>
  </conditionalFormatting>
  <conditionalFormatting sqref="X117">
    <cfRule type="expression" dxfId="1423" priority="2077">
      <formula>F117/100&lt;X117</formula>
    </cfRule>
    <cfRule type="expression" dxfId="1422" priority="2078">
      <formula>X117&lt;F117/100</formula>
    </cfRule>
  </conditionalFormatting>
  <conditionalFormatting sqref="X118">
    <cfRule type="expression" dxfId="1421" priority="2075">
      <formula>F118/100&lt;X118</formula>
    </cfRule>
    <cfRule type="expression" dxfId="1420" priority="2076">
      <formula>X118&lt;F118/100</formula>
    </cfRule>
  </conditionalFormatting>
  <conditionalFormatting sqref="X119">
    <cfRule type="expression" dxfId="1419" priority="2073">
      <formula>F119/100&lt;X119</formula>
    </cfRule>
    <cfRule type="expression" dxfId="1418" priority="2074">
      <formula>X119&lt;F119/100</formula>
    </cfRule>
  </conditionalFormatting>
  <conditionalFormatting sqref="X120">
    <cfRule type="expression" dxfId="1417" priority="2071">
      <formula>F120/100&lt;X120</formula>
    </cfRule>
    <cfRule type="expression" dxfId="1416" priority="2072">
      <formula>X120&lt;F120/100</formula>
    </cfRule>
  </conditionalFormatting>
  <conditionalFormatting sqref="X121">
    <cfRule type="expression" dxfId="1415" priority="2069">
      <formula>F121/100&lt;X121</formula>
    </cfRule>
    <cfRule type="expression" dxfId="1414" priority="2070">
      <formula>X121&lt;F121/100</formula>
    </cfRule>
  </conditionalFormatting>
  <conditionalFormatting sqref="X122">
    <cfRule type="expression" dxfId="1413" priority="2067">
      <formula>F122/100&lt;X122</formula>
    </cfRule>
    <cfRule type="expression" dxfId="1412" priority="2068">
      <formula>X122&lt;F122/100</formula>
    </cfRule>
  </conditionalFormatting>
  <conditionalFormatting sqref="X123">
    <cfRule type="expression" dxfId="1411" priority="2065">
      <formula>F123/100&lt;X123</formula>
    </cfRule>
    <cfRule type="expression" dxfId="1410" priority="2066">
      <formula>X123&lt;F123/100</formula>
    </cfRule>
  </conditionalFormatting>
  <conditionalFormatting sqref="X124">
    <cfRule type="expression" dxfId="1409" priority="2063">
      <formula>F124/100&lt;X124</formula>
    </cfRule>
    <cfRule type="expression" dxfId="1408" priority="2064">
      <formula>X124&lt;F124/100</formula>
    </cfRule>
  </conditionalFormatting>
  <conditionalFormatting sqref="X125">
    <cfRule type="expression" dxfId="1407" priority="2061">
      <formula>F125/100&lt;X125</formula>
    </cfRule>
    <cfRule type="expression" dxfId="1406" priority="2062">
      <formula>X125&lt;F125/100</formula>
    </cfRule>
  </conditionalFormatting>
  <conditionalFormatting sqref="X126">
    <cfRule type="expression" dxfId="1405" priority="2059">
      <formula>F126/100&lt;X126</formula>
    </cfRule>
    <cfRule type="expression" dxfId="1404" priority="2060">
      <formula>X126&lt;F126/100</formula>
    </cfRule>
  </conditionalFormatting>
  <conditionalFormatting sqref="X127">
    <cfRule type="expression" dxfId="1403" priority="2057">
      <formula>F127/100&lt;X127</formula>
    </cfRule>
    <cfRule type="expression" dxfId="1402" priority="2058">
      <formula>X127&lt;F127/100</formula>
    </cfRule>
  </conditionalFormatting>
  <conditionalFormatting sqref="X128">
    <cfRule type="expression" dxfId="1401" priority="2055">
      <formula>F128/100&lt;X128</formula>
    </cfRule>
    <cfRule type="expression" dxfId="1400" priority="2056">
      <formula>X128&lt;F128/100</formula>
    </cfRule>
  </conditionalFormatting>
  <conditionalFormatting sqref="X129">
    <cfRule type="expression" dxfId="1399" priority="2053">
      <formula>F129/100&lt;X129</formula>
    </cfRule>
    <cfRule type="expression" dxfId="1398" priority="2054">
      <formula>X129&lt;F129/100</formula>
    </cfRule>
  </conditionalFormatting>
  <conditionalFormatting sqref="X130">
    <cfRule type="expression" dxfId="1397" priority="2051">
      <formula>F130/100&lt;X130</formula>
    </cfRule>
    <cfRule type="expression" dxfId="1396" priority="2052">
      <formula>X130&lt;F130/100</formula>
    </cfRule>
  </conditionalFormatting>
  <conditionalFormatting sqref="X131">
    <cfRule type="expression" dxfId="1395" priority="2049">
      <formula>F131/100&lt;X131</formula>
    </cfRule>
    <cfRule type="expression" dxfId="1394" priority="2050">
      <formula>X131&lt;F131/100</formula>
    </cfRule>
  </conditionalFormatting>
  <conditionalFormatting sqref="X132">
    <cfRule type="expression" dxfId="1393" priority="2047">
      <formula>F132/100&lt;X132</formula>
    </cfRule>
    <cfRule type="expression" dxfId="1392" priority="2048">
      <formula>X132&lt;F132/100</formula>
    </cfRule>
  </conditionalFormatting>
  <conditionalFormatting sqref="X133">
    <cfRule type="expression" dxfId="1391" priority="2045">
      <formula>F133/100&lt;X133</formula>
    </cfRule>
    <cfRule type="expression" dxfId="1390" priority="2046">
      <formula>X133&lt;F133/100</formula>
    </cfRule>
  </conditionalFormatting>
  <conditionalFormatting sqref="X134">
    <cfRule type="expression" dxfId="1389" priority="2043">
      <formula>F134/100&lt;X134</formula>
    </cfRule>
    <cfRule type="expression" dxfId="1388" priority="2044">
      <formula>X134&lt;F134/100</formula>
    </cfRule>
  </conditionalFormatting>
  <conditionalFormatting sqref="X135">
    <cfRule type="expression" dxfId="1387" priority="2041">
      <formula>F135/100&lt;X135</formula>
    </cfRule>
    <cfRule type="expression" dxfId="1386" priority="2042">
      <formula>X135&lt;F135/100</formula>
    </cfRule>
  </conditionalFormatting>
  <conditionalFormatting sqref="X136">
    <cfRule type="expression" dxfId="1385" priority="2039">
      <formula>F136/100&lt;X136</formula>
    </cfRule>
    <cfRule type="expression" dxfId="1384" priority="2040">
      <formula>X136&lt;F136/100</formula>
    </cfRule>
  </conditionalFormatting>
  <conditionalFormatting sqref="X137">
    <cfRule type="expression" dxfId="1383" priority="2037">
      <formula>F137/100&lt;X137</formula>
    </cfRule>
    <cfRule type="expression" dxfId="1382" priority="2038">
      <formula>X137&lt;F137/100</formula>
    </cfRule>
  </conditionalFormatting>
  <conditionalFormatting sqref="X138">
    <cfRule type="expression" dxfId="1381" priority="2035">
      <formula>F138/100&lt;X138</formula>
    </cfRule>
    <cfRule type="expression" dxfId="1380" priority="2036">
      <formula>X138&lt;F138/100</formula>
    </cfRule>
  </conditionalFormatting>
  <conditionalFormatting sqref="X139">
    <cfRule type="expression" dxfId="1379" priority="2033">
      <formula>F139/100&lt;X139</formula>
    </cfRule>
    <cfRule type="expression" dxfId="1378" priority="2034">
      <formula>X139&lt;F139/100</formula>
    </cfRule>
  </conditionalFormatting>
  <conditionalFormatting sqref="X140">
    <cfRule type="expression" dxfId="1377" priority="2031">
      <formula>F140/100&lt;X140</formula>
    </cfRule>
    <cfRule type="expression" dxfId="1376" priority="2032">
      <formula>X140&lt;F140/100</formula>
    </cfRule>
  </conditionalFormatting>
  <conditionalFormatting sqref="X141">
    <cfRule type="expression" dxfId="1375" priority="2029">
      <formula>F141/100&lt;X141</formula>
    </cfRule>
    <cfRule type="expression" dxfId="1374" priority="2030">
      <formula>X141&lt;F141/100</formula>
    </cfRule>
  </conditionalFormatting>
  <conditionalFormatting sqref="X142">
    <cfRule type="expression" dxfId="1373" priority="2027">
      <formula>F142/100&lt;X142</formula>
    </cfRule>
    <cfRule type="expression" dxfId="1372" priority="2028">
      <formula>X142&lt;F142/100</formula>
    </cfRule>
  </conditionalFormatting>
  <conditionalFormatting sqref="X143">
    <cfRule type="expression" dxfId="1371" priority="2025">
      <formula>F143/100&lt;X143</formula>
    </cfRule>
    <cfRule type="expression" dxfId="1370" priority="2026">
      <formula>X143&lt;F143/100</formula>
    </cfRule>
  </conditionalFormatting>
  <conditionalFormatting sqref="X144">
    <cfRule type="expression" dxfId="1369" priority="2023">
      <formula>F144/100&lt;X144</formula>
    </cfRule>
    <cfRule type="expression" dxfId="1368" priority="2024">
      <formula>X144&lt;F144/100</formula>
    </cfRule>
  </conditionalFormatting>
  <conditionalFormatting sqref="X145">
    <cfRule type="expression" dxfId="1367" priority="2021">
      <formula>F145/100&lt;X145</formula>
    </cfRule>
    <cfRule type="expression" dxfId="1366" priority="2022">
      <formula>X145&lt;F145/100</formula>
    </cfRule>
  </conditionalFormatting>
  <conditionalFormatting sqref="X146">
    <cfRule type="expression" dxfId="1365" priority="2019">
      <formula>F146/100&lt;X146</formula>
    </cfRule>
    <cfRule type="expression" dxfId="1364" priority="2020">
      <formula>X146&lt;F146/100</formula>
    </cfRule>
  </conditionalFormatting>
  <conditionalFormatting sqref="X147">
    <cfRule type="expression" dxfId="1363" priority="2017">
      <formula>F147/100&lt;X147</formula>
    </cfRule>
    <cfRule type="expression" dxfId="1362" priority="2018">
      <formula>X147&lt;F147/100</formula>
    </cfRule>
  </conditionalFormatting>
  <conditionalFormatting sqref="X148">
    <cfRule type="expression" dxfId="1361" priority="2015">
      <formula>F148/100&lt;X148</formula>
    </cfRule>
    <cfRule type="expression" dxfId="1360" priority="2016">
      <formula>X148&lt;F148/100</formula>
    </cfRule>
  </conditionalFormatting>
  <conditionalFormatting sqref="X149">
    <cfRule type="expression" dxfId="1359" priority="2013">
      <formula>F149/100&lt;X149</formula>
    </cfRule>
    <cfRule type="expression" dxfId="1358" priority="2014">
      <formula>X149&lt;F149/100</formula>
    </cfRule>
  </conditionalFormatting>
  <conditionalFormatting sqref="X150">
    <cfRule type="expression" dxfId="1357" priority="2011">
      <formula>F150/100&lt;X150</formula>
    </cfRule>
    <cfRule type="expression" dxfId="1356" priority="2012">
      <formula>X150&lt;F150/100</formula>
    </cfRule>
  </conditionalFormatting>
  <conditionalFormatting sqref="X151">
    <cfRule type="expression" dxfId="1355" priority="2009">
      <formula>F151/100&lt;X151</formula>
    </cfRule>
    <cfRule type="expression" dxfId="1354" priority="2010">
      <formula>X151&lt;F151/100</formula>
    </cfRule>
  </conditionalFormatting>
  <conditionalFormatting sqref="X152">
    <cfRule type="expression" dxfId="1353" priority="2007">
      <formula>F152/100&lt;X152</formula>
    </cfRule>
    <cfRule type="expression" dxfId="1352" priority="2008">
      <formula>X152&lt;F152/100</formula>
    </cfRule>
  </conditionalFormatting>
  <conditionalFormatting sqref="X153">
    <cfRule type="expression" dxfId="1351" priority="2005">
      <formula>F153/100&lt;X153</formula>
    </cfRule>
    <cfRule type="expression" dxfId="1350" priority="2006">
      <formula>X153&lt;F153/100</formula>
    </cfRule>
  </conditionalFormatting>
  <conditionalFormatting sqref="X154">
    <cfRule type="expression" dxfId="1349" priority="2003">
      <formula>F154/100&lt;X154</formula>
    </cfRule>
    <cfRule type="expression" dxfId="1348" priority="2004">
      <formula>X154&lt;F154/100</formula>
    </cfRule>
  </conditionalFormatting>
  <conditionalFormatting sqref="X155">
    <cfRule type="expression" dxfId="1347" priority="2001">
      <formula>F155/100&lt;X155</formula>
    </cfRule>
    <cfRule type="expression" dxfId="1346" priority="2002">
      <formula>X155&lt;F155/100</formula>
    </cfRule>
  </conditionalFormatting>
  <conditionalFormatting sqref="X156">
    <cfRule type="expression" dxfId="1345" priority="1999">
      <formula>F156/100&lt;X156</formula>
    </cfRule>
    <cfRule type="expression" dxfId="1344" priority="2000">
      <formula>X156&lt;F156/100</formula>
    </cfRule>
  </conditionalFormatting>
  <conditionalFormatting sqref="X157">
    <cfRule type="expression" dxfId="1343" priority="1997">
      <formula>F157/100&lt;X157</formula>
    </cfRule>
    <cfRule type="expression" dxfId="1342" priority="1998">
      <formula>X157&lt;F157/100</formula>
    </cfRule>
  </conditionalFormatting>
  <conditionalFormatting sqref="X158">
    <cfRule type="expression" dxfId="1341" priority="1995">
      <formula>F158/100&lt;X158</formula>
    </cfRule>
    <cfRule type="expression" dxfId="1340" priority="1996">
      <formula>X158&lt;F158/100</formula>
    </cfRule>
  </conditionalFormatting>
  <conditionalFormatting sqref="X159">
    <cfRule type="expression" dxfId="1339" priority="1993">
      <formula>F159/100&lt;X159</formula>
    </cfRule>
    <cfRule type="expression" dxfId="1338" priority="1994">
      <formula>X159&lt;F159/100</formula>
    </cfRule>
  </conditionalFormatting>
  <conditionalFormatting sqref="X160">
    <cfRule type="expression" dxfId="1337" priority="1991">
      <formula>F160/100&lt;X160</formula>
    </cfRule>
    <cfRule type="expression" dxfId="1336" priority="1992">
      <formula>X160&lt;F160/100</formula>
    </cfRule>
  </conditionalFormatting>
  <conditionalFormatting sqref="X161">
    <cfRule type="expression" dxfId="1335" priority="1989">
      <formula>F161/100&lt;X161</formula>
    </cfRule>
    <cfRule type="expression" dxfId="1334" priority="1990">
      <formula>X161&lt;F161/100</formula>
    </cfRule>
  </conditionalFormatting>
  <conditionalFormatting sqref="X162">
    <cfRule type="expression" dxfId="1333" priority="1987">
      <formula>F162/100&lt;X162</formula>
    </cfRule>
    <cfRule type="expression" dxfId="1332" priority="1988">
      <formula>X162&lt;F162/100</formula>
    </cfRule>
  </conditionalFormatting>
  <conditionalFormatting sqref="X163">
    <cfRule type="expression" dxfId="1331" priority="1985">
      <formula>F163/100&lt;X163</formula>
    </cfRule>
    <cfRule type="expression" dxfId="1330" priority="1986">
      <formula>X163&lt;F163/100</formula>
    </cfRule>
  </conditionalFormatting>
  <conditionalFormatting sqref="X164">
    <cfRule type="expression" dxfId="1329" priority="1983">
      <formula>F164/100&lt;X164</formula>
    </cfRule>
    <cfRule type="expression" dxfId="1328" priority="1984">
      <formula>X164&lt;F164/100</formula>
    </cfRule>
  </conditionalFormatting>
  <conditionalFormatting sqref="X165">
    <cfRule type="expression" dxfId="1327" priority="1981">
      <formula>F165/100&lt;X165</formula>
    </cfRule>
    <cfRule type="expression" dxfId="1326" priority="1982">
      <formula>X165&lt;F165/100</formula>
    </cfRule>
  </conditionalFormatting>
  <conditionalFormatting sqref="W2:X29">
    <cfRule type="cellIs" dxfId="1325" priority="1980" operator="equal">
      <formula>0</formula>
    </cfRule>
  </conditionalFormatting>
  <conditionalFormatting sqref="Z62 Z68 Z74 Z80 Z86 Z92 Z98 Z104 Z110 Z116 Z122 Z128 Z134 Z140 Z146 Z152 Z158 Z164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1324" priority="1968" operator="lessThan">
      <formula>W70</formula>
    </cfRule>
    <cfRule type="cellIs" dxfId="1323" priority="1973" operator="equal">
      <formula>0</formula>
    </cfRule>
  </conditionalFormatting>
  <conditionalFormatting sqref="W70">
    <cfRule type="cellIs" dxfId="1322" priority="1969" operator="lessThan">
      <formula>W71</formula>
    </cfRule>
    <cfRule type="cellIs" dxfId="1321" priority="1970" operator="equal">
      <formula>0</formula>
    </cfRule>
    <cfRule type="cellIs" dxfId="1320" priority="1971" operator="lessThan">
      <formula>W71</formula>
    </cfRule>
    <cfRule type="cellIs" dxfId="1319" priority="1972" operator="lessThan">
      <formula>0</formula>
    </cfRule>
  </conditionalFormatting>
  <conditionalFormatting sqref="W77">
    <cfRule type="cellIs" dxfId="1318" priority="1962" operator="lessThan">
      <formula>W76</formula>
    </cfRule>
    <cfRule type="cellIs" dxfId="1317" priority="1967" operator="equal">
      <formula>0</formula>
    </cfRule>
  </conditionalFormatting>
  <conditionalFormatting sqref="W76">
    <cfRule type="cellIs" dxfId="1316" priority="1963" operator="lessThan">
      <formula>W77</formula>
    </cfRule>
    <cfRule type="cellIs" dxfId="1315" priority="1964" operator="equal">
      <formula>0</formula>
    </cfRule>
    <cfRule type="cellIs" dxfId="1314" priority="1965" operator="lessThan">
      <formula>W77</formula>
    </cfRule>
    <cfRule type="cellIs" dxfId="1313" priority="1966" operator="lessThan">
      <formula>0</formula>
    </cfRule>
  </conditionalFormatting>
  <conditionalFormatting sqref="W83">
    <cfRule type="cellIs" dxfId="1312" priority="1956" operator="lessThan">
      <formula>W82</formula>
    </cfRule>
    <cfRule type="cellIs" dxfId="1311" priority="1961" operator="equal">
      <formula>0</formula>
    </cfRule>
  </conditionalFormatting>
  <conditionalFormatting sqref="W82">
    <cfRule type="cellIs" dxfId="1310" priority="1957" operator="lessThan">
      <formula>W83</formula>
    </cfRule>
    <cfRule type="cellIs" dxfId="1309" priority="1958" operator="equal">
      <formula>0</formula>
    </cfRule>
    <cfRule type="cellIs" dxfId="1308" priority="1959" operator="lessThan">
      <formula>W83</formula>
    </cfRule>
    <cfRule type="cellIs" dxfId="1307" priority="1960" operator="lessThan">
      <formula>0</formula>
    </cfRule>
  </conditionalFormatting>
  <conditionalFormatting sqref="W89">
    <cfRule type="cellIs" dxfId="1306" priority="1950" operator="lessThan">
      <formula>W88</formula>
    </cfRule>
    <cfRule type="cellIs" dxfId="1305" priority="1955" operator="equal">
      <formula>0</formula>
    </cfRule>
  </conditionalFormatting>
  <conditionalFormatting sqref="W88">
    <cfRule type="cellIs" dxfId="1304" priority="1951" operator="lessThan">
      <formula>W89</formula>
    </cfRule>
    <cfRule type="cellIs" dxfId="1303" priority="1952" operator="equal">
      <formula>0</formula>
    </cfRule>
    <cfRule type="cellIs" dxfId="1302" priority="1953" operator="lessThan">
      <formula>W89</formula>
    </cfRule>
    <cfRule type="cellIs" dxfId="1301" priority="1954" operator="lessThan">
      <formula>0</formula>
    </cfRule>
  </conditionalFormatting>
  <conditionalFormatting sqref="W95">
    <cfRule type="cellIs" dxfId="1300" priority="1944" operator="lessThan">
      <formula>W94</formula>
    </cfRule>
    <cfRule type="cellIs" dxfId="1299" priority="1949" operator="equal">
      <formula>0</formula>
    </cfRule>
  </conditionalFormatting>
  <conditionalFormatting sqref="W94">
    <cfRule type="cellIs" dxfId="1298" priority="1945" operator="lessThan">
      <formula>W95</formula>
    </cfRule>
    <cfRule type="cellIs" dxfId="1297" priority="1946" operator="equal">
      <formula>0</formula>
    </cfRule>
    <cfRule type="cellIs" dxfId="1296" priority="1947" operator="lessThan">
      <formula>W95</formula>
    </cfRule>
    <cfRule type="cellIs" dxfId="1295" priority="1948" operator="lessThan">
      <formula>0</formula>
    </cfRule>
  </conditionalFormatting>
  <conditionalFormatting sqref="W101">
    <cfRule type="cellIs" dxfId="1294" priority="1938" operator="lessThan">
      <formula>W100</formula>
    </cfRule>
    <cfRule type="cellIs" dxfId="1293" priority="1943" operator="equal">
      <formula>0</formula>
    </cfRule>
  </conditionalFormatting>
  <conditionalFormatting sqref="W100">
    <cfRule type="cellIs" dxfId="1292" priority="1939" operator="lessThan">
      <formula>W101</formula>
    </cfRule>
    <cfRule type="cellIs" dxfId="1291" priority="1940" operator="equal">
      <formula>0</formula>
    </cfRule>
    <cfRule type="cellIs" dxfId="1290" priority="1941" operator="lessThan">
      <formula>W101</formula>
    </cfRule>
    <cfRule type="cellIs" dxfId="1289" priority="1942" operator="lessThan">
      <formula>0</formula>
    </cfRule>
  </conditionalFormatting>
  <conditionalFormatting sqref="W107">
    <cfRule type="cellIs" dxfId="1288" priority="1932" operator="lessThan">
      <formula>W106</formula>
    </cfRule>
    <cfRule type="cellIs" dxfId="1287" priority="1937" operator="equal">
      <formula>0</formula>
    </cfRule>
  </conditionalFormatting>
  <conditionalFormatting sqref="W106">
    <cfRule type="cellIs" dxfId="1286" priority="1933" operator="lessThan">
      <formula>W107</formula>
    </cfRule>
    <cfRule type="cellIs" dxfId="1285" priority="1934" operator="equal">
      <formula>0</formula>
    </cfRule>
    <cfRule type="cellIs" dxfId="1284" priority="1935" operator="lessThan">
      <formula>W107</formula>
    </cfRule>
    <cfRule type="cellIs" dxfId="1283" priority="1936" operator="lessThan">
      <formula>0</formula>
    </cfRule>
  </conditionalFormatting>
  <conditionalFormatting sqref="W113">
    <cfRule type="cellIs" dxfId="1282" priority="1926" operator="lessThan">
      <formula>W112</formula>
    </cfRule>
    <cfRule type="cellIs" dxfId="1281" priority="1931" operator="equal">
      <formula>0</formula>
    </cfRule>
  </conditionalFormatting>
  <conditionalFormatting sqref="W112">
    <cfRule type="cellIs" dxfId="1280" priority="1927" operator="lessThan">
      <formula>W113</formula>
    </cfRule>
    <cfRule type="cellIs" dxfId="1279" priority="1928" operator="equal">
      <formula>0</formula>
    </cfRule>
    <cfRule type="cellIs" dxfId="1278" priority="1929" operator="lessThan">
      <formula>W113</formula>
    </cfRule>
    <cfRule type="cellIs" dxfId="1277" priority="1930" operator="lessThan">
      <formula>0</formula>
    </cfRule>
  </conditionalFormatting>
  <conditionalFormatting sqref="W119">
    <cfRule type="cellIs" dxfId="1276" priority="1920" operator="lessThan">
      <formula>W118</formula>
    </cfRule>
    <cfRule type="cellIs" dxfId="1275" priority="1925" operator="equal">
      <formula>0</formula>
    </cfRule>
  </conditionalFormatting>
  <conditionalFormatting sqref="W118">
    <cfRule type="cellIs" dxfId="1274" priority="1921" operator="lessThan">
      <formula>W119</formula>
    </cfRule>
    <cfRule type="cellIs" dxfId="1273" priority="1922" operator="equal">
      <formula>0</formula>
    </cfRule>
    <cfRule type="cellIs" dxfId="1272" priority="1923" operator="lessThan">
      <formula>W119</formula>
    </cfRule>
    <cfRule type="cellIs" dxfId="1271" priority="1924" operator="lessThan">
      <formula>0</formula>
    </cfRule>
  </conditionalFormatting>
  <conditionalFormatting sqref="W125">
    <cfRule type="cellIs" dxfId="1270" priority="1914" operator="lessThan">
      <formula>W124</formula>
    </cfRule>
    <cfRule type="cellIs" dxfId="1269" priority="1919" operator="equal">
      <formula>0</formula>
    </cfRule>
  </conditionalFormatting>
  <conditionalFormatting sqref="W124">
    <cfRule type="cellIs" dxfId="1268" priority="1915" operator="lessThan">
      <formula>W125</formula>
    </cfRule>
    <cfRule type="cellIs" dxfId="1267" priority="1916" operator="equal">
      <formula>0</formula>
    </cfRule>
    <cfRule type="cellIs" dxfId="1266" priority="1917" operator="lessThan">
      <formula>W125</formula>
    </cfRule>
    <cfRule type="cellIs" dxfId="1265" priority="1918" operator="lessThan">
      <formula>0</formula>
    </cfRule>
  </conditionalFormatting>
  <conditionalFormatting sqref="W131">
    <cfRule type="cellIs" dxfId="1264" priority="1908" operator="lessThan">
      <formula>W130</formula>
    </cfRule>
    <cfRule type="cellIs" dxfId="1263" priority="1913" operator="equal">
      <formula>0</formula>
    </cfRule>
  </conditionalFormatting>
  <conditionalFormatting sqref="W130">
    <cfRule type="cellIs" dxfId="1262" priority="1909" operator="lessThan">
      <formula>W131</formula>
    </cfRule>
    <cfRule type="cellIs" dxfId="1261" priority="1910" operator="equal">
      <formula>0</formula>
    </cfRule>
    <cfRule type="cellIs" dxfId="1260" priority="1911" operator="lessThan">
      <formula>W131</formula>
    </cfRule>
    <cfRule type="cellIs" dxfId="1259" priority="1912" operator="lessThan">
      <formula>0</formula>
    </cfRule>
  </conditionalFormatting>
  <conditionalFormatting sqref="W137">
    <cfRule type="cellIs" dxfId="1258" priority="1902" operator="lessThan">
      <formula>W136</formula>
    </cfRule>
    <cfRule type="cellIs" dxfId="1257" priority="1907" operator="equal">
      <formula>0</formula>
    </cfRule>
  </conditionalFormatting>
  <conditionalFormatting sqref="W136">
    <cfRule type="cellIs" dxfId="1256" priority="1903" operator="lessThan">
      <formula>W137</formula>
    </cfRule>
    <cfRule type="cellIs" dxfId="1255" priority="1904" operator="equal">
      <formula>0</formula>
    </cfRule>
    <cfRule type="cellIs" dxfId="1254" priority="1905" operator="lessThan">
      <formula>W137</formula>
    </cfRule>
    <cfRule type="cellIs" dxfId="1253" priority="1906" operator="lessThan">
      <formula>0</formula>
    </cfRule>
  </conditionalFormatting>
  <conditionalFormatting sqref="W143">
    <cfRule type="cellIs" dxfId="1252" priority="1896" operator="lessThan">
      <formula>W142</formula>
    </cfRule>
    <cfRule type="cellIs" dxfId="1251" priority="1901" operator="equal">
      <formula>0</formula>
    </cfRule>
  </conditionalFormatting>
  <conditionalFormatting sqref="W142">
    <cfRule type="cellIs" dxfId="1250" priority="1897" operator="lessThan">
      <formula>W143</formula>
    </cfRule>
    <cfRule type="cellIs" dxfId="1249" priority="1898" operator="equal">
      <formula>0</formula>
    </cfRule>
    <cfRule type="cellIs" dxfId="1248" priority="1899" operator="lessThan">
      <formula>W143</formula>
    </cfRule>
    <cfRule type="cellIs" dxfId="1247" priority="1900" operator="lessThan">
      <formula>0</formula>
    </cfRule>
  </conditionalFormatting>
  <conditionalFormatting sqref="V76:V81">
    <cfRule type="cellIs" dxfId="1246" priority="1894" operator="lessThan">
      <formula>0</formula>
    </cfRule>
    <cfRule type="cellIs" dxfId="1245" priority="1895" operator="equal">
      <formula>0</formula>
    </cfRule>
  </conditionalFormatting>
  <conditionalFormatting sqref="V82:V87">
    <cfRule type="cellIs" dxfId="1244" priority="1892" operator="lessThan">
      <formula>0</formula>
    </cfRule>
    <cfRule type="cellIs" dxfId="1243" priority="1893" operator="equal">
      <formula>0</formula>
    </cfRule>
  </conditionalFormatting>
  <conditionalFormatting sqref="V88:V93">
    <cfRule type="cellIs" dxfId="1242" priority="1890" operator="lessThan">
      <formula>0</formula>
    </cfRule>
    <cfRule type="cellIs" dxfId="1241" priority="1891" operator="equal">
      <formula>0</formula>
    </cfRule>
  </conditionalFormatting>
  <conditionalFormatting sqref="V94:V99">
    <cfRule type="cellIs" dxfId="1240" priority="1888" operator="lessThan">
      <formula>0</formula>
    </cfRule>
    <cfRule type="cellIs" dxfId="1239" priority="1889" operator="equal">
      <formula>0</formula>
    </cfRule>
  </conditionalFormatting>
  <conditionalFormatting sqref="V100:V105">
    <cfRule type="cellIs" dxfId="1238" priority="1886" operator="lessThan">
      <formula>0</formula>
    </cfRule>
    <cfRule type="cellIs" dxfId="1237" priority="1887" operator="equal">
      <formula>0</formula>
    </cfRule>
  </conditionalFormatting>
  <conditionalFormatting sqref="V106:V111">
    <cfRule type="cellIs" dxfId="1236" priority="1884" operator="lessThan">
      <formula>0</formula>
    </cfRule>
    <cfRule type="cellIs" dxfId="1235" priority="1885" operator="equal">
      <formula>0</formula>
    </cfRule>
  </conditionalFormatting>
  <conditionalFormatting sqref="V112:V117">
    <cfRule type="cellIs" dxfId="1234" priority="1882" operator="lessThan">
      <formula>0</formula>
    </cfRule>
    <cfRule type="cellIs" dxfId="1233" priority="1883" operator="equal">
      <formula>0</formula>
    </cfRule>
  </conditionalFormatting>
  <conditionalFormatting sqref="V118:V123">
    <cfRule type="cellIs" dxfId="1232" priority="1880" operator="lessThan">
      <formula>0</formula>
    </cfRule>
    <cfRule type="cellIs" dxfId="1231" priority="1881" operator="equal">
      <formula>0</formula>
    </cfRule>
  </conditionalFormatting>
  <conditionalFormatting sqref="V124:V129">
    <cfRule type="cellIs" dxfId="1230" priority="1878" operator="lessThan">
      <formula>0</formula>
    </cfRule>
    <cfRule type="cellIs" dxfId="1229" priority="1879" operator="equal">
      <formula>0</formula>
    </cfRule>
  </conditionalFormatting>
  <conditionalFormatting sqref="V130:V135">
    <cfRule type="cellIs" dxfId="1228" priority="1876" operator="lessThan">
      <formula>0</formula>
    </cfRule>
    <cfRule type="cellIs" dxfId="1227" priority="1877" operator="equal">
      <formula>0</formula>
    </cfRule>
  </conditionalFormatting>
  <conditionalFormatting sqref="V136:V141">
    <cfRule type="cellIs" dxfId="1226" priority="1874" operator="lessThan">
      <formula>0</formula>
    </cfRule>
    <cfRule type="cellIs" dxfId="1225" priority="1875" operator="equal">
      <formula>0</formula>
    </cfRule>
  </conditionalFormatting>
  <conditionalFormatting sqref="V142:V147">
    <cfRule type="cellIs" dxfId="1224" priority="1872" operator="lessThan">
      <formula>0</formula>
    </cfRule>
    <cfRule type="cellIs" dxfId="1223" priority="1873" operator="equal">
      <formula>0</formula>
    </cfRule>
  </conditionalFormatting>
  <conditionalFormatting sqref="V148:V153">
    <cfRule type="cellIs" dxfId="1222" priority="1870" operator="lessThan">
      <formula>0</formula>
    </cfRule>
    <cfRule type="cellIs" dxfId="1221" priority="1871" operator="equal">
      <formula>0</formula>
    </cfRule>
  </conditionalFormatting>
  <conditionalFormatting sqref="V154:V159">
    <cfRule type="cellIs" dxfId="1220" priority="1868" operator="lessThan">
      <formula>0</formula>
    </cfRule>
    <cfRule type="cellIs" dxfId="1219" priority="1869" operator="equal">
      <formula>0</formula>
    </cfRule>
  </conditionalFormatting>
  <conditionalFormatting sqref="V160:V165">
    <cfRule type="cellIs" dxfId="1218" priority="1866" operator="lessThan">
      <formula>0</formula>
    </cfRule>
    <cfRule type="cellIs" dxfId="1217" priority="1867" operator="equal">
      <formula>0</formula>
    </cfRule>
  </conditionalFormatting>
  <conditionalFormatting sqref="W69">
    <cfRule type="cellIs" dxfId="1216" priority="1825" operator="equal">
      <formula>0</formula>
    </cfRule>
    <cfRule type="cellIs" dxfId="1215" priority="1826" operator="greaterThan">
      <formula>W68</formula>
    </cfRule>
  </conditionalFormatting>
  <conditionalFormatting sqref="W75">
    <cfRule type="cellIs" dxfId="1214" priority="1823" operator="equal">
      <formula>0</formula>
    </cfRule>
    <cfRule type="cellIs" dxfId="1213" priority="1824" operator="greaterThan">
      <formula>W74</formula>
    </cfRule>
  </conditionalFormatting>
  <conditionalFormatting sqref="D58">
    <cfRule type="expression" dxfId="1212" priority="1585">
      <formula>E58&gt;B58</formula>
    </cfRule>
    <cfRule type="expression" dxfId="1211" priority="1803">
      <formula>V58&lt;&gt;0</formula>
    </cfRule>
  </conditionalFormatting>
  <conditionalFormatting sqref="C58">
    <cfRule type="expression" dxfId="1210" priority="1586">
      <formula>B58&gt;E58</formula>
    </cfRule>
    <cfRule type="expression" dxfId="1209" priority="1802">
      <formula>V58&lt;&gt;0</formula>
    </cfRule>
  </conditionalFormatting>
  <conditionalFormatting sqref="E58">
    <cfRule type="cellIs" dxfId="1208" priority="1540" operator="greaterThan">
      <formula>B58</formula>
    </cfRule>
  </conditionalFormatting>
  <conditionalFormatting sqref="B59">
    <cfRule type="cellIs" dxfId="1207" priority="790" operator="greaterThan">
      <formula>E59</formula>
    </cfRule>
  </conditionalFormatting>
  <conditionalFormatting sqref="D59">
    <cfRule type="expression" dxfId="1206" priority="786">
      <formula>E59&gt;B59</formula>
    </cfRule>
    <cfRule type="expression" dxfId="1205" priority="789">
      <formula>V59&lt;&gt;0</formula>
    </cfRule>
  </conditionalFormatting>
  <conditionalFormatting sqref="C59">
    <cfRule type="expression" dxfId="1204" priority="787">
      <formula>B59&gt;E59</formula>
    </cfRule>
    <cfRule type="expression" dxfId="1203" priority="788">
      <formula>V59&lt;&gt;0</formula>
    </cfRule>
  </conditionalFormatting>
  <conditionalFormatting sqref="E59">
    <cfRule type="cellIs" dxfId="1202" priority="785" operator="greaterThan">
      <formula>B59</formula>
    </cfRule>
  </conditionalFormatting>
  <conditionalFormatting sqref="B60">
    <cfRule type="cellIs" dxfId="1201" priority="784" operator="greaterThan">
      <formula>E60</formula>
    </cfRule>
  </conditionalFormatting>
  <conditionalFormatting sqref="D60">
    <cfRule type="expression" dxfId="1200" priority="780">
      <formula>E60&gt;B60</formula>
    </cfRule>
    <cfRule type="expression" dxfId="1199" priority="783">
      <formula>V60&lt;&gt;0</formula>
    </cfRule>
  </conditionalFormatting>
  <conditionalFormatting sqref="C60">
    <cfRule type="expression" dxfId="1198" priority="781">
      <formula>B60&gt;E60</formula>
    </cfRule>
    <cfRule type="expression" dxfId="1197" priority="782">
      <formula>V60&lt;&gt;0</formula>
    </cfRule>
  </conditionalFormatting>
  <conditionalFormatting sqref="E60">
    <cfRule type="cellIs" dxfId="1196" priority="779" operator="greaterThan">
      <formula>B60</formula>
    </cfRule>
  </conditionalFormatting>
  <conditionalFormatting sqref="B61">
    <cfRule type="cellIs" dxfId="1195" priority="778" operator="greaterThan">
      <formula>E61</formula>
    </cfRule>
  </conditionalFormatting>
  <conditionalFormatting sqref="D61">
    <cfRule type="expression" dxfId="1194" priority="774">
      <formula>E61&gt;B61</formula>
    </cfRule>
    <cfRule type="expression" dxfId="1193" priority="777">
      <formula>V61&lt;&gt;0</formula>
    </cfRule>
  </conditionalFormatting>
  <conditionalFormatting sqref="C61">
    <cfRule type="expression" dxfId="1192" priority="775">
      <formula>B61&gt;E61</formula>
    </cfRule>
    <cfRule type="expression" dxfId="1191" priority="776">
      <formula>V61&lt;&gt;0</formula>
    </cfRule>
  </conditionalFormatting>
  <conditionalFormatting sqref="E61">
    <cfRule type="cellIs" dxfId="1190" priority="773" operator="greaterThan">
      <formula>B61</formula>
    </cfRule>
  </conditionalFormatting>
  <conditionalFormatting sqref="B62">
    <cfRule type="cellIs" dxfId="1189" priority="772" operator="greaterThan">
      <formula>E62</formula>
    </cfRule>
  </conditionalFormatting>
  <conditionalFormatting sqref="D62">
    <cfRule type="expression" dxfId="1188" priority="768">
      <formula>E62&gt;B62</formula>
    </cfRule>
    <cfRule type="expression" dxfId="1187" priority="771">
      <formula>V62&lt;&gt;0</formula>
    </cfRule>
  </conditionalFormatting>
  <conditionalFormatting sqref="C62">
    <cfRule type="expression" dxfId="1186" priority="769">
      <formula>B62&gt;E62</formula>
    </cfRule>
    <cfRule type="expression" dxfId="1185" priority="770">
      <formula>V62&lt;&gt;0</formula>
    </cfRule>
  </conditionalFormatting>
  <conditionalFormatting sqref="E62">
    <cfRule type="cellIs" dxfId="1184" priority="767" operator="greaterThan">
      <formula>B62</formula>
    </cfRule>
  </conditionalFormatting>
  <conditionalFormatting sqref="B63">
    <cfRule type="cellIs" dxfId="1183" priority="766" operator="greaterThan">
      <formula>E63</formula>
    </cfRule>
  </conditionalFormatting>
  <conditionalFormatting sqref="D63">
    <cfRule type="expression" dxfId="1182" priority="762">
      <formula>E63&gt;B63</formula>
    </cfRule>
    <cfRule type="expression" dxfId="1181" priority="765">
      <formula>V63&lt;&gt;0</formula>
    </cfRule>
  </conditionalFormatting>
  <conditionalFormatting sqref="C63">
    <cfRule type="expression" dxfId="1180" priority="763">
      <formula>B63&gt;E63</formula>
    </cfRule>
    <cfRule type="expression" dxfId="1179" priority="764">
      <formula>V63&lt;&gt;0</formula>
    </cfRule>
  </conditionalFormatting>
  <conditionalFormatting sqref="E63">
    <cfRule type="cellIs" dxfId="1178" priority="761" operator="greaterThan">
      <formula>B63</formula>
    </cfRule>
  </conditionalFormatting>
  <conditionalFormatting sqref="B64">
    <cfRule type="cellIs" dxfId="1177" priority="760" operator="greaterThan">
      <formula>E64</formula>
    </cfRule>
  </conditionalFormatting>
  <conditionalFormatting sqref="D64">
    <cfRule type="expression" dxfId="1176" priority="756">
      <formula>E64&gt;B64</formula>
    </cfRule>
    <cfRule type="expression" dxfId="1175" priority="759">
      <formula>V64&lt;&gt;0</formula>
    </cfRule>
  </conditionalFormatting>
  <conditionalFormatting sqref="C64">
    <cfRule type="expression" dxfId="1174" priority="757">
      <formula>B64&gt;E64</formula>
    </cfRule>
    <cfRule type="expression" dxfId="1173" priority="758">
      <formula>V64&lt;&gt;0</formula>
    </cfRule>
  </conditionalFormatting>
  <conditionalFormatting sqref="E64">
    <cfRule type="cellIs" dxfId="1172" priority="755" operator="greaterThan">
      <formula>B64</formula>
    </cfRule>
  </conditionalFormatting>
  <conditionalFormatting sqref="B65">
    <cfRule type="cellIs" dxfId="1171" priority="754" operator="greaterThan">
      <formula>E65</formula>
    </cfRule>
  </conditionalFormatting>
  <conditionalFormatting sqref="D65">
    <cfRule type="expression" dxfId="1170" priority="750">
      <formula>E65&gt;B65</formula>
    </cfRule>
    <cfRule type="expression" dxfId="1169" priority="753">
      <formula>V65&lt;&gt;0</formula>
    </cfRule>
  </conditionalFormatting>
  <conditionalFormatting sqref="C65">
    <cfRule type="expression" dxfId="1168" priority="751">
      <formula>B65&gt;E65</formula>
    </cfRule>
    <cfRule type="expression" dxfId="1167" priority="752">
      <formula>V65&lt;&gt;0</formula>
    </cfRule>
  </conditionalFormatting>
  <conditionalFormatting sqref="E65">
    <cfRule type="cellIs" dxfId="1166" priority="749" operator="greaterThan">
      <formula>B65</formula>
    </cfRule>
  </conditionalFormatting>
  <conditionalFormatting sqref="B66">
    <cfRule type="cellIs" dxfId="1165" priority="748" operator="greaterThan">
      <formula>E66</formula>
    </cfRule>
  </conditionalFormatting>
  <conditionalFormatting sqref="D66">
    <cfRule type="expression" dxfId="1164" priority="744">
      <formula>E66&gt;B66</formula>
    </cfRule>
    <cfRule type="expression" dxfId="1163" priority="747">
      <formula>V66&lt;&gt;0</formula>
    </cfRule>
  </conditionalFormatting>
  <conditionalFormatting sqref="C66">
    <cfRule type="expression" dxfId="1162" priority="745">
      <formula>B66&gt;E66</formula>
    </cfRule>
    <cfRule type="expression" dxfId="1161" priority="746">
      <formula>V66&lt;&gt;0</formula>
    </cfRule>
  </conditionalFormatting>
  <conditionalFormatting sqref="E66">
    <cfRule type="cellIs" dxfId="1160" priority="743" operator="greaterThan">
      <formula>B66</formula>
    </cfRule>
  </conditionalFormatting>
  <conditionalFormatting sqref="B67">
    <cfRule type="cellIs" dxfId="1159" priority="742" operator="greaterThan">
      <formula>E67</formula>
    </cfRule>
  </conditionalFormatting>
  <conditionalFormatting sqref="D67">
    <cfRule type="expression" dxfId="1158" priority="738">
      <formula>E67&gt;B67</formula>
    </cfRule>
    <cfRule type="expression" dxfId="1157" priority="741">
      <formula>V67&lt;&gt;0</formula>
    </cfRule>
  </conditionalFormatting>
  <conditionalFormatting sqref="C67">
    <cfRule type="expression" dxfId="1156" priority="739">
      <formula>B67&gt;E67</formula>
    </cfRule>
    <cfRule type="expression" dxfId="1155" priority="740">
      <formula>V67&lt;&gt;0</formula>
    </cfRule>
  </conditionalFormatting>
  <conditionalFormatting sqref="E67">
    <cfRule type="cellIs" dxfId="1154" priority="737" operator="greaterThan">
      <formula>B67</formula>
    </cfRule>
  </conditionalFormatting>
  <conditionalFormatting sqref="B68">
    <cfRule type="cellIs" dxfId="1153" priority="736" operator="greaterThan">
      <formula>E68</formula>
    </cfRule>
  </conditionalFormatting>
  <conditionalFormatting sqref="D68">
    <cfRule type="expression" dxfId="1152" priority="732">
      <formula>E68&gt;B68</formula>
    </cfRule>
    <cfRule type="expression" dxfId="1151" priority="735">
      <formula>V68&lt;&gt;0</formula>
    </cfRule>
  </conditionalFormatting>
  <conditionalFormatting sqref="C68">
    <cfRule type="expression" dxfId="1150" priority="733">
      <formula>B68&gt;E68</formula>
    </cfRule>
    <cfRule type="expression" dxfId="1149" priority="734">
      <formula>V68&lt;&gt;0</formula>
    </cfRule>
  </conditionalFormatting>
  <conditionalFormatting sqref="E68">
    <cfRule type="cellIs" dxfId="1148" priority="731" operator="greaterThan">
      <formula>B68</formula>
    </cfRule>
  </conditionalFormatting>
  <conditionalFormatting sqref="B69">
    <cfRule type="cellIs" dxfId="1147" priority="730" operator="greaterThan">
      <formula>E69</formula>
    </cfRule>
  </conditionalFormatting>
  <conditionalFormatting sqref="D69">
    <cfRule type="expression" dxfId="1146" priority="726">
      <formula>E69&gt;B69</formula>
    </cfRule>
    <cfRule type="expression" dxfId="1145" priority="729">
      <formula>V69&lt;&gt;0</formula>
    </cfRule>
  </conditionalFormatting>
  <conditionalFormatting sqref="C69">
    <cfRule type="expression" dxfId="1144" priority="727">
      <formula>B69&gt;E69</formula>
    </cfRule>
    <cfRule type="expression" dxfId="1143" priority="728">
      <formula>V69&lt;&gt;0</formula>
    </cfRule>
  </conditionalFormatting>
  <conditionalFormatting sqref="E69">
    <cfRule type="cellIs" dxfId="1142" priority="725" operator="greaterThan">
      <formula>B69</formula>
    </cfRule>
  </conditionalFormatting>
  <conditionalFormatting sqref="B70">
    <cfRule type="cellIs" dxfId="1141" priority="724" operator="greaterThan">
      <formula>E70</formula>
    </cfRule>
  </conditionalFormatting>
  <conditionalFormatting sqref="D70">
    <cfRule type="expression" dxfId="1140" priority="720">
      <formula>E70&gt;B70</formula>
    </cfRule>
    <cfRule type="expression" dxfId="1139" priority="723">
      <formula>V70&lt;&gt;0</formula>
    </cfRule>
  </conditionalFormatting>
  <conditionalFormatting sqref="C70">
    <cfRule type="expression" dxfId="1138" priority="721">
      <formula>B70&gt;E70</formula>
    </cfRule>
    <cfRule type="expression" dxfId="1137" priority="722">
      <formula>V70&lt;&gt;0</formula>
    </cfRule>
  </conditionalFormatting>
  <conditionalFormatting sqref="E70">
    <cfRule type="cellIs" dxfId="1136" priority="719" operator="greaterThan">
      <formula>B70</formula>
    </cfRule>
  </conditionalFormatting>
  <conditionalFormatting sqref="B71">
    <cfRule type="cellIs" dxfId="1135" priority="718" operator="greaterThan">
      <formula>E71</formula>
    </cfRule>
  </conditionalFormatting>
  <conditionalFormatting sqref="D71">
    <cfRule type="expression" dxfId="1134" priority="714">
      <formula>E71&gt;B71</formula>
    </cfRule>
    <cfRule type="expression" dxfId="1133" priority="717">
      <formula>V71&lt;&gt;0</formula>
    </cfRule>
  </conditionalFormatting>
  <conditionalFormatting sqref="C71">
    <cfRule type="expression" dxfId="1132" priority="715">
      <formula>B71&gt;E71</formula>
    </cfRule>
    <cfRule type="expression" dxfId="1131" priority="716">
      <formula>V71&lt;&gt;0</formula>
    </cfRule>
  </conditionalFormatting>
  <conditionalFormatting sqref="E71">
    <cfRule type="cellIs" dxfId="1130" priority="713" operator="greaterThan">
      <formula>B71</formula>
    </cfRule>
  </conditionalFormatting>
  <conditionalFormatting sqref="B72">
    <cfRule type="cellIs" dxfId="1129" priority="712" operator="greaterThan">
      <formula>E72</formula>
    </cfRule>
  </conditionalFormatting>
  <conditionalFormatting sqref="D72">
    <cfRule type="expression" dxfId="1128" priority="708">
      <formula>E72&gt;B72</formula>
    </cfRule>
    <cfRule type="expression" dxfId="1127" priority="711">
      <formula>V72&lt;&gt;0</formula>
    </cfRule>
  </conditionalFormatting>
  <conditionalFormatting sqref="C72">
    <cfRule type="expression" dxfId="1126" priority="709">
      <formula>B72&gt;E72</formula>
    </cfRule>
    <cfRule type="expression" dxfId="1125" priority="710">
      <formula>V72&lt;&gt;0</formula>
    </cfRule>
  </conditionalFormatting>
  <conditionalFormatting sqref="E72">
    <cfRule type="cellIs" dxfId="1124" priority="707" operator="greaterThan">
      <formula>B72</formula>
    </cfRule>
  </conditionalFormatting>
  <conditionalFormatting sqref="B73">
    <cfRule type="cellIs" dxfId="1123" priority="706" operator="greaterThan">
      <formula>E73</formula>
    </cfRule>
  </conditionalFormatting>
  <conditionalFormatting sqref="D73">
    <cfRule type="expression" dxfId="1122" priority="702">
      <formula>E73&gt;B73</formula>
    </cfRule>
    <cfRule type="expression" dxfId="1121" priority="705">
      <formula>V73&lt;&gt;0</formula>
    </cfRule>
  </conditionalFormatting>
  <conditionalFormatting sqref="C73">
    <cfRule type="expression" dxfId="1120" priority="703">
      <formula>B73&gt;E73</formula>
    </cfRule>
    <cfRule type="expression" dxfId="1119" priority="704">
      <formula>V73&lt;&gt;0</formula>
    </cfRule>
  </conditionalFormatting>
  <conditionalFormatting sqref="E73">
    <cfRule type="cellIs" dxfId="1118" priority="701" operator="greaterThan">
      <formula>B73</formula>
    </cfRule>
  </conditionalFormatting>
  <conditionalFormatting sqref="B74">
    <cfRule type="cellIs" dxfId="1117" priority="700" operator="greaterThan">
      <formula>E74</formula>
    </cfRule>
  </conditionalFormatting>
  <conditionalFormatting sqref="D74">
    <cfRule type="expression" dxfId="1116" priority="696">
      <formula>E74&gt;B74</formula>
    </cfRule>
    <cfRule type="expression" dxfId="1115" priority="699">
      <formula>V74&lt;&gt;0</formula>
    </cfRule>
  </conditionalFormatting>
  <conditionalFormatting sqref="C74">
    <cfRule type="expression" dxfId="1114" priority="697">
      <formula>B74&gt;E74</formula>
    </cfRule>
    <cfRule type="expression" dxfId="1113" priority="698">
      <formula>V74&lt;&gt;0</formula>
    </cfRule>
  </conditionalFormatting>
  <conditionalFormatting sqref="E74">
    <cfRule type="cellIs" dxfId="1112" priority="695" operator="greaterThan">
      <formula>B74</formula>
    </cfRule>
  </conditionalFormatting>
  <conditionalFormatting sqref="B75">
    <cfRule type="cellIs" dxfId="1111" priority="694" operator="greaterThan">
      <formula>E75</formula>
    </cfRule>
  </conditionalFormatting>
  <conditionalFormatting sqref="D75">
    <cfRule type="expression" dxfId="1110" priority="690">
      <formula>E75&gt;B75</formula>
    </cfRule>
    <cfRule type="expression" dxfId="1109" priority="693">
      <formula>V75&lt;&gt;0</formula>
    </cfRule>
  </conditionalFormatting>
  <conditionalFormatting sqref="C75">
    <cfRule type="expression" dxfId="1108" priority="691">
      <formula>B75&gt;E75</formula>
    </cfRule>
    <cfRule type="expression" dxfId="1107" priority="692">
      <formula>V75&lt;&gt;0</formula>
    </cfRule>
  </conditionalFormatting>
  <conditionalFormatting sqref="E75">
    <cfRule type="cellIs" dxfId="1106" priority="689" operator="greaterThan">
      <formula>B75</formula>
    </cfRule>
  </conditionalFormatting>
  <conditionalFormatting sqref="B76">
    <cfRule type="cellIs" dxfId="1105" priority="688" operator="greaterThan">
      <formula>E76</formula>
    </cfRule>
  </conditionalFormatting>
  <conditionalFormatting sqref="D76">
    <cfRule type="expression" dxfId="1104" priority="684">
      <formula>E76&gt;B76</formula>
    </cfRule>
    <cfRule type="expression" dxfId="1103" priority="687">
      <formula>V76&lt;&gt;0</formula>
    </cfRule>
  </conditionalFormatting>
  <conditionalFormatting sqref="C76">
    <cfRule type="expression" dxfId="1102" priority="685">
      <formula>B76&gt;E76</formula>
    </cfRule>
    <cfRule type="expression" dxfId="1101" priority="686">
      <formula>V76&lt;&gt;0</formula>
    </cfRule>
  </conditionalFormatting>
  <conditionalFormatting sqref="E76">
    <cfRule type="cellIs" dxfId="1100" priority="683" operator="greaterThan">
      <formula>B76</formula>
    </cfRule>
  </conditionalFormatting>
  <conditionalFormatting sqref="B77">
    <cfRule type="cellIs" dxfId="1099" priority="682" operator="greaterThan">
      <formula>E77</formula>
    </cfRule>
  </conditionalFormatting>
  <conditionalFormatting sqref="D77">
    <cfRule type="expression" dxfId="1098" priority="678">
      <formula>E77&gt;B77</formula>
    </cfRule>
    <cfRule type="expression" dxfId="1097" priority="681">
      <formula>V77&lt;&gt;0</formula>
    </cfRule>
  </conditionalFormatting>
  <conditionalFormatting sqref="C77">
    <cfRule type="expression" dxfId="1096" priority="679">
      <formula>B77&gt;E77</formula>
    </cfRule>
    <cfRule type="expression" dxfId="1095" priority="680">
      <formula>V77&lt;&gt;0</formula>
    </cfRule>
  </conditionalFormatting>
  <conditionalFormatting sqref="E77">
    <cfRule type="cellIs" dxfId="1094" priority="677" operator="greaterThan">
      <formula>B77</formula>
    </cfRule>
  </conditionalFormatting>
  <conditionalFormatting sqref="B78">
    <cfRule type="cellIs" dxfId="1093" priority="676" operator="greaterThan">
      <formula>E78</formula>
    </cfRule>
  </conditionalFormatting>
  <conditionalFormatting sqref="D78">
    <cfRule type="expression" dxfId="1092" priority="672">
      <formula>E78&gt;B78</formula>
    </cfRule>
    <cfRule type="expression" dxfId="1091" priority="675">
      <formula>V78&lt;&gt;0</formula>
    </cfRule>
  </conditionalFormatting>
  <conditionalFormatting sqref="C78">
    <cfRule type="expression" dxfId="1090" priority="673">
      <formula>B78&gt;E78</formula>
    </cfRule>
    <cfRule type="expression" dxfId="1089" priority="674">
      <formula>V78&lt;&gt;0</formula>
    </cfRule>
  </conditionalFormatting>
  <conditionalFormatting sqref="E78">
    <cfRule type="cellIs" dxfId="1088" priority="671" operator="greaterThan">
      <formula>B78</formula>
    </cfRule>
  </conditionalFormatting>
  <conditionalFormatting sqref="B79">
    <cfRule type="cellIs" dxfId="1087" priority="670" operator="greaterThan">
      <formula>E79</formula>
    </cfRule>
  </conditionalFormatting>
  <conditionalFormatting sqref="D79">
    <cfRule type="expression" dxfId="1086" priority="666">
      <formula>E79&gt;B79</formula>
    </cfRule>
    <cfRule type="expression" dxfId="1085" priority="669">
      <formula>V79&lt;&gt;0</formula>
    </cfRule>
  </conditionalFormatting>
  <conditionalFormatting sqref="C79">
    <cfRule type="expression" dxfId="1084" priority="667">
      <formula>B79&gt;E79</formula>
    </cfRule>
    <cfRule type="expression" dxfId="1083" priority="668">
      <formula>V79&lt;&gt;0</formula>
    </cfRule>
  </conditionalFormatting>
  <conditionalFormatting sqref="E79">
    <cfRule type="cellIs" dxfId="1082" priority="665" operator="greaterThan">
      <formula>B79</formula>
    </cfRule>
  </conditionalFormatting>
  <conditionalFormatting sqref="B80">
    <cfRule type="cellIs" dxfId="1081" priority="664" operator="greaterThan">
      <formula>E80</formula>
    </cfRule>
  </conditionalFormatting>
  <conditionalFormatting sqref="D80">
    <cfRule type="expression" dxfId="1080" priority="660">
      <formula>E80&gt;B80</formula>
    </cfRule>
    <cfRule type="expression" dxfId="1079" priority="663">
      <formula>V80&lt;&gt;0</formula>
    </cfRule>
  </conditionalFormatting>
  <conditionalFormatting sqref="C80">
    <cfRule type="expression" dxfId="1078" priority="661">
      <formula>B80&gt;E80</formula>
    </cfRule>
    <cfRule type="expression" dxfId="1077" priority="662">
      <formula>V80&lt;&gt;0</formula>
    </cfRule>
  </conditionalFormatting>
  <conditionalFormatting sqref="E80">
    <cfRule type="cellIs" dxfId="1076" priority="659" operator="greaterThan">
      <formula>B80</formula>
    </cfRule>
  </conditionalFormatting>
  <conditionalFormatting sqref="B81">
    <cfRule type="cellIs" dxfId="1075" priority="658" operator="greaterThan">
      <formula>E81</formula>
    </cfRule>
  </conditionalFormatting>
  <conditionalFormatting sqref="D81">
    <cfRule type="expression" dxfId="1074" priority="654">
      <formula>E81&gt;B81</formula>
    </cfRule>
    <cfRule type="expression" dxfId="1073" priority="657">
      <formula>V81&lt;&gt;0</formula>
    </cfRule>
  </conditionalFormatting>
  <conditionalFormatting sqref="C81">
    <cfRule type="expression" dxfId="1072" priority="655">
      <formula>B81&gt;E81</formula>
    </cfRule>
    <cfRule type="expression" dxfId="1071" priority="656">
      <formula>V81&lt;&gt;0</formula>
    </cfRule>
  </conditionalFormatting>
  <conditionalFormatting sqref="E81">
    <cfRule type="cellIs" dxfId="1070" priority="653" operator="greaterThan">
      <formula>B81</formula>
    </cfRule>
  </conditionalFormatting>
  <conditionalFormatting sqref="B82">
    <cfRule type="cellIs" dxfId="1069" priority="652" operator="greaterThan">
      <formula>E82</formula>
    </cfRule>
  </conditionalFormatting>
  <conditionalFormatting sqref="D82">
    <cfRule type="expression" dxfId="1068" priority="648">
      <formula>E82&gt;B82</formula>
    </cfRule>
    <cfRule type="expression" dxfId="1067" priority="651">
      <formula>V82&lt;&gt;0</formula>
    </cfRule>
  </conditionalFormatting>
  <conditionalFormatting sqref="C82">
    <cfRule type="expression" dxfId="1066" priority="649">
      <formula>B82&gt;E82</formula>
    </cfRule>
    <cfRule type="expression" dxfId="1065" priority="650">
      <formula>V82&lt;&gt;0</formula>
    </cfRule>
  </conditionalFormatting>
  <conditionalFormatting sqref="E82">
    <cfRule type="cellIs" dxfId="1064" priority="647" operator="greaterThan">
      <formula>B82</formula>
    </cfRule>
  </conditionalFormatting>
  <conditionalFormatting sqref="B83">
    <cfRule type="cellIs" dxfId="1063" priority="646" operator="greaterThan">
      <formula>E83</formula>
    </cfRule>
  </conditionalFormatting>
  <conditionalFormatting sqref="D83">
    <cfRule type="expression" dxfId="1062" priority="642">
      <formula>E83&gt;B83</formula>
    </cfRule>
    <cfRule type="expression" dxfId="1061" priority="645">
      <formula>V83&lt;&gt;0</formula>
    </cfRule>
  </conditionalFormatting>
  <conditionalFormatting sqref="C83">
    <cfRule type="expression" dxfId="1060" priority="643">
      <formula>B83&gt;E83</formula>
    </cfRule>
    <cfRule type="expression" dxfId="1059" priority="644">
      <formula>V83&lt;&gt;0</formula>
    </cfRule>
  </conditionalFormatting>
  <conditionalFormatting sqref="E83">
    <cfRule type="cellIs" dxfId="1058" priority="641" operator="greaterThan">
      <formula>B83</formula>
    </cfRule>
  </conditionalFormatting>
  <conditionalFormatting sqref="B84">
    <cfRule type="cellIs" dxfId="1057" priority="640" operator="greaterThan">
      <formula>E84</formula>
    </cfRule>
  </conditionalFormatting>
  <conditionalFormatting sqref="D84">
    <cfRule type="expression" dxfId="1056" priority="636">
      <formula>E84&gt;B84</formula>
    </cfRule>
    <cfRule type="expression" dxfId="1055" priority="639">
      <formula>V84&lt;&gt;0</formula>
    </cfRule>
  </conditionalFormatting>
  <conditionalFormatting sqref="C84">
    <cfRule type="expression" dxfId="1054" priority="637">
      <formula>B84&gt;E84</formula>
    </cfRule>
    <cfRule type="expression" dxfId="1053" priority="638">
      <formula>V84&lt;&gt;0</formula>
    </cfRule>
  </conditionalFormatting>
  <conditionalFormatting sqref="E84">
    <cfRule type="cellIs" dxfId="1052" priority="635" operator="greaterThan">
      <formula>B84</formula>
    </cfRule>
  </conditionalFormatting>
  <conditionalFormatting sqref="B85">
    <cfRule type="cellIs" dxfId="1051" priority="634" operator="greaterThan">
      <formula>E85</formula>
    </cfRule>
  </conditionalFormatting>
  <conditionalFormatting sqref="D85">
    <cfRule type="expression" dxfId="1050" priority="630">
      <formula>E85&gt;B85</formula>
    </cfRule>
    <cfRule type="expression" dxfId="1049" priority="633">
      <formula>V85&lt;&gt;0</formula>
    </cfRule>
  </conditionalFormatting>
  <conditionalFormatting sqref="C85">
    <cfRule type="expression" dxfId="1048" priority="631">
      <formula>B85&gt;E85</formula>
    </cfRule>
    <cfRule type="expression" dxfId="1047" priority="632">
      <formula>V85&lt;&gt;0</formula>
    </cfRule>
  </conditionalFormatting>
  <conditionalFormatting sqref="E85">
    <cfRule type="cellIs" dxfId="1046" priority="629" operator="greaterThan">
      <formula>B85</formula>
    </cfRule>
  </conditionalFormatting>
  <conditionalFormatting sqref="B86">
    <cfRule type="cellIs" dxfId="1045" priority="628" operator="greaterThan">
      <formula>E86</formula>
    </cfRule>
  </conditionalFormatting>
  <conditionalFormatting sqref="D86">
    <cfRule type="expression" dxfId="1044" priority="624">
      <formula>E86&gt;B86</formula>
    </cfRule>
    <cfRule type="expression" dxfId="1043" priority="627">
      <formula>V86&lt;&gt;0</formula>
    </cfRule>
  </conditionalFormatting>
  <conditionalFormatting sqref="C86">
    <cfRule type="expression" dxfId="1042" priority="625">
      <formula>B86&gt;E86</formula>
    </cfRule>
    <cfRule type="expression" dxfId="1041" priority="626">
      <formula>V86&lt;&gt;0</formula>
    </cfRule>
  </conditionalFormatting>
  <conditionalFormatting sqref="E86">
    <cfRule type="cellIs" dxfId="1040" priority="623" operator="greaterThan">
      <formula>B86</formula>
    </cfRule>
  </conditionalFormatting>
  <conditionalFormatting sqref="B87">
    <cfRule type="cellIs" dxfId="1039" priority="622" operator="greaterThan">
      <formula>E87</formula>
    </cfRule>
  </conditionalFormatting>
  <conditionalFormatting sqref="D87">
    <cfRule type="expression" dxfId="1038" priority="618">
      <formula>E87&gt;B87</formula>
    </cfRule>
    <cfRule type="expression" dxfId="1037" priority="621">
      <formula>V87&lt;&gt;0</formula>
    </cfRule>
  </conditionalFormatting>
  <conditionalFormatting sqref="C87">
    <cfRule type="expression" dxfId="1036" priority="619">
      <formula>B87&gt;E87</formula>
    </cfRule>
    <cfRule type="expression" dxfId="1035" priority="620">
      <formula>V87&lt;&gt;0</formula>
    </cfRule>
  </conditionalFormatting>
  <conditionalFormatting sqref="E87">
    <cfRule type="cellIs" dxfId="1034" priority="617" operator="greaterThan">
      <formula>B87</formula>
    </cfRule>
  </conditionalFormatting>
  <conditionalFormatting sqref="B88">
    <cfRule type="cellIs" dxfId="1033" priority="616" operator="greaterThan">
      <formula>E88</formula>
    </cfRule>
  </conditionalFormatting>
  <conditionalFormatting sqref="D88">
    <cfRule type="expression" dxfId="1032" priority="612">
      <formula>E88&gt;B88</formula>
    </cfRule>
    <cfRule type="expression" dxfId="1031" priority="615">
      <formula>V88&lt;&gt;0</formula>
    </cfRule>
  </conditionalFormatting>
  <conditionalFormatting sqref="C88">
    <cfRule type="expression" dxfId="1030" priority="613">
      <formula>B88&gt;E88</formula>
    </cfRule>
    <cfRule type="expression" dxfId="1029" priority="614">
      <formula>V88&lt;&gt;0</formula>
    </cfRule>
  </conditionalFormatting>
  <conditionalFormatting sqref="E88">
    <cfRule type="cellIs" dxfId="1028" priority="611" operator="greaterThan">
      <formula>B88</formula>
    </cfRule>
  </conditionalFormatting>
  <conditionalFormatting sqref="B89">
    <cfRule type="cellIs" dxfId="1027" priority="610" operator="greaterThan">
      <formula>E89</formula>
    </cfRule>
  </conditionalFormatting>
  <conditionalFormatting sqref="D89">
    <cfRule type="expression" dxfId="1026" priority="606">
      <formula>E89&gt;B89</formula>
    </cfRule>
    <cfRule type="expression" dxfId="1025" priority="609">
      <formula>V89&lt;&gt;0</formula>
    </cfRule>
  </conditionalFormatting>
  <conditionalFormatting sqref="C89">
    <cfRule type="expression" dxfId="1024" priority="607">
      <formula>B89&gt;E89</formula>
    </cfRule>
    <cfRule type="expression" dxfId="1023" priority="608">
      <formula>V89&lt;&gt;0</formula>
    </cfRule>
  </conditionalFormatting>
  <conditionalFormatting sqref="E89">
    <cfRule type="cellIs" dxfId="1022" priority="605" operator="greaterThan">
      <formula>B89</formula>
    </cfRule>
  </conditionalFormatting>
  <conditionalFormatting sqref="B90">
    <cfRule type="cellIs" dxfId="1021" priority="604" operator="greaterThan">
      <formula>E90</formula>
    </cfRule>
  </conditionalFormatting>
  <conditionalFormatting sqref="D90">
    <cfRule type="expression" dxfId="1020" priority="600">
      <formula>E90&gt;B90</formula>
    </cfRule>
    <cfRule type="expression" dxfId="1019" priority="603">
      <formula>V90&lt;&gt;0</formula>
    </cfRule>
  </conditionalFormatting>
  <conditionalFormatting sqref="C90">
    <cfRule type="expression" dxfId="1018" priority="601">
      <formula>B90&gt;E90</formula>
    </cfRule>
    <cfRule type="expression" dxfId="1017" priority="602">
      <formula>V90&lt;&gt;0</formula>
    </cfRule>
  </conditionalFormatting>
  <conditionalFormatting sqref="E90">
    <cfRule type="cellIs" dxfId="1016" priority="599" operator="greaterThan">
      <formula>B90</formula>
    </cfRule>
  </conditionalFormatting>
  <conditionalFormatting sqref="B91">
    <cfRule type="cellIs" dxfId="1015" priority="598" operator="greaterThan">
      <formula>E91</formula>
    </cfRule>
  </conditionalFormatting>
  <conditionalFormatting sqref="D91">
    <cfRule type="expression" dxfId="1014" priority="594">
      <formula>E91&gt;B91</formula>
    </cfRule>
    <cfRule type="expression" dxfId="1013" priority="597">
      <formula>V91&lt;&gt;0</formula>
    </cfRule>
  </conditionalFormatting>
  <conditionalFormatting sqref="C91">
    <cfRule type="expression" dxfId="1012" priority="595">
      <formula>B91&gt;E91</formula>
    </cfRule>
    <cfRule type="expression" dxfId="1011" priority="596">
      <formula>V91&lt;&gt;0</formula>
    </cfRule>
  </conditionalFormatting>
  <conditionalFormatting sqref="E91">
    <cfRule type="cellIs" dxfId="1010" priority="593" operator="greaterThan">
      <formula>B91</formula>
    </cfRule>
  </conditionalFormatting>
  <conditionalFormatting sqref="B92">
    <cfRule type="cellIs" dxfId="1009" priority="592" operator="greaterThan">
      <formula>E92</formula>
    </cfRule>
  </conditionalFormatting>
  <conditionalFormatting sqref="D92">
    <cfRule type="expression" dxfId="1008" priority="588">
      <formula>E92&gt;B92</formula>
    </cfRule>
    <cfRule type="expression" dxfId="1007" priority="591">
      <formula>V92&lt;&gt;0</formula>
    </cfRule>
  </conditionalFormatting>
  <conditionalFormatting sqref="C92">
    <cfRule type="expression" dxfId="1006" priority="589">
      <formula>B92&gt;E92</formula>
    </cfRule>
    <cfRule type="expression" dxfId="1005" priority="590">
      <formula>V92&lt;&gt;0</formula>
    </cfRule>
  </conditionalFormatting>
  <conditionalFormatting sqref="E92">
    <cfRule type="cellIs" dxfId="1004" priority="587" operator="greaterThan">
      <formula>B92</formula>
    </cfRule>
  </conditionalFormatting>
  <conditionalFormatting sqref="B93">
    <cfRule type="cellIs" dxfId="1003" priority="586" operator="greaterThan">
      <formula>E93</formula>
    </cfRule>
  </conditionalFormatting>
  <conditionalFormatting sqref="D93">
    <cfRule type="expression" dxfId="1002" priority="582">
      <formula>E93&gt;B93</formula>
    </cfRule>
    <cfRule type="expression" dxfId="1001" priority="585">
      <formula>V93&lt;&gt;0</formula>
    </cfRule>
  </conditionalFormatting>
  <conditionalFormatting sqref="C93">
    <cfRule type="expression" dxfId="1000" priority="583">
      <formula>B93&gt;E93</formula>
    </cfRule>
    <cfRule type="expression" dxfId="999" priority="584">
      <formula>V93&lt;&gt;0</formula>
    </cfRule>
  </conditionalFormatting>
  <conditionalFormatting sqref="E93">
    <cfRule type="cellIs" dxfId="998" priority="581" operator="greaterThan">
      <formula>B93</formula>
    </cfRule>
  </conditionalFormatting>
  <conditionalFormatting sqref="B94">
    <cfRule type="cellIs" dxfId="997" priority="580" operator="greaterThan">
      <formula>E94</formula>
    </cfRule>
  </conditionalFormatting>
  <conditionalFormatting sqref="D94">
    <cfRule type="expression" dxfId="996" priority="576">
      <formula>E94&gt;B94</formula>
    </cfRule>
    <cfRule type="expression" dxfId="995" priority="579">
      <formula>V94&lt;&gt;0</formula>
    </cfRule>
  </conditionalFormatting>
  <conditionalFormatting sqref="C94">
    <cfRule type="expression" dxfId="994" priority="577">
      <formula>B94&gt;E94</formula>
    </cfRule>
    <cfRule type="expression" dxfId="993" priority="578">
      <formula>V94&lt;&gt;0</formula>
    </cfRule>
  </conditionalFormatting>
  <conditionalFormatting sqref="E94">
    <cfRule type="cellIs" dxfId="992" priority="575" operator="greaterThan">
      <formula>B94</formula>
    </cfRule>
  </conditionalFormatting>
  <conditionalFormatting sqref="B95">
    <cfRule type="cellIs" dxfId="991" priority="574" operator="greaterThan">
      <formula>E95</formula>
    </cfRule>
  </conditionalFormatting>
  <conditionalFormatting sqref="D95">
    <cfRule type="expression" dxfId="990" priority="570">
      <formula>E95&gt;B95</formula>
    </cfRule>
    <cfRule type="expression" dxfId="989" priority="573">
      <formula>V95&lt;&gt;0</formula>
    </cfRule>
  </conditionalFormatting>
  <conditionalFormatting sqref="C95">
    <cfRule type="expression" dxfId="988" priority="571">
      <formula>B95&gt;E95</formula>
    </cfRule>
    <cfRule type="expression" dxfId="987" priority="572">
      <formula>V95&lt;&gt;0</formula>
    </cfRule>
  </conditionalFormatting>
  <conditionalFormatting sqref="E95">
    <cfRule type="cellIs" dxfId="986" priority="569" operator="greaterThan">
      <formula>B95</formula>
    </cfRule>
  </conditionalFormatting>
  <conditionalFormatting sqref="B96">
    <cfRule type="cellIs" dxfId="985" priority="568" operator="greaterThan">
      <formula>E96</formula>
    </cfRule>
  </conditionalFormatting>
  <conditionalFormatting sqref="D96">
    <cfRule type="expression" dxfId="984" priority="564">
      <formula>E96&gt;B96</formula>
    </cfRule>
    <cfRule type="expression" dxfId="983" priority="567">
      <formula>V96&lt;&gt;0</formula>
    </cfRule>
  </conditionalFormatting>
  <conditionalFormatting sqref="C96">
    <cfRule type="expression" dxfId="982" priority="565">
      <formula>B96&gt;E96</formula>
    </cfRule>
    <cfRule type="expression" dxfId="981" priority="566">
      <formula>V96&lt;&gt;0</formula>
    </cfRule>
  </conditionalFormatting>
  <conditionalFormatting sqref="E96">
    <cfRule type="cellIs" dxfId="980" priority="563" operator="greaterThan">
      <formula>B96</formula>
    </cfRule>
  </conditionalFormatting>
  <conditionalFormatting sqref="B97">
    <cfRule type="cellIs" dxfId="979" priority="562" operator="greaterThan">
      <formula>E97</formula>
    </cfRule>
  </conditionalFormatting>
  <conditionalFormatting sqref="D97">
    <cfRule type="expression" dxfId="978" priority="558">
      <formula>E97&gt;B97</formula>
    </cfRule>
    <cfRule type="expression" dxfId="977" priority="561">
      <formula>V97&lt;&gt;0</formula>
    </cfRule>
  </conditionalFormatting>
  <conditionalFormatting sqref="C97">
    <cfRule type="expression" dxfId="976" priority="559">
      <formula>B97&gt;E97</formula>
    </cfRule>
    <cfRule type="expression" dxfId="975" priority="560">
      <formula>V97&lt;&gt;0</formula>
    </cfRule>
  </conditionalFormatting>
  <conditionalFormatting sqref="E97">
    <cfRule type="cellIs" dxfId="974" priority="557" operator="greaterThan">
      <formula>B97</formula>
    </cfRule>
  </conditionalFormatting>
  <conditionalFormatting sqref="B98">
    <cfRule type="cellIs" dxfId="973" priority="556" operator="greaterThan">
      <formula>E98</formula>
    </cfRule>
  </conditionalFormatting>
  <conditionalFormatting sqref="D98">
    <cfRule type="expression" dxfId="972" priority="552">
      <formula>E98&gt;B98</formula>
    </cfRule>
    <cfRule type="expression" dxfId="971" priority="555">
      <formula>V98&lt;&gt;0</formula>
    </cfRule>
  </conditionalFormatting>
  <conditionalFormatting sqref="C98">
    <cfRule type="expression" dxfId="970" priority="553">
      <formula>B98&gt;E98</formula>
    </cfRule>
    <cfRule type="expression" dxfId="969" priority="554">
      <formula>V98&lt;&gt;0</formula>
    </cfRule>
  </conditionalFormatting>
  <conditionalFormatting sqref="E98">
    <cfRule type="cellIs" dxfId="968" priority="551" operator="greaterThan">
      <formula>B98</formula>
    </cfRule>
  </conditionalFormatting>
  <conditionalFormatting sqref="B99">
    <cfRule type="cellIs" dxfId="967" priority="550" operator="greaterThan">
      <formula>E99</formula>
    </cfRule>
  </conditionalFormatting>
  <conditionalFormatting sqref="D99">
    <cfRule type="expression" dxfId="966" priority="546">
      <formula>E99&gt;B99</formula>
    </cfRule>
    <cfRule type="expression" dxfId="965" priority="549">
      <formula>V99&lt;&gt;0</formula>
    </cfRule>
  </conditionalFormatting>
  <conditionalFormatting sqref="C99">
    <cfRule type="expression" dxfId="964" priority="547">
      <formula>B99&gt;E99</formula>
    </cfRule>
    <cfRule type="expression" dxfId="963" priority="548">
      <formula>V99&lt;&gt;0</formula>
    </cfRule>
  </conditionalFormatting>
  <conditionalFormatting sqref="E99">
    <cfRule type="cellIs" dxfId="962" priority="545" operator="greaterThan">
      <formula>B99</formula>
    </cfRule>
  </conditionalFormatting>
  <conditionalFormatting sqref="B100">
    <cfRule type="cellIs" dxfId="961" priority="544" operator="greaterThan">
      <formula>E100</formula>
    </cfRule>
  </conditionalFormatting>
  <conditionalFormatting sqref="D100">
    <cfRule type="expression" dxfId="960" priority="540">
      <formula>E100&gt;B100</formula>
    </cfRule>
    <cfRule type="expression" dxfId="959" priority="543">
      <formula>V100&lt;&gt;0</formula>
    </cfRule>
  </conditionalFormatting>
  <conditionalFormatting sqref="C100">
    <cfRule type="expression" dxfId="958" priority="541">
      <formula>B100&gt;E100</formula>
    </cfRule>
    <cfRule type="expression" dxfId="957" priority="542">
      <formula>V100&lt;&gt;0</formula>
    </cfRule>
  </conditionalFormatting>
  <conditionalFormatting sqref="E100">
    <cfRule type="cellIs" dxfId="956" priority="539" operator="greaterThan">
      <formula>B100</formula>
    </cfRule>
  </conditionalFormatting>
  <conditionalFormatting sqref="B101">
    <cfRule type="cellIs" dxfId="955" priority="538" operator="greaterThan">
      <formula>E101</formula>
    </cfRule>
  </conditionalFormatting>
  <conditionalFormatting sqref="D101">
    <cfRule type="expression" dxfId="954" priority="534">
      <formula>E101&gt;B101</formula>
    </cfRule>
    <cfRule type="expression" dxfId="953" priority="537">
      <formula>V101&lt;&gt;0</formula>
    </cfRule>
  </conditionalFormatting>
  <conditionalFormatting sqref="C101">
    <cfRule type="expression" dxfId="952" priority="535">
      <formula>B101&gt;E101</formula>
    </cfRule>
    <cfRule type="expression" dxfId="951" priority="536">
      <formula>V101&lt;&gt;0</formula>
    </cfRule>
  </conditionalFormatting>
  <conditionalFormatting sqref="E101">
    <cfRule type="cellIs" dxfId="950" priority="533" operator="greaterThan">
      <formula>B101</formula>
    </cfRule>
  </conditionalFormatting>
  <conditionalFormatting sqref="B102">
    <cfRule type="cellIs" dxfId="949" priority="532" operator="greaterThan">
      <formula>E102</formula>
    </cfRule>
  </conditionalFormatting>
  <conditionalFormatting sqref="D102">
    <cfRule type="expression" dxfId="948" priority="528">
      <formula>E102&gt;B102</formula>
    </cfRule>
    <cfRule type="expression" dxfId="947" priority="531">
      <formula>V102&lt;&gt;0</formula>
    </cfRule>
  </conditionalFormatting>
  <conditionalFormatting sqref="C102">
    <cfRule type="expression" dxfId="946" priority="529">
      <formula>B102&gt;E102</formula>
    </cfRule>
    <cfRule type="expression" dxfId="945" priority="530">
      <formula>V102&lt;&gt;0</formula>
    </cfRule>
  </conditionalFormatting>
  <conditionalFormatting sqref="E102">
    <cfRule type="cellIs" dxfId="944" priority="527" operator="greaterThan">
      <formula>B102</formula>
    </cfRule>
  </conditionalFormatting>
  <conditionalFormatting sqref="B103">
    <cfRule type="cellIs" dxfId="943" priority="526" operator="greaterThan">
      <formula>E103</formula>
    </cfRule>
  </conditionalFormatting>
  <conditionalFormatting sqref="D103">
    <cfRule type="expression" dxfId="942" priority="522">
      <formula>E103&gt;B103</formula>
    </cfRule>
    <cfRule type="expression" dxfId="941" priority="525">
      <formula>V103&lt;&gt;0</formula>
    </cfRule>
  </conditionalFormatting>
  <conditionalFormatting sqref="C103">
    <cfRule type="expression" dxfId="940" priority="523">
      <formula>B103&gt;E103</formula>
    </cfRule>
    <cfRule type="expression" dxfId="939" priority="524">
      <formula>V103&lt;&gt;0</formula>
    </cfRule>
  </conditionalFormatting>
  <conditionalFormatting sqref="E103">
    <cfRule type="cellIs" dxfId="938" priority="521" operator="greaterThan">
      <formula>B103</formula>
    </cfRule>
  </conditionalFormatting>
  <conditionalFormatting sqref="B104">
    <cfRule type="cellIs" dxfId="937" priority="520" operator="greaterThan">
      <formula>E104</formula>
    </cfRule>
  </conditionalFormatting>
  <conditionalFormatting sqref="D104">
    <cfRule type="expression" dxfId="936" priority="516">
      <formula>E104&gt;B104</formula>
    </cfRule>
    <cfRule type="expression" dxfId="935" priority="519">
      <formula>V104&lt;&gt;0</formula>
    </cfRule>
  </conditionalFormatting>
  <conditionalFormatting sqref="C104">
    <cfRule type="expression" dxfId="934" priority="517">
      <formula>B104&gt;E104</formula>
    </cfRule>
    <cfRule type="expression" dxfId="933" priority="518">
      <formula>V104&lt;&gt;0</formula>
    </cfRule>
  </conditionalFormatting>
  <conditionalFormatting sqref="E104">
    <cfRule type="cellIs" dxfId="932" priority="515" operator="greaterThan">
      <formula>B104</formula>
    </cfRule>
  </conditionalFormatting>
  <conditionalFormatting sqref="B105">
    <cfRule type="cellIs" dxfId="931" priority="514" operator="greaterThan">
      <formula>E105</formula>
    </cfRule>
  </conditionalFormatting>
  <conditionalFormatting sqref="D105">
    <cfRule type="expression" dxfId="930" priority="510">
      <formula>E105&gt;B105</formula>
    </cfRule>
    <cfRule type="expression" dxfId="929" priority="513">
      <formula>V105&lt;&gt;0</formula>
    </cfRule>
  </conditionalFormatting>
  <conditionalFormatting sqref="C105">
    <cfRule type="expression" dxfId="928" priority="511">
      <formula>B105&gt;E105</formula>
    </cfRule>
    <cfRule type="expression" dxfId="927" priority="512">
      <formula>V105&lt;&gt;0</formula>
    </cfRule>
  </conditionalFormatting>
  <conditionalFormatting sqref="E105">
    <cfRule type="cellIs" dxfId="926" priority="509" operator="greaterThan">
      <formula>B105</formula>
    </cfRule>
  </conditionalFormatting>
  <conditionalFormatting sqref="B106">
    <cfRule type="cellIs" dxfId="925" priority="508" operator="greaterThan">
      <formula>E106</formula>
    </cfRule>
  </conditionalFormatting>
  <conditionalFormatting sqref="D106">
    <cfRule type="expression" dxfId="924" priority="504">
      <formula>E106&gt;B106</formula>
    </cfRule>
    <cfRule type="expression" dxfId="923" priority="507">
      <formula>V106&lt;&gt;0</formula>
    </cfRule>
  </conditionalFormatting>
  <conditionalFormatting sqref="C106">
    <cfRule type="expression" dxfId="922" priority="505">
      <formula>B106&gt;E106</formula>
    </cfRule>
    <cfRule type="expression" dxfId="921" priority="506">
      <formula>V106&lt;&gt;0</formula>
    </cfRule>
  </conditionalFormatting>
  <conditionalFormatting sqref="E106">
    <cfRule type="cellIs" dxfId="920" priority="503" operator="greaterThan">
      <formula>B106</formula>
    </cfRule>
  </conditionalFormatting>
  <conditionalFormatting sqref="B107">
    <cfRule type="cellIs" dxfId="919" priority="502" operator="greaterThan">
      <formula>E107</formula>
    </cfRule>
  </conditionalFormatting>
  <conditionalFormatting sqref="D107">
    <cfRule type="expression" dxfId="918" priority="498">
      <formula>E107&gt;B107</formula>
    </cfRule>
    <cfRule type="expression" dxfId="917" priority="501">
      <formula>V107&lt;&gt;0</formula>
    </cfRule>
  </conditionalFormatting>
  <conditionalFormatting sqref="C107">
    <cfRule type="expression" dxfId="916" priority="499">
      <formula>B107&gt;E107</formula>
    </cfRule>
    <cfRule type="expression" dxfId="915" priority="500">
      <formula>V107&lt;&gt;0</formula>
    </cfRule>
  </conditionalFormatting>
  <conditionalFormatting sqref="E107">
    <cfRule type="cellIs" dxfId="914" priority="497" operator="greaterThan">
      <formula>B107</formula>
    </cfRule>
  </conditionalFormatting>
  <conditionalFormatting sqref="B108">
    <cfRule type="cellIs" dxfId="913" priority="496" operator="greaterThan">
      <formula>E108</formula>
    </cfRule>
  </conditionalFormatting>
  <conditionalFormatting sqref="D108">
    <cfRule type="expression" dxfId="912" priority="492">
      <formula>E108&gt;B108</formula>
    </cfRule>
    <cfRule type="expression" dxfId="911" priority="495">
      <formula>V108&lt;&gt;0</formula>
    </cfRule>
  </conditionalFormatting>
  <conditionalFormatting sqref="C108">
    <cfRule type="expression" dxfId="910" priority="493">
      <formula>B108&gt;E108</formula>
    </cfRule>
    <cfRule type="expression" dxfId="909" priority="494">
      <formula>V108&lt;&gt;0</formula>
    </cfRule>
  </conditionalFormatting>
  <conditionalFormatting sqref="E108">
    <cfRule type="cellIs" dxfId="908" priority="491" operator="greaterThan">
      <formula>B108</formula>
    </cfRule>
  </conditionalFormatting>
  <conditionalFormatting sqref="B109">
    <cfRule type="cellIs" dxfId="907" priority="490" operator="greaterThan">
      <formula>E109</formula>
    </cfRule>
  </conditionalFormatting>
  <conditionalFormatting sqref="D109">
    <cfRule type="expression" dxfId="906" priority="486">
      <formula>E109&gt;B109</formula>
    </cfRule>
    <cfRule type="expression" dxfId="905" priority="489">
      <formula>V109&lt;&gt;0</formula>
    </cfRule>
  </conditionalFormatting>
  <conditionalFormatting sqref="C109">
    <cfRule type="expression" dxfId="904" priority="487">
      <formula>B109&gt;E109</formula>
    </cfRule>
    <cfRule type="expression" dxfId="903" priority="488">
      <formula>V109&lt;&gt;0</formula>
    </cfRule>
  </conditionalFormatting>
  <conditionalFormatting sqref="E109">
    <cfRule type="cellIs" dxfId="902" priority="485" operator="greaterThan">
      <formula>B109</formula>
    </cfRule>
  </conditionalFormatting>
  <conditionalFormatting sqref="B110">
    <cfRule type="cellIs" dxfId="901" priority="484" operator="greaterThan">
      <formula>E110</formula>
    </cfRule>
  </conditionalFormatting>
  <conditionalFormatting sqref="D110">
    <cfRule type="expression" dxfId="900" priority="480">
      <formula>E110&gt;B110</formula>
    </cfRule>
    <cfRule type="expression" dxfId="899" priority="483">
      <formula>V110&lt;&gt;0</formula>
    </cfRule>
  </conditionalFormatting>
  <conditionalFormatting sqref="C110">
    <cfRule type="expression" dxfId="898" priority="481">
      <formula>B110&gt;E110</formula>
    </cfRule>
    <cfRule type="expression" dxfId="897" priority="482">
      <formula>V110&lt;&gt;0</formula>
    </cfRule>
  </conditionalFormatting>
  <conditionalFormatting sqref="E110">
    <cfRule type="cellIs" dxfId="896" priority="479" operator="greaterThan">
      <formula>B110</formula>
    </cfRule>
  </conditionalFormatting>
  <conditionalFormatting sqref="B111">
    <cfRule type="cellIs" dxfId="895" priority="478" operator="greaterThan">
      <formula>E111</formula>
    </cfRule>
  </conditionalFormatting>
  <conditionalFormatting sqref="D111">
    <cfRule type="expression" dxfId="894" priority="474">
      <formula>E111&gt;B111</formula>
    </cfRule>
    <cfRule type="expression" dxfId="893" priority="477">
      <formula>V111&lt;&gt;0</formula>
    </cfRule>
  </conditionalFormatting>
  <conditionalFormatting sqref="C111">
    <cfRule type="expression" dxfId="892" priority="475">
      <formula>B111&gt;E111</formula>
    </cfRule>
    <cfRule type="expression" dxfId="891" priority="476">
      <formula>V111&lt;&gt;0</formula>
    </cfRule>
  </conditionalFormatting>
  <conditionalFormatting sqref="E111">
    <cfRule type="cellIs" dxfId="890" priority="473" operator="greaterThan">
      <formula>B111</formula>
    </cfRule>
  </conditionalFormatting>
  <conditionalFormatting sqref="B112">
    <cfRule type="cellIs" dxfId="889" priority="472" operator="greaterThan">
      <formula>E112</formula>
    </cfRule>
  </conditionalFormatting>
  <conditionalFormatting sqref="D112">
    <cfRule type="expression" dxfId="888" priority="468">
      <formula>E112&gt;B112</formula>
    </cfRule>
    <cfRule type="expression" dxfId="887" priority="471">
      <formula>V112&lt;&gt;0</formula>
    </cfRule>
  </conditionalFormatting>
  <conditionalFormatting sqref="C112">
    <cfRule type="expression" dxfId="886" priority="469">
      <formula>B112&gt;E112</formula>
    </cfRule>
    <cfRule type="expression" dxfId="885" priority="470">
      <formula>V112&lt;&gt;0</formula>
    </cfRule>
  </conditionalFormatting>
  <conditionalFormatting sqref="E112">
    <cfRule type="cellIs" dxfId="884" priority="467" operator="greaterThan">
      <formula>B112</formula>
    </cfRule>
  </conditionalFormatting>
  <conditionalFormatting sqref="B113">
    <cfRule type="cellIs" dxfId="883" priority="466" operator="greaterThan">
      <formula>E113</formula>
    </cfRule>
  </conditionalFormatting>
  <conditionalFormatting sqref="D113">
    <cfRule type="expression" dxfId="882" priority="462">
      <formula>E113&gt;B113</formula>
    </cfRule>
    <cfRule type="expression" dxfId="881" priority="465">
      <formula>V113&lt;&gt;0</formula>
    </cfRule>
  </conditionalFormatting>
  <conditionalFormatting sqref="C113">
    <cfRule type="expression" dxfId="880" priority="463">
      <formula>B113&gt;E113</formula>
    </cfRule>
    <cfRule type="expression" dxfId="879" priority="464">
      <formula>V113&lt;&gt;0</formula>
    </cfRule>
  </conditionalFormatting>
  <conditionalFormatting sqref="E113">
    <cfRule type="cellIs" dxfId="878" priority="461" operator="greaterThan">
      <formula>B113</formula>
    </cfRule>
  </conditionalFormatting>
  <conditionalFormatting sqref="B114">
    <cfRule type="cellIs" dxfId="877" priority="460" operator="greaterThan">
      <formula>E114</formula>
    </cfRule>
  </conditionalFormatting>
  <conditionalFormatting sqref="D114">
    <cfRule type="expression" dxfId="876" priority="456">
      <formula>E114&gt;B114</formula>
    </cfRule>
    <cfRule type="expression" dxfId="875" priority="459">
      <formula>V114&lt;&gt;0</formula>
    </cfRule>
  </conditionalFormatting>
  <conditionalFormatting sqref="C114">
    <cfRule type="expression" dxfId="874" priority="457">
      <formula>B114&gt;E114</formula>
    </cfRule>
    <cfRule type="expression" dxfId="873" priority="458">
      <formula>V114&lt;&gt;0</formula>
    </cfRule>
  </conditionalFormatting>
  <conditionalFormatting sqref="E114">
    <cfRule type="cellIs" dxfId="872" priority="455" operator="greaterThan">
      <formula>B114</formula>
    </cfRule>
  </conditionalFormatting>
  <conditionalFormatting sqref="B115">
    <cfRule type="cellIs" dxfId="871" priority="454" operator="greaterThan">
      <formula>E115</formula>
    </cfRule>
  </conditionalFormatting>
  <conditionalFormatting sqref="D115">
    <cfRule type="expression" dxfId="870" priority="450">
      <formula>E115&gt;B115</formula>
    </cfRule>
    <cfRule type="expression" dxfId="869" priority="453">
      <formula>V115&lt;&gt;0</formula>
    </cfRule>
  </conditionalFormatting>
  <conditionalFormatting sqref="C115">
    <cfRule type="expression" dxfId="868" priority="451">
      <formula>B115&gt;E115</formula>
    </cfRule>
    <cfRule type="expression" dxfId="867" priority="452">
      <formula>V115&lt;&gt;0</formula>
    </cfRule>
  </conditionalFormatting>
  <conditionalFormatting sqref="E115">
    <cfRule type="cellIs" dxfId="866" priority="449" operator="greaterThan">
      <formula>B115</formula>
    </cfRule>
  </conditionalFormatting>
  <conditionalFormatting sqref="B116">
    <cfRule type="cellIs" dxfId="865" priority="448" operator="greaterThan">
      <formula>E116</formula>
    </cfRule>
  </conditionalFormatting>
  <conditionalFormatting sqref="D116">
    <cfRule type="expression" dxfId="864" priority="444">
      <formula>E116&gt;B116</formula>
    </cfRule>
    <cfRule type="expression" dxfId="863" priority="447">
      <formula>V116&lt;&gt;0</formula>
    </cfRule>
  </conditionalFormatting>
  <conditionalFormatting sqref="C116">
    <cfRule type="expression" dxfId="862" priority="445">
      <formula>B116&gt;E116</formula>
    </cfRule>
    <cfRule type="expression" dxfId="861" priority="446">
      <formula>V116&lt;&gt;0</formula>
    </cfRule>
  </conditionalFormatting>
  <conditionalFormatting sqref="E116">
    <cfRule type="cellIs" dxfId="860" priority="443" operator="greaterThan">
      <formula>B116</formula>
    </cfRule>
  </conditionalFormatting>
  <conditionalFormatting sqref="B117">
    <cfRule type="cellIs" dxfId="859" priority="442" operator="greaterThan">
      <formula>E117</formula>
    </cfRule>
  </conditionalFormatting>
  <conditionalFormatting sqref="D117">
    <cfRule type="expression" dxfId="858" priority="438">
      <formula>E117&gt;B117</formula>
    </cfRule>
    <cfRule type="expression" dxfId="857" priority="441">
      <formula>V117&lt;&gt;0</formula>
    </cfRule>
  </conditionalFormatting>
  <conditionalFormatting sqref="C117">
    <cfRule type="expression" dxfId="856" priority="439">
      <formula>B117&gt;E117</formula>
    </cfRule>
    <cfRule type="expression" dxfId="855" priority="440">
      <formula>V117&lt;&gt;0</formula>
    </cfRule>
  </conditionalFormatting>
  <conditionalFormatting sqref="E117">
    <cfRule type="cellIs" dxfId="854" priority="437" operator="greaterThan">
      <formula>B117</formula>
    </cfRule>
  </conditionalFormatting>
  <conditionalFormatting sqref="B118">
    <cfRule type="cellIs" dxfId="853" priority="436" operator="greaterThan">
      <formula>E118</formula>
    </cfRule>
  </conditionalFormatting>
  <conditionalFormatting sqref="D118">
    <cfRule type="expression" dxfId="852" priority="432">
      <formula>E118&gt;B118</formula>
    </cfRule>
    <cfRule type="expression" dxfId="851" priority="435">
      <formula>V118&lt;&gt;0</formula>
    </cfRule>
  </conditionalFormatting>
  <conditionalFormatting sqref="C118">
    <cfRule type="expression" dxfId="850" priority="433">
      <formula>B118&gt;E118</formula>
    </cfRule>
    <cfRule type="expression" dxfId="849" priority="434">
      <formula>V118&lt;&gt;0</formula>
    </cfRule>
  </conditionalFormatting>
  <conditionalFormatting sqref="E118">
    <cfRule type="cellIs" dxfId="848" priority="431" operator="greaterThan">
      <formula>B118</formula>
    </cfRule>
  </conditionalFormatting>
  <conditionalFormatting sqref="B119">
    <cfRule type="cellIs" dxfId="847" priority="430" operator="greaterThan">
      <formula>E119</formula>
    </cfRule>
  </conditionalFormatting>
  <conditionalFormatting sqref="D119">
    <cfRule type="expression" dxfId="846" priority="426">
      <formula>E119&gt;B119</formula>
    </cfRule>
    <cfRule type="expression" dxfId="845" priority="429">
      <formula>V119&lt;&gt;0</formula>
    </cfRule>
  </conditionalFormatting>
  <conditionalFormatting sqref="C119">
    <cfRule type="expression" dxfId="844" priority="427">
      <formula>B119&gt;E119</formula>
    </cfRule>
    <cfRule type="expression" dxfId="843" priority="428">
      <formula>V119&lt;&gt;0</formula>
    </cfRule>
  </conditionalFormatting>
  <conditionalFormatting sqref="E119">
    <cfRule type="cellIs" dxfId="842" priority="425" operator="greaterThan">
      <formula>B119</formula>
    </cfRule>
  </conditionalFormatting>
  <conditionalFormatting sqref="B120">
    <cfRule type="cellIs" dxfId="841" priority="424" operator="greaterThan">
      <formula>E120</formula>
    </cfRule>
  </conditionalFormatting>
  <conditionalFormatting sqref="D120">
    <cfRule type="expression" dxfId="840" priority="420">
      <formula>E120&gt;B120</formula>
    </cfRule>
    <cfRule type="expression" dxfId="839" priority="423">
      <formula>V120&lt;&gt;0</formula>
    </cfRule>
  </conditionalFormatting>
  <conditionalFormatting sqref="C120">
    <cfRule type="expression" dxfId="838" priority="421">
      <formula>B120&gt;E120</formula>
    </cfRule>
    <cfRule type="expression" dxfId="837" priority="422">
      <formula>V120&lt;&gt;0</formula>
    </cfRule>
  </conditionalFormatting>
  <conditionalFormatting sqref="E120">
    <cfRule type="cellIs" dxfId="836" priority="419" operator="greaterThan">
      <formula>B120</formula>
    </cfRule>
  </conditionalFormatting>
  <conditionalFormatting sqref="B121">
    <cfRule type="cellIs" dxfId="835" priority="418" operator="greaterThan">
      <formula>E121</formula>
    </cfRule>
  </conditionalFormatting>
  <conditionalFormatting sqref="D121">
    <cfRule type="expression" dxfId="834" priority="414">
      <formula>E121&gt;B121</formula>
    </cfRule>
    <cfRule type="expression" dxfId="833" priority="417">
      <formula>V121&lt;&gt;0</formula>
    </cfRule>
  </conditionalFormatting>
  <conditionalFormatting sqref="C121">
    <cfRule type="expression" dxfId="832" priority="415">
      <formula>B121&gt;E121</formula>
    </cfRule>
    <cfRule type="expression" dxfId="831" priority="416">
      <formula>V121&lt;&gt;0</formula>
    </cfRule>
  </conditionalFormatting>
  <conditionalFormatting sqref="E121">
    <cfRule type="cellIs" dxfId="830" priority="413" operator="greaterThan">
      <formula>B121</formula>
    </cfRule>
  </conditionalFormatting>
  <conditionalFormatting sqref="B122">
    <cfRule type="cellIs" dxfId="829" priority="412" operator="greaterThan">
      <formula>E122</formula>
    </cfRule>
  </conditionalFormatting>
  <conditionalFormatting sqref="D122">
    <cfRule type="expression" dxfId="828" priority="408">
      <formula>E122&gt;B122</formula>
    </cfRule>
    <cfRule type="expression" dxfId="827" priority="411">
      <formula>V122&lt;&gt;0</formula>
    </cfRule>
  </conditionalFormatting>
  <conditionalFormatting sqref="C122">
    <cfRule type="expression" dxfId="826" priority="409">
      <formula>B122&gt;E122</formula>
    </cfRule>
    <cfRule type="expression" dxfId="825" priority="410">
      <formula>V122&lt;&gt;0</formula>
    </cfRule>
  </conditionalFormatting>
  <conditionalFormatting sqref="E122">
    <cfRule type="cellIs" dxfId="824" priority="407" operator="greaterThan">
      <formula>B122</formula>
    </cfRule>
  </conditionalFormatting>
  <conditionalFormatting sqref="B123">
    <cfRule type="cellIs" dxfId="823" priority="406" operator="greaterThan">
      <formula>E123</formula>
    </cfRule>
  </conditionalFormatting>
  <conditionalFormatting sqref="D123">
    <cfRule type="expression" dxfId="822" priority="402">
      <formula>E123&gt;B123</formula>
    </cfRule>
    <cfRule type="expression" dxfId="821" priority="405">
      <formula>V123&lt;&gt;0</formula>
    </cfRule>
  </conditionalFormatting>
  <conditionalFormatting sqref="C123">
    <cfRule type="expression" dxfId="820" priority="403">
      <formula>B123&gt;E123</formula>
    </cfRule>
    <cfRule type="expression" dxfId="819" priority="404">
      <formula>V123&lt;&gt;0</formula>
    </cfRule>
  </conditionalFormatting>
  <conditionalFormatting sqref="E123">
    <cfRule type="cellIs" dxfId="818" priority="401" operator="greaterThan">
      <formula>B123</formula>
    </cfRule>
  </conditionalFormatting>
  <conditionalFormatting sqref="B124">
    <cfRule type="cellIs" dxfId="817" priority="400" operator="greaterThan">
      <formula>E124</formula>
    </cfRule>
  </conditionalFormatting>
  <conditionalFormatting sqref="D124">
    <cfRule type="expression" dxfId="816" priority="396">
      <formula>E124&gt;B124</formula>
    </cfRule>
    <cfRule type="expression" dxfId="815" priority="399">
      <formula>V124&lt;&gt;0</formula>
    </cfRule>
  </conditionalFormatting>
  <conditionalFormatting sqref="C124">
    <cfRule type="expression" dxfId="814" priority="397">
      <formula>B124&gt;E124</formula>
    </cfRule>
    <cfRule type="expression" dxfId="813" priority="398">
      <formula>V124&lt;&gt;0</formula>
    </cfRule>
  </conditionalFormatting>
  <conditionalFormatting sqref="E124">
    <cfRule type="cellIs" dxfId="812" priority="395" operator="greaterThan">
      <formula>B124</formula>
    </cfRule>
  </conditionalFormatting>
  <conditionalFormatting sqref="B125">
    <cfRule type="cellIs" dxfId="811" priority="394" operator="greaterThan">
      <formula>E125</formula>
    </cfRule>
  </conditionalFormatting>
  <conditionalFormatting sqref="D125">
    <cfRule type="expression" dxfId="810" priority="390">
      <formula>E125&gt;B125</formula>
    </cfRule>
    <cfRule type="expression" dxfId="809" priority="393">
      <formula>V125&lt;&gt;0</formula>
    </cfRule>
  </conditionalFormatting>
  <conditionalFormatting sqref="C125">
    <cfRule type="expression" dxfId="808" priority="391">
      <formula>B125&gt;E125</formula>
    </cfRule>
    <cfRule type="expression" dxfId="807" priority="392">
      <formula>V125&lt;&gt;0</formula>
    </cfRule>
  </conditionalFormatting>
  <conditionalFormatting sqref="E125">
    <cfRule type="cellIs" dxfId="806" priority="389" operator="greaterThan">
      <formula>B125</formula>
    </cfRule>
  </conditionalFormatting>
  <conditionalFormatting sqref="B126">
    <cfRule type="cellIs" dxfId="805" priority="388" operator="greaterThan">
      <formula>E126</formula>
    </cfRule>
  </conditionalFormatting>
  <conditionalFormatting sqref="D126">
    <cfRule type="expression" dxfId="804" priority="384">
      <formula>E126&gt;B126</formula>
    </cfRule>
    <cfRule type="expression" dxfId="803" priority="387">
      <formula>V126&lt;&gt;0</formula>
    </cfRule>
  </conditionalFormatting>
  <conditionalFormatting sqref="C126">
    <cfRule type="expression" dxfId="802" priority="385">
      <formula>B126&gt;E126</formula>
    </cfRule>
    <cfRule type="expression" dxfId="801" priority="386">
      <formula>V126&lt;&gt;0</formula>
    </cfRule>
  </conditionalFormatting>
  <conditionalFormatting sqref="E126">
    <cfRule type="cellIs" dxfId="800" priority="383" operator="greaterThan">
      <formula>B126</formula>
    </cfRule>
  </conditionalFormatting>
  <conditionalFormatting sqref="B127">
    <cfRule type="cellIs" dxfId="799" priority="382" operator="greaterThan">
      <formula>E127</formula>
    </cfRule>
  </conditionalFormatting>
  <conditionalFormatting sqref="D127">
    <cfRule type="expression" dxfId="798" priority="378">
      <formula>E127&gt;B127</formula>
    </cfRule>
    <cfRule type="expression" dxfId="797" priority="381">
      <formula>V127&lt;&gt;0</formula>
    </cfRule>
  </conditionalFormatting>
  <conditionalFormatting sqref="C127">
    <cfRule type="expression" dxfId="796" priority="379">
      <formula>B127&gt;E127</formula>
    </cfRule>
    <cfRule type="expression" dxfId="795" priority="380">
      <formula>V127&lt;&gt;0</formula>
    </cfRule>
  </conditionalFormatting>
  <conditionalFormatting sqref="E127">
    <cfRule type="cellIs" dxfId="794" priority="377" operator="greaterThan">
      <formula>B127</formula>
    </cfRule>
  </conditionalFormatting>
  <conditionalFormatting sqref="B128">
    <cfRule type="cellIs" dxfId="793" priority="376" operator="greaterThan">
      <formula>E128</formula>
    </cfRule>
  </conditionalFormatting>
  <conditionalFormatting sqref="D128">
    <cfRule type="expression" dxfId="792" priority="372">
      <formula>E128&gt;B128</formula>
    </cfRule>
    <cfRule type="expression" dxfId="791" priority="375">
      <formula>V128&lt;&gt;0</formula>
    </cfRule>
  </conditionalFormatting>
  <conditionalFormatting sqref="C128">
    <cfRule type="expression" dxfId="790" priority="373">
      <formula>B128&gt;E128</formula>
    </cfRule>
    <cfRule type="expression" dxfId="789" priority="374">
      <formula>V128&lt;&gt;0</formula>
    </cfRule>
  </conditionalFormatting>
  <conditionalFormatting sqref="E128">
    <cfRule type="cellIs" dxfId="788" priority="371" operator="greaterThan">
      <formula>B128</formula>
    </cfRule>
  </conditionalFormatting>
  <conditionalFormatting sqref="B129">
    <cfRule type="cellIs" dxfId="787" priority="370" operator="greaterThan">
      <formula>E129</formula>
    </cfRule>
  </conditionalFormatting>
  <conditionalFormatting sqref="D129">
    <cfRule type="expression" dxfId="786" priority="366">
      <formula>E129&gt;B129</formula>
    </cfRule>
    <cfRule type="expression" dxfId="785" priority="369">
      <formula>V129&lt;&gt;0</formula>
    </cfRule>
  </conditionalFormatting>
  <conditionalFormatting sqref="C129">
    <cfRule type="expression" dxfId="784" priority="367">
      <formula>B129&gt;E129</formula>
    </cfRule>
    <cfRule type="expression" dxfId="783" priority="368">
      <formula>V129&lt;&gt;0</formula>
    </cfRule>
  </conditionalFormatting>
  <conditionalFormatting sqref="E129">
    <cfRule type="cellIs" dxfId="782" priority="365" operator="greaterThan">
      <formula>B129</formula>
    </cfRule>
  </conditionalFormatting>
  <conditionalFormatting sqref="B130">
    <cfRule type="cellIs" dxfId="781" priority="364" operator="greaterThan">
      <formula>E130</formula>
    </cfRule>
  </conditionalFormatting>
  <conditionalFormatting sqref="D130">
    <cfRule type="expression" dxfId="780" priority="360">
      <formula>E130&gt;B130</formula>
    </cfRule>
    <cfRule type="expression" dxfId="779" priority="363">
      <formula>V130&lt;&gt;0</formula>
    </cfRule>
  </conditionalFormatting>
  <conditionalFormatting sqref="C130">
    <cfRule type="expression" dxfId="778" priority="361">
      <formula>B130&gt;E130</formula>
    </cfRule>
    <cfRule type="expression" dxfId="777" priority="362">
      <formula>V130&lt;&gt;0</formula>
    </cfRule>
  </conditionalFormatting>
  <conditionalFormatting sqref="E130">
    <cfRule type="cellIs" dxfId="776" priority="359" operator="greaterThan">
      <formula>B130</formula>
    </cfRule>
  </conditionalFormatting>
  <conditionalFormatting sqref="B131">
    <cfRule type="cellIs" dxfId="775" priority="358" operator="greaterThan">
      <formula>E131</formula>
    </cfRule>
  </conditionalFormatting>
  <conditionalFormatting sqref="D131">
    <cfRule type="expression" dxfId="774" priority="354">
      <formula>E131&gt;B131</formula>
    </cfRule>
    <cfRule type="expression" dxfId="773" priority="357">
      <formula>V131&lt;&gt;0</formula>
    </cfRule>
  </conditionalFormatting>
  <conditionalFormatting sqref="C131">
    <cfRule type="expression" dxfId="772" priority="355">
      <formula>B131&gt;E131</formula>
    </cfRule>
    <cfRule type="expression" dxfId="771" priority="356">
      <formula>V131&lt;&gt;0</formula>
    </cfRule>
  </conditionalFormatting>
  <conditionalFormatting sqref="E131">
    <cfRule type="cellIs" dxfId="770" priority="353" operator="greaterThan">
      <formula>B131</formula>
    </cfRule>
  </conditionalFormatting>
  <conditionalFormatting sqref="B132">
    <cfRule type="cellIs" dxfId="769" priority="352" operator="greaterThan">
      <formula>E132</formula>
    </cfRule>
  </conditionalFormatting>
  <conditionalFormatting sqref="D132">
    <cfRule type="expression" dxfId="768" priority="348">
      <formula>E132&gt;B132</formula>
    </cfRule>
    <cfRule type="expression" dxfId="767" priority="351">
      <formula>V132&lt;&gt;0</formula>
    </cfRule>
  </conditionalFormatting>
  <conditionalFormatting sqref="C132">
    <cfRule type="expression" dxfId="766" priority="349">
      <formula>B132&gt;E132</formula>
    </cfRule>
    <cfRule type="expression" dxfId="765" priority="350">
      <formula>V132&lt;&gt;0</formula>
    </cfRule>
  </conditionalFormatting>
  <conditionalFormatting sqref="E132">
    <cfRule type="cellIs" dxfId="764" priority="347" operator="greaterThan">
      <formula>B132</formula>
    </cfRule>
  </conditionalFormatting>
  <conditionalFormatting sqref="B133">
    <cfRule type="cellIs" dxfId="763" priority="346" operator="greaterThan">
      <formula>E133</formula>
    </cfRule>
  </conditionalFormatting>
  <conditionalFormatting sqref="D133">
    <cfRule type="expression" dxfId="762" priority="342">
      <formula>E133&gt;B133</formula>
    </cfRule>
    <cfRule type="expression" dxfId="761" priority="345">
      <formula>V133&lt;&gt;0</formula>
    </cfRule>
  </conditionalFormatting>
  <conditionalFormatting sqref="C133">
    <cfRule type="expression" dxfId="760" priority="343">
      <formula>B133&gt;E133</formula>
    </cfRule>
    <cfRule type="expression" dxfId="759" priority="344">
      <formula>V133&lt;&gt;0</formula>
    </cfRule>
  </conditionalFormatting>
  <conditionalFormatting sqref="E133">
    <cfRule type="cellIs" dxfId="758" priority="341" operator="greaterThan">
      <formula>B133</formula>
    </cfRule>
  </conditionalFormatting>
  <conditionalFormatting sqref="B134">
    <cfRule type="cellIs" dxfId="757" priority="340" operator="greaterThan">
      <formula>E134</formula>
    </cfRule>
  </conditionalFormatting>
  <conditionalFormatting sqref="D134">
    <cfRule type="expression" dxfId="756" priority="336">
      <formula>E134&gt;B134</formula>
    </cfRule>
    <cfRule type="expression" dxfId="755" priority="339">
      <formula>V134&lt;&gt;0</formula>
    </cfRule>
  </conditionalFormatting>
  <conditionalFormatting sqref="C134">
    <cfRule type="expression" dxfId="754" priority="337">
      <formula>B134&gt;E134</formula>
    </cfRule>
    <cfRule type="expression" dxfId="753" priority="338">
      <formula>V134&lt;&gt;0</formula>
    </cfRule>
  </conditionalFormatting>
  <conditionalFormatting sqref="E134">
    <cfRule type="cellIs" dxfId="752" priority="335" operator="greaterThan">
      <formula>B134</formula>
    </cfRule>
  </conditionalFormatting>
  <conditionalFormatting sqref="B135">
    <cfRule type="cellIs" dxfId="751" priority="334" operator="greaterThan">
      <formula>E135</formula>
    </cfRule>
  </conditionalFormatting>
  <conditionalFormatting sqref="D135">
    <cfRule type="expression" dxfId="750" priority="330">
      <formula>E135&gt;B135</formula>
    </cfRule>
    <cfRule type="expression" dxfId="749" priority="333">
      <formula>V135&lt;&gt;0</formula>
    </cfRule>
  </conditionalFormatting>
  <conditionalFormatting sqref="C135">
    <cfRule type="expression" dxfId="748" priority="331">
      <formula>B135&gt;E135</formula>
    </cfRule>
    <cfRule type="expression" dxfId="747" priority="332">
      <formula>V135&lt;&gt;0</formula>
    </cfRule>
  </conditionalFormatting>
  <conditionalFormatting sqref="E135">
    <cfRule type="cellIs" dxfId="746" priority="329" operator="greaterThan">
      <formula>B135</formula>
    </cfRule>
  </conditionalFormatting>
  <conditionalFormatting sqref="B136">
    <cfRule type="cellIs" dxfId="745" priority="328" operator="greaterThan">
      <formula>E136</formula>
    </cfRule>
  </conditionalFormatting>
  <conditionalFormatting sqref="D136">
    <cfRule type="expression" dxfId="744" priority="324">
      <formula>E136&gt;B136</formula>
    </cfRule>
    <cfRule type="expression" dxfId="743" priority="327">
      <formula>V136&lt;&gt;0</formula>
    </cfRule>
  </conditionalFormatting>
  <conditionalFormatting sqref="C136">
    <cfRule type="expression" dxfId="742" priority="325">
      <formula>B136&gt;E136</formula>
    </cfRule>
    <cfRule type="expression" dxfId="741" priority="326">
      <formula>V136&lt;&gt;0</formula>
    </cfRule>
  </conditionalFormatting>
  <conditionalFormatting sqref="E136">
    <cfRule type="cellIs" dxfId="740" priority="323" operator="greaterThan">
      <formula>B136</formula>
    </cfRule>
  </conditionalFormatting>
  <conditionalFormatting sqref="B137">
    <cfRule type="cellIs" dxfId="739" priority="322" operator="greaterThan">
      <formula>E137</formula>
    </cfRule>
  </conditionalFormatting>
  <conditionalFormatting sqref="D137">
    <cfRule type="expression" dxfId="738" priority="318">
      <formula>E137&gt;B137</formula>
    </cfRule>
    <cfRule type="expression" dxfId="737" priority="321">
      <formula>V137&lt;&gt;0</formula>
    </cfRule>
  </conditionalFormatting>
  <conditionalFormatting sqref="C137">
    <cfRule type="expression" dxfId="736" priority="319">
      <formula>B137&gt;E137</formula>
    </cfRule>
    <cfRule type="expression" dxfId="735" priority="320">
      <formula>V137&lt;&gt;0</formula>
    </cfRule>
  </conditionalFormatting>
  <conditionalFormatting sqref="E137">
    <cfRule type="cellIs" dxfId="734" priority="317" operator="greaterThan">
      <formula>B137</formula>
    </cfRule>
  </conditionalFormatting>
  <conditionalFormatting sqref="B138">
    <cfRule type="cellIs" dxfId="733" priority="316" operator="greaterThan">
      <formula>E138</formula>
    </cfRule>
  </conditionalFormatting>
  <conditionalFormatting sqref="D138">
    <cfRule type="expression" dxfId="732" priority="312">
      <formula>E138&gt;B138</formula>
    </cfRule>
    <cfRule type="expression" dxfId="731" priority="315">
      <formula>V138&lt;&gt;0</formula>
    </cfRule>
  </conditionalFormatting>
  <conditionalFormatting sqref="C138">
    <cfRule type="expression" dxfId="730" priority="313">
      <formula>B138&gt;E138</formula>
    </cfRule>
    <cfRule type="expression" dxfId="729" priority="314">
      <formula>V138&lt;&gt;0</formula>
    </cfRule>
  </conditionalFormatting>
  <conditionalFormatting sqref="E138">
    <cfRule type="cellIs" dxfId="728" priority="311" operator="greaterThan">
      <formula>B138</formula>
    </cfRule>
  </conditionalFormatting>
  <conditionalFormatting sqref="B139">
    <cfRule type="cellIs" dxfId="727" priority="310" operator="greaterThan">
      <formula>E139</formula>
    </cfRule>
  </conditionalFormatting>
  <conditionalFormatting sqref="D139">
    <cfRule type="expression" dxfId="726" priority="306">
      <formula>E139&gt;B139</formula>
    </cfRule>
    <cfRule type="expression" dxfId="725" priority="309">
      <formula>V139&lt;&gt;0</formula>
    </cfRule>
  </conditionalFormatting>
  <conditionalFormatting sqref="C139">
    <cfRule type="expression" dxfId="724" priority="307">
      <formula>B139&gt;E139</formula>
    </cfRule>
    <cfRule type="expression" dxfId="723" priority="308">
      <formula>V139&lt;&gt;0</formula>
    </cfRule>
  </conditionalFormatting>
  <conditionalFormatting sqref="E139">
    <cfRule type="cellIs" dxfId="722" priority="305" operator="greaterThan">
      <formula>B139</formula>
    </cfRule>
  </conditionalFormatting>
  <conditionalFormatting sqref="B140">
    <cfRule type="cellIs" dxfId="721" priority="304" operator="greaterThan">
      <formula>E140</formula>
    </cfRule>
  </conditionalFormatting>
  <conditionalFormatting sqref="D140">
    <cfRule type="expression" dxfId="720" priority="300">
      <formula>E140&gt;B140</formula>
    </cfRule>
    <cfRule type="expression" dxfId="719" priority="303">
      <formula>V140&lt;&gt;0</formula>
    </cfRule>
  </conditionalFormatting>
  <conditionalFormatting sqref="C140">
    <cfRule type="expression" dxfId="718" priority="301">
      <formula>B140&gt;E140</formula>
    </cfRule>
    <cfRule type="expression" dxfId="717" priority="302">
      <formula>V140&lt;&gt;0</formula>
    </cfRule>
  </conditionalFormatting>
  <conditionalFormatting sqref="E140">
    <cfRule type="cellIs" dxfId="716" priority="299" operator="greaterThan">
      <formula>B140</formula>
    </cfRule>
  </conditionalFormatting>
  <conditionalFormatting sqref="B141">
    <cfRule type="cellIs" dxfId="715" priority="298" operator="greaterThan">
      <formula>E141</formula>
    </cfRule>
  </conditionalFormatting>
  <conditionalFormatting sqref="D141">
    <cfRule type="expression" dxfId="714" priority="294">
      <formula>E141&gt;B141</formula>
    </cfRule>
    <cfRule type="expression" dxfId="713" priority="297">
      <formula>V141&lt;&gt;0</formula>
    </cfRule>
  </conditionalFormatting>
  <conditionalFormatting sqref="C141">
    <cfRule type="expression" dxfId="712" priority="295">
      <formula>B141&gt;E141</formula>
    </cfRule>
    <cfRule type="expression" dxfId="711" priority="296">
      <formula>V141&lt;&gt;0</formula>
    </cfRule>
  </conditionalFormatting>
  <conditionalFormatting sqref="E141">
    <cfRule type="cellIs" dxfId="710" priority="293" operator="greaterThan">
      <formula>B141</formula>
    </cfRule>
  </conditionalFormatting>
  <conditionalFormatting sqref="B142">
    <cfRule type="cellIs" dxfId="709" priority="292" operator="greaterThan">
      <formula>E142</formula>
    </cfRule>
  </conditionalFormatting>
  <conditionalFormatting sqref="D142">
    <cfRule type="expression" dxfId="708" priority="288">
      <formula>E142&gt;B142</formula>
    </cfRule>
    <cfRule type="expression" dxfId="707" priority="291">
      <formula>V142&lt;&gt;0</formula>
    </cfRule>
  </conditionalFormatting>
  <conditionalFormatting sqref="C142">
    <cfRule type="expression" dxfId="706" priority="289">
      <formula>B142&gt;E142</formula>
    </cfRule>
    <cfRule type="expression" dxfId="705" priority="290">
      <formula>V142&lt;&gt;0</formula>
    </cfRule>
  </conditionalFormatting>
  <conditionalFormatting sqref="E142">
    <cfRule type="cellIs" dxfId="704" priority="287" operator="greaterThan">
      <formula>B142</formula>
    </cfRule>
  </conditionalFormatting>
  <conditionalFormatting sqref="B143">
    <cfRule type="cellIs" dxfId="703" priority="286" operator="greaterThan">
      <formula>E143</formula>
    </cfRule>
  </conditionalFormatting>
  <conditionalFormatting sqref="D143">
    <cfRule type="expression" dxfId="702" priority="282">
      <formula>E143&gt;B143</formula>
    </cfRule>
    <cfRule type="expression" dxfId="701" priority="285">
      <formula>V143&lt;&gt;0</formula>
    </cfRule>
  </conditionalFormatting>
  <conditionalFormatting sqref="C143">
    <cfRule type="expression" dxfId="700" priority="283">
      <formula>B143&gt;E143</formula>
    </cfRule>
    <cfRule type="expression" dxfId="699" priority="284">
      <formula>V143&lt;&gt;0</formula>
    </cfRule>
  </conditionalFormatting>
  <conditionalFormatting sqref="E143">
    <cfRule type="cellIs" dxfId="698" priority="281" operator="greaterThan">
      <formula>B143</formula>
    </cfRule>
  </conditionalFormatting>
  <conditionalFormatting sqref="B144">
    <cfRule type="cellIs" dxfId="697" priority="280" operator="greaterThan">
      <formula>E144</formula>
    </cfRule>
  </conditionalFormatting>
  <conditionalFormatting sqref="D144">
    <cfRule type="expression" dxfId="696" priority="276">
      <formula>E144&gt;B144</formula>
    </cfRule>
    <cfRule type="expression" dxfId="695" priority="279">
      <formula>V144&lt;&gt;0</formula>
    </cfRule>
  </conditionalFormatting>
  <conditionalFormatting sqref="C144">
    <cfRule type="expression" dxfId="694" priority="277">
      <formula>B144&gt;E144</formula>
    </cfRule>
    <cfRule type="expression" dxfId="693" priority="278">
      <formula>V144&lt;&gt;0</formula>
    </cfRule>
  </conditionalFormatting>
  <conditionalFormatting sqref="E144">
    <cfRule type="cellIs" dxfId="692" priority="275" operator="greaterThan">
      <formula>B144</formula>
    </cfRule>
  </conditionalFormatting>
  <conditionalFormatting sqref="B145">
    <cfRule type="cellIs" dxfId="691" priority="274" operator="greaterThan">
      <formula>E145</formula>
    </cfRule>
  </conditionalFormatting>
  <conditionalFormatting sqref="D145">
    <cfRule type="expression" dxfId="690" priority="270">
      <formula>E145&gt;B145</formula>
    </cfRule>
    <cfRule type="expression" dxfId="689" priority="273">
      <formula>V145&lt;&gt;0</formula>
    </cfRule>
  </conditionalFormatting>
  <conditionalFormatting sqref="C145">
    <cfRule type="expression" dxfId="688" priority="271">
      <formula>B145&gt;E145</formula>
    </cfRule>
    <cfRule type="expression" dxfId="687" priority="272">
      <formula>V145&lt;&gt;0</formula>
    </cfRule>
  </conditionalFormatting>
  <conditionalFormatting sqref="E145">
    <cfRule type="cellIs" dxfId="686" priority="269" operator="greaterThan">
      <formula>B145</formula>
    </cfRule>
  </conditionalFormatting>
  <conditionalFormatting sqref="B146">
    <cfRule type="cellIs" dxfId="685" priority="268" operator="greaterThan">
      <formula>E146</formula>
    </cfRule>
  </conditionalFormatting>
  <conditionalFormatting sqref="D146">
    <cfRule type="expression" dxfId="684" priority="264">
      <formula>E146&gt;B146</formula>
    </cfRule>
    <cfRule type="expression" dxfId="683" priority="267">
      <formula>V146&lt;&gt;0</formula>
    </cfRule>
  </conditionalFormatting>
  <conditionalFormatting sqref="C146">
    <cfRule type="expression" dxfId="682" priority="265">
      <formula>B146&gt;E146</formula>
    </cfRule>
    <cfRule type="expression" dxfId="681" priority="266">
      <formula>V146&lt;&gt;0</formula>
    </cfRule>
  </conditionalFormatting>
  <conditionalFormatting sqref="E146">
    <cfRule type="cellIs" dxfId="680" priority="263" operator="greaterThan">
      <formula>B146</formula>
    </cfRule>
  </conditionalFormatting>
  <conditionalFormatting sqref="B147">
    <cfRule type="cellIs" dxfId="679" priority="262" operator="greaterThan">
      <formula>E147</formula>
    </cfRule>
  </conditionalFormatting>
  <conditionalFormatting sqref="D147">
    <cfRule type="expression" dxfId="678" priority="258">
      <formula>E147&gt;B147</formula>
    </cfRule>
    <cfRule type="expression" dxfId="677" priority="261">
      <formula>V147&lt;&gt;0</formula>
    </cfRule>
  </conditionalFormatting>
  <conditionalFormatting sqref="C147">
    <cfRule type="expression" dxfId="676" priority="259">
      <formula>B147&gt;E147</formula>
    </cfRule>
    <cfRule type="expression" dxfId="675" priority="260">
      <formula>V147&lt;&gt;0</formula>
    </cfRule>
  </conditionalFormatting>
  <conditionalFormatting sqref="E147">
    <cfRule type="cellIs" dxfId="674" priority="257" operator="greaterThan">
      <formula>B147</formula>
    </cfRule>
  </conditionalFormatting>
  <conditionalFormatting sqref="B148">
    <cfRule type="cellIs" dxfId="673" priority="256" operator="greaterThan">
      <formula>E148</formula>
    </cfRule>
  </conditionalFormatting>
  <conditionalFormatting sqref="D148">
    <cfRule type="expression" dxfId="672" priority="252">
      <formula>E148&gt;B148</formula>
    </cfRule>
    <cfRule type="expression" dxfId="671" priority="255">
      <formula>V148&lt;&gt;0</formula>
    </cfRule>
  </conditionalFormatting>
  <conditionalFormatting sqref="C148">
    <cfRule type="expression" dxfId="670" priority="253">
      <formula>B148&gt;E148</formula>
    </cfRule>
    <cfRule type="expression" dxfId="669" priority="254">
      <formula>V148&lt;&gt;0</formula>
    </cfRule>
  </conditionalFormatting>
  <conditionalFormatting sqref="E148">
    <cfRule type="cellIs" dxfId="668" priority="251" operator="greaterThan">
      <formula>B148</formula>
    </cfRule>
  </conditionalFormatting>
  <conditionalFormatting sqref="B149">
    <cfRule type="cellIs" dxfId="667" priority="250" operator="greaterThan">
      <formula>E149</formula>
    </cfRule>
  </conditionalFormatting>
  <conditionalFormatting sqref="D149">
    <cfRule type="expression" dxfId="666" priority="246">
      <formula>E149&gt;B149</formula>
    </cfRule>
    <cfRule type="expression" dxfId="665" priority="249">
      <formula>V149&lt;&gt;0</formula>
    </cfRule>
  </conditionalFormatting>
  <conditionalFormatting sqref="C149">
    <cfRule type="expression" dxfId="664" priority="247">
      <formula>B149&gt;E149</formula>
    </cfRule>
    <cfRule type="expression" dxfId="663" priority="248">
      <formula>V149&lt;&gt;0</formula>
    </cfRule>
  </conditionalFormatting>
  <conditionalFormatting sqref="E149">
    <cfRule type="cellIs" dxfId="662" priority="245" operator="greaterThan">
      <formula>B149</formula>
    </cfRule>
  </conditionalFormatting>
  <conditionalFormatting sqref="B150">
    <cfRule type="cellIs" dxfId="661" priority="244" operator="greaterThan">
      <formula>E150</formula>
    </cfRule>
  </conditionalFormatting>
  <conditionalFormatting sqref="D150">
    <cfRule type="expression" dxfId="660" priority="240">
      <formula>E150&gt;B150</formula>
    </cfRule>
    <cfRule type="expression" dxfId="659" priority="243">
      <formula>V150&lt;&gt;0</formula>
    </cfRule>
  </conditionalFormatting>
  <conditionalFormatting sqref="C150">
    <cfRule type="expression" dxfId="658" priority="241">
      <formula>B150&gt;E150</formula>
    </cfRule>
    <cfRule type="expression" dxfId="657" priority="242">
      <formula>V150&lt;&gt;0</formula>
    </cfRule>
  </conditionalFormatting>
  <conditionalFormatting sqref="E150">
    <cfRule type="cellIs" dxfId="656" priority="239" operator="greaterThan">
      <formula>B150</formula>
    </cfRule>
  </conditionalFormatting>
  <conditionalFormatting sqref="B151">
    <cfRule type="cellIs" dxfId="655" priority="238" operator="greaterThan">
      <formula>E151</formula>
    </cfRule>
  </conditionalFormatting>
  <conditionalFormatting sqref="D151">
    <cfRule type="expression" dxfId="654" priority="234">
      <formula>E151&gt;B151</formula>
    </cfRule>
    <cfRule type="expression" dxfId="653" priority="237">
      <formula>V151&lt;&gt;0</formula>
    </cfRule>
  </conditionalFormatting>
  <conditionalFormatting sqref="C151">
    <cfRule type="expression" dxfId="652" priority="235">
      <formula>B151&gt;E151</formula>
    </cfRule>
    <cfRule type="expression" dxfId="651" priority="236">
      <formula>V151&lt;&gt;0</formula>
    </cfRule>
  </conditionalFormatting>
  <conditionalFormatting sqref="E151">
    <cfRule type="cellIs" dxfId="650" priority="233" operator="greaterThan">
      <formula>B151</formula>
    </cfRule>
  </conditionalFormatting>
  <conditionalFormatting sqref="B152">
    <cfRule type="cellIs" dxfId="649" priority="232" operator="greaterThan">
      <formula>E152</formula>
    </cfRule>
  </conditionalFormatting>
  <conditionalFormatting sqref="D152">
    <cfRule type="expression" dxfId="648" priority="228">
      <formula>E152&gt;B152</formula>
    </cfRule>
    <cfRule type="expression" dxfId="647" priority="231">
      <formula>V152&lt;&gt;0</formula>
    </cfRule>
  </conditionalFormatting>
  <conditionalFormatting sqref="C152">
    <cfRule type="expression" dxfId="646" priority="229">
      <formula>B152&gt;E152</formula>
    </cfRule>
    <cfRule type="expression" dxfId="645" priority="230">
      <formula>V152&lt;&gt;0</formula>
    </cfRule>
  </conditionalFormatting>
  <conditionalFormatting sqref="E152">
    <cfRule type="cellIs" dxfId="644" priority="227" operator="greaterThan">
      <formula>B152</formula>
    </cfRule>
  </conditionalFormatting>
  <conditionalFormatting sqref="B153">
    <cfRule type="cellIs" dxfId="643" priority="226" operator="greaterThan">
      <formula>E153</formula>
    </cfRule>
  </conditionalFormatting>
  <conditionalFormatting sqref="D153">
    <cfRule type="expression" dxfId="642" priority="222">
      <formula>E153&gt;B153</formula>
    </cfRule>
    <cfRule type="expression" dxfId="641" priority="225">
      <formula>V153&lt;&gt;0</formula>
    </cfRule>
  </conditionalFormatting>
  <conditionalFormatting sqref="C153">
    <cfRule type="expression" dxfId="640" priority="223">
      <formula>B153&gt;E153</formula>
    </cfRule>
    <cfRule type="expression" dxfId="639" priority="224">
      <formula>V153&lt;&gt;0</formula>
    </cfRule>
  </conditionalFormatting>
  <conditionalFormatting sqref="E153">
    <cfRule type="cellIs" dxfId="638" priority="221" operator="greaterThan">
      <formula>B153</formula>
    </cfRule>
  </conditionalFormatting>
  <conditionalFormatting sqref="B154">
    <cfRule type="cellIs" dxfId="637" priority="220" operator="greaterThan">
      <formula>E154</formula>
    </cfRule>
  </conditionalFormatting>
  <conditionalFormatting sqref="D154">
    <cfRule type="expression" dxfId="636" priority="216">
      <formula>E154&gt;B154</formula>
    </cfRule>
    <cfRule type="expression" dxfId="635" priority="219">
      <formula>V154&lt;&gt;0</formula>
    </cfRule>
  </conditionalFormatting>
  <conditionalFormatting sqref="C154">
    <cfRule type="expression" dxfId="634" priority="217">
      <formula>B154&gt;E154</formula>
    </cfRule>
    <cfRule type="expression" dxfId="633" priority="218">
      <formula>V154&lt;&gt;0</formula>
    </cfRule>
  </conditionalFormatting>
  <conditionalFormatting sqref="E154">
    <cfRule type="cellIs" dxfId="632" priority="215" operator="greaterThan">
      <formula>B154</formula>
    </cfRule>
  </conditionalFormatting>
  <conditionalFormatting sqref="B155">
    <cfRule type="cellIs" dxfId="631" priority="214" operator="greaterThan">
      <formula>E155</formula>
    </cfRule>
  </conditionalFormatting>
  <conditionalFormatting sqref="D155">
    <cfRule type="expression" dxfId="630" priority="210">
      <formula>E155&gt;B155</formula>
    </cfRule>
    <cfRule type="expression" dxfId="629" priority="213">
      <formula>V155&lt;&gt;0</formula>
    </cfRule>
  </conditionalFormatting>
  <conditionalFormatting sqref="C155">
    <cfRule type="expression" dxfId="628" priority="211">
      <formula>B155&gt;E155</formula>
    </cfRule>
    <cfRule type="expression" dxfId="627" priority="212">
      <formula>V155&lt;&gt;0</formula>
    </cfRule>
  </conditionalFormatting>
  <conditionalFormatting sqref="E155">
    <cfRule type="cellIs" dxfId="626" priority="209" operator="greaterThan">
      <formula>B155</formula>
    </cfRule>
  </conditionalFormatting>
  <conditionalFormatting sqref="B156">
    <cfRule type="cellIs" dxfId="625" priority="208" operator="greaterThan">
      <formula>E156</formula>
    </cfRule>
  </conditionalFormatting>
  <conditionalFormatting sqref="D156">
    <cfRule type="expression" dxfId="624" priority="204">
      <formula>E156&gt;B156</formula>
    </cfRule>
    <cfRule type="expression" dxfId="623" priority="207">
      <formula>V156&lt;&gt;0</formula>
    </cfRule>
  </conditionalFormatting>
  <conditionalFormatting sqref="C156">
    <cfRule type="expression" dxfId="622" priority="205">
      <formula>B156&gt;E156</formula>
    </cfRule>
    <cfRule type="expression" dxfId="621" priority="206">
      <formula>V156&lt;&gt;0</formula>
    </cfRule>
  </conditionalFormatting>
  <conditionalFormatting sqref="E156">
    <cfRule type="cellIs" dxfId="620" priority="203" operator="greaterThan">
      <formula>B156</formula>
    </cfRule>
  </conditionalFormatting>
  <conditionalFormatting sqref="B157">
    <cfRule type="cellIs" dxfId="619" priority="202" operator="greaterThan">
      <formula>E157</formula>
    </cfRule>
  </conditionalFormatting>
  <conditionalFormatting sqref="D157">
    <cfRule type="expression" dxfId="618" priority="198">
      <formula>E157&gt;B157</formula>
    </cfRule>
    <cfRule type="expression" dxfId="617" priority="201">
      <formula>V157&lt;&gt;0</formula>
    </cfRule>
  </conditionalFormatting>
  <conditionalFormatting sqref="C157">
    <cfRule type="expression" dxfId="616" priority="199">
      <formula>B157&gt;E157</formula>
    </cfRule>
    <cfRule type="expression" dxfId="615" priority="200">
      <formula>V157&lt;&gt;0</formula>
    </cfRule>
  </conditionalFormatting>
  <conditionalFormatting sqref="E157">
    <cfRule type="cellIs" dxfId="614" priority="197" operator="greaterThan">
      <formula>B157</formula>
    </cfRule>
  </conditionalFormatting>
  <conditionalFormatting sqref="B158">
    <cfRule type="cellIs" dxfId="613" priority="196" operator="greaterThan">
      <formula>E158</formula>
    </cfRule>
  </conditionalFormatting>
  <conditionalFormatting sqref="D158">
    <cfRule type="expression" dxfId="612" priority="192">
      <formula>E158&gt;B158</formula>
    </cfRule>
    <cfRule type="expression" dxfId="611" priority="195">
      <formula>V158&lt;&gt;0</formula>
    </cfRule>
  </conditionalFormatting>
  <conditionalFormatting sqref="C158">
    <cfRule type="expression" dxfId="610" priority="193">
      <formula>B158&gt;E158</formula>
    </cfRule>
    <cfRule type="expression" dxfId="609" priority="194">
      <formula>V158&lt;&gt;0</formula>
    </cfRule>
  </conditionalFormatting>
  <conditionalFormatting sqref="E158">
    <cfRule type="cellIs" dxfId="608" priority="191" operator="greaterThan">
      <formula>B158</formula>
    </cfRule>
  </conditionalFormatting>
  <conditionalFormatting sqref="B159">
    <cfRule type="cellIs" dxfId="607" priority="190" operator="greaterThan">
      <formula>E159</formula>
    </cfRule>
  </conditionalFormatting>
  <conditionalFormatting sqref="D159">
    <cfRule type="expression" dxfId="606" priority="186">
      <formula>E159&gt;B159</formula>
    </cfRule>
    <cfRule type="expression" dxfId="605" priority="189">
      <formula>V159&lt;&gt;0</formula>
    </cfRule>
  </conditionalFormatting>
  <conditionalFormatting sqref="C159">
    <cfRule type="expression" dxfId="604" priority="187">
      <formula>B159&gt;E159</formula>
    </cfRule>
    <cfRule type="expression" dxfId="603" priority="188">
      <formula>V159&lt;&gt;0</formula>
    </cfRule>
  </conditionalFormatting>
  <conditionalFormatting sqref="E159">
    <cfRule type="cellIs" dxfId="602" priority="185" operator="greaterThan">
      <formula>B159</formula>
    </cfRule>
  </conditionalFormatting>
  <conditionalFormatting sqref="B160">
    <cfRule type="cellIs" dxfId="601" priority="184" operator="greaterThan">
      <formula>E160</formula>
    </cfRule>
  </conditionalFormatting>
  <conditionalFormatting sqref="D160">
    <cfRule type="expression" dxfId="600" priority="180">
      <formula>E160&gt;B160</formula>
    </cfRule>
    <cfRule type="expression" dxfId="599" priority="183">
      <formula>V160&lt;&gt;0</formula>
    </cfRule>
  </conditionalFormatting>
  <conditionalFormatting sqref="C160">
    <cfRule type="expression" dxfId="598" priority="181">
      <formula>B160&gt;E160</formula>
    </cfRule>
    <cfRule type="expression" dxfId="597" priority="182">
      <formula>V160&lt;&gt;0</formula>
    </cfRule>
  </conditionalFormatting>
  <conditionalFormatting sqref="E160">
    <cfRule type="cellIs" dxfId="596" priority="179" operator="greaterThan">
      <formula>B160</formula>
    </cfRule>
  </conditionalFormatting>
  <conditionalFormatting sqref="B161">
    <cfRule type="cellIs" dxfId="595" priority="178" operator="greaterThan">
      <formula>E161</formula>
    </cfRule>
  </conditionalFormatting>
  <conditionalFormatting sqref="D161">
    <cfRule type="expression" dxfId="594" priority="174">
      <formula>E161&gt;B161</formula>
    </cfRule>
    <cfRule type="expression" dxfId="593" priority="177">
      <formula>V161&lt;&gt;0</formula>
    </cfRule>
  </conditionalFormatting>
  <conditionalFormatting sqref="C161">
    <cfRule type="expression" dxfId="592" priority="175">
      <formula>B161&gt;E161</formula>
    </cfRule>
    <cfRule type="expression" dxfId="591" priority="176">
      <formula>V161&lt;&gt;0</formula>
    </cfRule>
  </conditionalFormatting>
  <conditionalFormatting sqref="E161">
    <cfRule type="cellIs" dxfId="590" priority="173" operator="greaterThan">
      <formula>B161</formula>
    </cfRule>
  </conditionalFormatting>
  <conditionalFormatting sqref="B162">
    <cfRule type="cellIs" dxfId="589" priority="172" operator="greaterThan">
      <formula>E162</formula>
    </cfRule>
  </conditionalFormatting>
  <conditionalFormatting sqref="D162">
    <cfRule type="expression" dxfId="588" priority="168">
      <formula>E162&gt;B162</formula>
    </cfRule>
    <cfRule type="expression" dxfId="587" priority="171">
      <formula>V162&lt;&gt;0</formula>
    </cfRule>
  </conditionalFormatting>
  <conditionalFormatting sqref="C162">
    <cfRule type="expression" dxfId="586" priority="169">
      <formula>B162&gt;E162</formula>
    </cfRule>
    <cfRule type="expression" dxfId="585" priority="170">
      <formula>V162&lt;&gt;0</formula>
    </cfRule>
  </conditionalFormatting>
  <conditionalFormatting sqref="E162">
    <cfRule type="cellIs" dxfId="584" priority="167" operator="greaterThan">
      <formula>B162</formula>
    </cfRule>
  </conditionalFormatting>
  <conditionalFormatting sqref="B163">
    <cfRule type="cellIs" dxfId="583" priority="166" operator="greaterThan">
      <formula>E163</formula>
    </cfRule>
  </conditionalFormatting>
  <conditionalFormatting sqref="D163">
    <cfRule type="expression" dxfId="582" priority="162">
      <formula>E163&gt;B163</formula>
    </cfRule>
    <cfRule type="expression" dxfId="581" priority="165">
      <formula>V163&lt;&gt;0</formula>
    </cfRule>
  </conditionalFormatting>
  <conditionalFormatting sqref="C163">
    <cfRule type="expression" dxfId="580" priority="163">
      <formula>B163&gt;E163</formula>
    </cfRule>
    <cfRule type="expression" dxfId="579" priority="164">
      <formula>V163&lt;&gt;0</formula>
    </cfRule>
  </conditionalFormatting>
  <conditionalFormatting sqref="E163">
    <cfRule type="cellIs" dxfId="578" priority="161" operator="greaterThan">
      <formula>B163</formula>
    </cfRule>
  </conditionalFormatting>
  <conditionalFormatting sqref="B164">
    <cfRule type="cellIs" dxfId="577" priority="160" operator="greaterThan">
      <formula>E164</formula>
    </cfRule>
  </conditionalFormatting>
  <conditionalFormatting sqref="D164">
    <cfRule type="expression" dxfId="576" priority="156">
      <formula>E164&gt;B164</formula>
    </cfRule>
    <cfRule type="expression" dxfId="575" priority="159">
      <formula>V164&lt;&gt;0</formula>
    </cfRule>
  </conditionalFormatting>
  <conditionalFormatting sqref="C164">
    <cfRule type="expression" dxfId="574" priority="157">
      <formula>B164&gt;E164</formula>
    </cfRule>
    <cfRule type="expression" dxfId="573" priority="158">
      <formula>V164&lt;&gt;0</formula>
    </cfRule>
  </conditionalFormatting>
  <conditionalFormatting sqref="E164">
    <cfRule type="cellIs" dxfId="572" priority="155" operator="greaterThan">
      <formula>B164</formula>
    </cfRule>
  </conditionalFormatting>
  <conditionalFormatting sqref="B165">
    <cfRule type="cellIs" dxfId="571" priority="154" operator="greaterThan">
      <formula>E165</formula>
    </cfRule>
  </conditionalFormatting>
  <conditionalFormatting sqref="D165">
    <cfRule type="expression" dxfId="570" priority="150">
      <formula>E165&gt;B165</formula>
    </cfRule>
    <cfRule type="expression" dxfId="569" priority="153">
      <formula>V165&lt;&gt;0</formula>
    </cfRule>
  </conditionalFormatting>
  <conditionalFormatting sqref="C165">
    <cfRule type="expression" dxfId="568" priority="151">
      <formula>B165&gt;E165</formula>
    </cfRule>
    <cfRule type="expression" dxfId="567" priority="152">
      <formula>V165&lt;&gt;0</formula>
    </cfRule>
  </conditionalFormatting>
  <conditionalFormatting sqref="E165">
    <cfRule type="cellIs" dxfId="566" priority="149" operator="greaterThan">
      <formula>B165</formula>
    </cfRule>
  </conditionalFormatting>
  <conditionalFormatting sqref="Q42:T53">
    <cfRule type="cellIs" dxfId="565" priority="142" operator="equal">
      <formula>0</formula>
    </cfRule>
  </conditionalFormatting>
  <conditionalFormatting sqref="V42:V53">
    <cfRule type="cellIs" dxfId="564" priority="144" operator="lessThan">
      <formula>0</formula>
    </cfRule>
    <cfRule type="cellIs" dxfId="563" priority="145" operator="equal">
      <formula>0</formula>
    </cfRule>
  </conditionalFormatting>
  <conditionalFormatting sqref="Y42:Z53">
    <cfRule type="cellIs" dxfId="562" priority="146" operator="equal">
      <formula>0</formula>
    </cfRule>
  </conditionalFormatting>
  <conditionalFormatting sqref="A30">
    <cfRule type="expression" dxfId="561" priority="35">
      <formula>V30&lt;0</formula>
    </cfRule>
    <cfRule type="expression" dxfId="560" priority="127">
      <formula>V30&gt;0</formula>
    </cfRule>
  </conditionalFormatting>
  <conditionalFormatting sqref="B30">
    <cfRule type="cellIs" dxfId="559" priority="15407" operator="greaterThan">
      <formula>E30</formula>
    </cfRule>
  </conditionalFormatting>
  <conditionalFormatting sqref="G30">
    <cfRule type="cellIs" dxfId="558" priority="125" operator="lessThan">
      <formula>0</formula>
    </cfRule>
  </conditionalFormatting>
  <conditionalFormatting sqref="D30">
    <cfRule type="expression" dxfId="557" priority="123">
      <formula>E30&gt;B30</formula>
    </cfRule>
    <cfRule type="expression" dxfId="556" priority="124">
      <formula>V30&lt;&gt;0</formula>
    </cfRule>
  </conditionalFormatting>
  <conditionalFormatting sqref="C30">
    <cfRule type="expression" dxfId="555" priority="122">
      <formula>B30&gt;E30</formula>
    </cfRule>
    <cfRule type="expression" dxfId="554" priority="15408">
      <formula>V30&lt;&gt;0</formula>
    </cfRule>
  </conditionalFormatting>
  <conditionalFormatting sqref="E30">
    <cfRule type="cellIs" dxfId="553" priority="120" operator="greaterThan">
      <formula>B30</formula>
    </cfRule>
  </conditionalFormatting>
  <conditionalFormatting sqref="G31">
    <cfRule type="cellIs" dxfId="552" priority="116" operator="lessThan">
      <formula>0</formula>
    </cfRule>
  </conditionalFormatting>
  <conditionalFormatting sqref="D31">
    <cfRule type="expression" dxfId="551" priority="114">
      <formula>E31&gt;B31</formula>
    </cfRule>
    <cfRule type="expression" dxfId="550" priority="115">
      <formula>V31&lt;&gt;0</formula>
    </cfRule>
  </conditionalFormatting>
  <conditionalFormatting sqref="C31">
    <cfRule type="expression" dxfId="549" priority="113">
      <formula>B31&gt;E31</formula>
    </cfRule>
  </conditionalFormatting>
  <conditionalFormatting sqref="E31">
    <cfRule type="cellIs" dxfId="548" priority="112" operator="greaterThan">
      <formula>B31</formula>
    </cfRule>
  </conditionalFormatting>
  <conditionalFormatting sqref="B32">
    <cfRule type="cellIs" dxfId="547" priority="62" operator="greaterThan">
      <formula>E32</formula>
    </cfRule>
  </conditionalFormatting>
  <conditionalFormatting sqref="G32">
    <cfRule type="cellIs" dxfId="546" priority="60" operator="lessThan">
      <formula>0</formula>
    </cfRule>
  </conditionalFormatting>
  <conditionalFormatting sqref="D32">
    <cfRule type="expression" dxfId="545" priority="58">
      <formula>E32&gt;B32</formula>
    </cfRule>
    <cfRule type="expression" dxfId="544" priority="59">
      <formula>V32&lt;&gt;0</formula>
    </cfRule>
  </conditionalFormatting>
  <conditionalFormatting sqref="C32">
    <cfRule type="expression" dxfId="543" priority="57">
      <formula>B32&gt;E32</formula>
    </cfRule>
    <cfRule type="expression" dxfId="542" priority="63">
      <formula>V32&lt;&gt;0</formula>
    </cfRule>
  </conditionalFormatting>
  <conditionalFormatting sqref="E32">
    <cfRule type="cellIs" dxfId="541" priority="56" operator="greaterThan">
      <formula>B32</formula>
    </cfRule>
  </conditionalFormatting>
  <conditionalFormatting sqref="G33">
    <cfRule type="cellIs" dxfId="540" priority="54" operator="lessThan">
      <formula>0</formula>
    </cfRule>
  </conditionalFormatting>
  <conditionalFormatting sqref="D33">
    <cfRule type="expression" dxfId="539" priority="52">
      <formula>E33&gt;B33</formula>
    </cfRule>
    <cfRule type="expression" dxfId="538" priority="53">
      <formula>V33&lt;&gt;0</formula>
    </cfRule>
  </conditionalFormatting>
  <conditionalFormatting sqref="C33">
    <cfRule type="expression" dxfId="537" priority="51">
      <formula>B33&gt;E33</formula>
    </cfRule>
  </conditionalFormatting>
  <conditionalFormatting sqref="E33">
    <cfRule type="cellIs" dxfId="536" priority="50" operator="greaterThan">
      <formula>B33</formula>
    </cfRule>
  </conditionalFormatting>
  <conditionalFormatting sqref="B34 B36 B38 B40 B42 B44 B46 B48 B50 B52">
    <cfRule type="cellIs" dxfId="535" priority="48" operator="greaterThan">
      <formula>E34</formula>
    </cfRule>
  </conditionalFormatting>
  <conditionalFormatting sqref="G34 G36 G38 G40 G42 G44 G46 G48 G50 G52">
    <cfRule type="cellIs" dxfId="534" priority="46" operator="lessThan">
      <formula>0</formula>
    </cfRule>
  </conditionalFormatting>
  <conditionalFormatting sqref="D34 D36 D38 D40 D42 D44 D46 D48 D50 D52">
    <cfRule type="expression" dxfId="533" priority="44">
      <formula>E34&gt;B34</formula>
    </cfRule>
    <cfRule type="expression" dxfId="532" priority="45">
      <formula>V34&lt;&gt;0</formula>
    </cfRule>
  </conditionalFormatting>
  <conditionalFormatting sqref="C34 C36 C38 C40 C42 C44 C46 C48 C50 C52">
    <cfRule type="expression" dxfId="531" priority="43">
      <formula>B34&gt;E34</formula>
    </cfRule>
    <cfRule type="expression" dxfId="530" priority="49">
      <formula>V34&lt;&gt;0</formula>
    </cfRule>
  </conditionalFormatting>
  <conditionalFormatting sqref="E34 E36 E38 E40 E42 E44 E46 E48 E50 E52">
    <cfRule type="cellIs" dxfId="529" priority="42" operator="greaterThan">
      <formula>B34</formula>
    </cfRule>
  </conditionalFormatting>
  <conditionalFormatting sqref="G35 G37 G39 G41 G43 G45 G47 G49 G51 G53">
    <cfRule type="cellIs" dxfId="528" priority="40" operator="lessThan">
      <formula>0</formula>
    </cfRule>
  </conditionalFormatting>
  <conditionalFormatting sqref="D35 D37 D39 D41 D43 D45 D47 D49 D51 D53">
    <cfRule type="expression" dxfId="527" priority="38">
      <formula>E35&gt;B35</formula>
    </cfRule>
    <cfRule type="expression" dxfId="526" priority="39">
      <formula>V35&lt;&gt;0</formula>
    </cfRule>
  </conditionalFormatting>
  <conditionalFormatting sqref="C35 C37 C39 C41 C43 C45 C47 C49 C51 C53">
    <cfRule type="expression" dxfId="525" priority="37">
      <formula>B35&gt;E35</formula>
    </cfRule>
  </conditionalFormatting>
  <conditionalFormatting sqref="E35 E37 E39 E41 E43 E45 E47 E49 E51 E53">
    <cfRule type="cellIs" dxfId="524" priority="36" operator="greaterThan">
      <formula>B35</formula>
    </cfRule>
  </conditionalFormatting>
  <conditionalFormatting sqref="W30:X53">
    <cfRule type="cellIs" dxfId="517" priority="28" operator="equal">
      <formula>0</formula>
    </cfRule>
  </conditionalFormatting>
  <conditionalFormatting sqref="A31">
    <cfRule type="expression" dxfId="516" priority="25">
      <formula>V31&lt;0</formula>
    </cfRule>
    <cfRule type="expression" dxfId="515" priority="26">
      <formula>V31&gt;0</formula>
    </cfRule>
  </conditionalFormatting>
  <conditionalFormatting sqref="A32 A34 A36 A38 A40">
    <cfRule type="expression" dxfId="514" priority="23">
      <formula>V32&lt;0</formula>
    </cfRule>
    <cfRule type="expression" dxfId="513" priority="24">
      <formula>V32&gt;0</formula>
    </cfRule>
  </conditionalFormatting>
  <conditionalFormatting sqref="A33 A35 A37 A39 A41">
    <cfRule type="expression" dxfId="512" priority="21">
      <formula>V33&lt;0</formula>
    </cfRule>
    <cfRule type="expression" dxfId="511" priority="22">
      <formula>V33&gt;0</formula>
    </cfRule>
  </conditionalFormatting>
  <conditionalFormatting sqref="A42">
    <cfRule type="expression" dxfId="510" priority="19">
      <formula>V42&lt;0</formula>
    </cfRule>
    <cfRule type="expression" dxfId="509" priority="20">
      <formula>V42&gt;0</formula>
    </cfRule>
  </conditionalFormatting>
  <conditionalFormatting sqref="A43">
    <cfRule type="expression" dxfId="508" priority="17">
      <formula>V43&lt;0</formula>
    </cfRule>
    <cfRule type="expression" dxfId="507" priority="18">
      <formula>V43&gt;0</formula>
    </cfRule>
  </conditionalFormatting>
  <conditionalFormatting sqref="A44 A46 A48 A50 A52">
    <cfRule type="expression" dxfId="506" priority="15">
      <formula>V44&lt;0</formula>
    </cfRule>
    <cfRule type="expression" dxfId="505" priority="16">
      <formula>V44&gt;0</formula>
    </cfRule>
  </conditionalFormatting>
  <conditionalFormatting sqref="A45 A47 A49 A51 A53">
    <cfRule type="expression" dxfId="504" priority="13">
      <formula>V45&lt;0</formula>
    </cfRule>
    <cfRule type="expression" dxfId="503" priority="14">
      <formula>V45&gt;0</formula>
    </cfRule>
  </conditionalFormatting>
  <conditionalFormatting sqref="B54">
    <cfRule type="cellIs" dxfId="502" priority="12" operator="greaterThan">
      <formula>E54</formula>
    </cfRule>
  </conditionalFormatting>
  <conditionalFormatting sqref="D54">
    <cfRule type="expression" dxfId="501" priority="8">
      <formula>E54&gt;B54</formula>
    </cfRule>
    <cfRule type="expression" dxfId="500" priority="11">
      <formula>V54&lt;&gt;0</formula>
    </cfRule>
  </conditionalFormatting>
  <conditionalFormatting sqref="C54">
    <cfRule type="expression" dxfId="499" priority="9">
      <formula>B54&gt;E54</formula>
    </cfRule>
    <cfRule type="expression" dxfId="498" priority="10">
      <formula>V54&lt;&gt;0</formula>
    </cfRule>
  </conditionalFormatting>
  <conditionalFormatting sqref="E54">
    <cfRule type="cellIs" dxfId="497" priority="7" operator="greaterThan">
      <formula>B54</formula>
    </cfRule>
  </conditionalFormatting>
  <conditionalFormatting sqref="B55">
    <cfRule type="cellIs" dxfId="496" priority="6" operator="greaterThan">
      <formula>E55</formula>
    </cfRule>
  </conditionalFormatting>
  <conditionalFormatting sqref="D55">
    <cfRule type="expression" dxfId="495" priority="2">
      <formula>E55&gt;B55</formula>
    </cfRule>
    <cfRule type="expression" dxfId="494" priority="5">
      <formula>V55&lt;&gt;0</formula>
    </cfRule>
  </conditionalFormatting>
  <conditionalFormatting sqref="C55">
    <cfRule type="expression" dxfId="493" priority="3">
      <formula>B55&gt;E55</formula>
    </cfRule>
    <cfRule type="expression" dxfId="492" priority="4">
      <formula>V55&lt;&gt;0</formula>
    </cfRule>
  </conditionalFormatting>
  <conditionalFormatting sqref="E55">
    <cfRule type="cellIs" dxfId="491" priority="1" operator="greaterThan">
      <formula>B55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I1" zoomScale="80" zoomScaleNormal="80" workbookViewId="0">
      <selection activeCell="U15" sqref="U15:U2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10">
        <f>I76</f>
        <v>0</v>
      </c>
      <c r="M2" s="811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8" t="s">
        <v>340</v>
      </c>
      <c r="U2" s="298" t="s">
        <v>341</v>
      </c>
      <c r="V2" s="298" t="s">
        <v>355</v>
      </c>
      <c r="W2" s="298"/>
      <c r="X2" s="298" t="s">
        <v>356</v>
      </c>
      <c r="Y2" s="333" t="s">
        <v>357</v>
      </c>
      <c r="Z2" s="333" t="s">
        <v>358</v>
      </c>
      <c r="AA2" s="333" t="s">
        <v>359</v>
      </c>
      <c r="AB2" s="333" t="s">
        <v>360</v>
      </c>
      <c r="AC2" s="333" t="s">
        <v>361</v>
      </c>
      <c r="AD2" s="334" t="s">
        <v>362</v>
      </c>
      <c r="AE2" s="240" t="s">
        <v>363</v>
      </c>
      <c r="AF2" s="299" t="s">
        <v>340</v>
      </c>
      <c r="AG2" s="300" t="s">
        <v>341</v>
      </c>
      <c r="AH2" s="299" t="s">
        <v>364</v>
      </c>
      <c r="AI2" s="299"/>
      <c r="AJ2" s="299" t="s">
        <v>356</v>
      </c>
      <c r="AK2" s="333" t="s">
        <v>357</v>
      </c>
      <c r="AL2" s="333" t="s">
        <v>358</v>
      </c>
      <c r="AM2" s="333" t="s">
        <v>359</v>
      </c>
      <c r="AN2" s="333" t="s">
        <v>360</v>
      </c>
      <c r="AO2" s="333" t="s">
        <v>361</v>
      </c>
      <c r="AP2" s="33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4"/>
      <c r="C3" s="247"/>
      <c r="D3" s="248"/>
      <c r="E3" s="255">
        <f t="shared" ref="E3:E72" si="0">+B3*D3*-100</f>
        <v>0</v>
      </c>
      <c r="F3" s="256">
        <f t="shared" ref="F3:F66" si="1">IF(B3&gt;0,+B3*D3*(1+($Q$53+0.002)*1.21)*-100,B3*D3*(1-($Q$53+0.002)*1.21)*-100)</f>
        <v>0</v>
      </c>
      <c r="G3" s="251" t="str">
        <f>IFERROR(VLOOKUP(C3,$U$3:$AD$50,7,0),"")</f>
        <v/>
      </c>
      <c r="H3" s="257">
        <f>IFERROR(+G3*B3*-100,0)</f>
        <v>0</v>
      </c>
      <c r="I3" s="258">
        <f t="shared" ref="I3:I72" si="2">+IF(G3="",0,(F3-H3))</f>
        <v>0</v>
      </c>
      <c r="J3" s="69"/>
      <c r="K3" s="69"/>
      <c r="L3" s="69"/>
      <c r="M3" s="69"/>
      <c r="N3" s="107"/>
      <c r="O3" s="281">
        <f t="shared" ref="O3:O17" si="3">+O4*(1-$Q$42)</f>
        <v>1064.1799556769529</v>
      </c>
      <c r="P3" s="108">
        <f t="shared" ref="P3:P34" si="4">EW3</f>
        <v>0</v>
      </c>
      <c r="Q3" s="108">
        <f t="shared" ref="Q3:Q34" ca="1" si="5">GN3</f>
        <v>0</v>
      </c>
      <c r="R3" s="62"/>
      <c r="S3" s="245">
        <f t="shared" ref="S3:S9" si="6">IF(AA3&gt;0,ABS((U3+AA3)),"")</f>
        <v>2531.0100000000002</v>
      </c>
      <c r="T3" s="110">
        <f t="shared" ref="T3:T8" si="7">SUMIFS(B$3:B$37,C$3:C$37,U3)</f>
        <v>0</v>
      </c>
      <c r="U3" s="239">
        <v>2500</v>
      </c>
      <c r="V3" s="541">
        <f ca="1">IFERROR((NORMSDIST(((LN($O$18/$U3)+($Q$48+($Q$46^2)/2)*$Q$51)/($Q$46*SQRT($Q$51))))*$O$18-NORMSDIST((((LN($O$18/$U3)+($Q$48+($Q$46^2)/2)*$Q$51)/($Q$46*SQRT($Q$51)))-$Q$46*SQRT(($Q$51))))*$U3*EXP(-$Q$48*$Q$51)),0)</f>
        <v>69.317167204197403</v>
      </c>
      <c r="W3" s="542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42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40">
        <f>IFERROR(VLOOKUP($X3,HomeBroker!$A$22:$F$115,2,0),0)</f>
        <v>6</v>
      </c>
      <c r="Z3" s="540">
        <f>IFERROR(VLOOKUP($X3,HomeBroker!$A$22:$F$115,3,0),0)</f>
        <v>30.01</v>
      </c>
      <c r="AA3" s="242">
        <f>IFERROR(VLOOKUP($X3,HomeBroker!$A$22:$F$115,6,0),0)</f>
        <v>31.01</v>
      </c>
      <c r="AB3" s="540">
        <f>IFERROR(VLOOKUP($X3,HomeBroker!$A$22:$F$115,4,0),0)</f>
        <v>32</v>
      </c>
      <c r="AC3" s="540">
        <f>IFERROR(VLOOKUP($X3,HomeBroker!$A$22:$F$115,5,0),0)</f>
        <v>5</v>
      </c>
      <c r="AD3" s="543">
        <f>IFERROR(VLOOKUP($X3,HomeBroker!$A$22:$N$115,14,0),0)</f>
        <v>2847</v>
      </c>
      <c r="AE3" s="246">
        <f>IF(AM3&gt;0,ABS((AG3+AM3)),"")</f>
        <v>1400.04</v>
      </c>
      <c r="AF3" s="110">
        <f>SUMIFS(B$38:B$72,C$38:C$72,AG3)</f>
        <v>0</v>
      </c>
      <c r="AG3" s="239">
        <v>1400</v>
      </c>
      <c r="AH3" s="541">
        <f ca="1">IFERROR((NORMSDIST(-(((LN($O$18/$AG3)+($Q$48+($Q$47^2)/2)*$Q$51)/($Q$47*SQRT($Q$51)))-$Q$47*SQRT($Q$51)))*$AG3*EXP(-$Q$48*$Q$51)-NORMSDIST(-((LN($O$18/$AG3)+($Q$48+($Q$47^2)/2)*$Q$51)/($Q$47*SQRT($Q$51))))*$O$18),0)</f>
        <v>6.2323510997011888E-3</v>
      </c>
      <c r="AI3" s="542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42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544">
        <f>IFERROR(VLOOKUP($AJ3,HomeBroker!$A$22:$F$115,2,0),0)</f>
        <v>24</v>
      </c>
      <c r="AL3" s="540">
        <f>IFERROR(VLOOKUP($AJ3,HomeBroker!$A$22:$F$115,3,0),0)</f>
        <v>0.04</v>
      </c>
      <c r="AM3" s="242">
        <f>IFERROR(VLOOKUP($AJ3,HomeBroker!$A$22:$F$115,6,0),0)</f>
        <v>0.04</v>
      </c>
      <c r="AN3" s="540">
        <f>IFERROR(VLOOKUP($AJ3,HomeBroker!$A$22:$F$115,4,0),0)</f>
        <v>0.15</v>
      </c>
      <c r="AO3" s="544">
        <f>IFERROR(VLOOKUP($AJ3,HomeBroker!$A$22:$F$115,5,0),0)</f>
        <v>35</v>
      </c>
      <c r="AP3" s="544">
        <f>IFERROR(VLOOKUP($AJ3,HomeBroker!$A$22:$N$115,14,0),0)</f>
        <v>26</v>
      </c>
      <c r="AQ3" s="62"/>
      <c r="AR3" s="109">
        <f>IF(OR(U3="",AA3=0,AM3=0),"-",U3+AA3-AM3-$O$18)</f>
        <v>233.97000000000025</v>
      </c>
      <c r="AS3" s="109">
        <f>IF(AND($O$18&gt;U3,AA3&gt;0),AA3-AT3,IF(AND($O$18&lt;U3,AM3&gt;0),AM3-AT3,"-"))</f>
        <v>-202.96</v>
      </c>
      <c r="AT3" s="109">
        <f>IF(U3="","-",ABS(U3-$O$18))</f>
        <v>203</v>
      </c>
      <c r="AU3" s="62"/>
      <c r="AV3" s="116"/>
      <c r="AW3" s="117" t="s">
        <v>354</v>
      </c>
      <c r="AX3" s="118"/>
      <c r="AY3" s="106"/>
      <c r="AZ3" s="119"/>
      <c r="BA3" s="288">
        <f t="shared" ref="BA3:BA76" si="10">+AX3*AZ3*-100</f>
        <v>0</v>
      </c>
      <c r="BB3" s="289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3">
        <f t="shared" ref="BG3:BG76" si="12">+BD3*BF3*-100</f>
        <v>0</v>
      </c>
      <c r="BH3" s="294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6">
        <f t="shared" ref="BL3:BL76" si="14">-BK3*BJ3</f>
        <v>0</v>
      </c>
      <c r="BM3" s="297">
        <f t="shared" ref="BM3:BM76" si="15">IF(BJ3&gt;0,-BK3*(1+($Q$52+0.0008)*1.21)*BJ3,-BK3*(1-($Q$52+0.0008)*1.21)*BJ3)</f>
        <v>0</v>
      </c>
      <c r="DH3" s="123">
        <f t="shared" ref="DH3:DH34" si="16">O3</f>
        <v>1064.1799556769529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1064.1799556769529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4"/>
      <c r="C4" s="247"/>
      <c r="D4" s="248"/>
      <c r="E4" s="255">
        <f t="shared" si="0"/>
        <v>0</v>
      </c>
      <c r="F4" s="256">
        <f t="shared" si="1"/>
        <v>0</v>
      </c>
      <c r="G4" s="251" t="str">
        <f t="shared" ref="G4:G37" si="57">IFERROR(VLOOKUP(C4,$U$3:$AD$50,7,0),"")</f>
        <v/>
      </c>
      <c r="H4" s="257">
        <f t="shared" ref="H4:H67" si="58">IFERROR(+G4*B4*-100,0)</f>
        <v>0</v>
      </c>
      <c r="I4" s="258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2">
        <f t="shared" si="3"/>
        <v>1120.1894270283715</v>
      </c>
      <c r="P4" s="135">
        <f t="shared" si="4"/>
        <v>0</v>
      </c>
      <c r="Q4" s="135">
        <f t="shared" ca="1" si="5"/>
        <v>0</v>
      </c>
      <c r="R4" s="62"/>
      <c r="S4" s="245">
        <f t="shared" si="6"/>
        <v>2619</v>
      </c>
      <c r="T4" s="110">
        <f t="shared" si="7"/>
        <v>0</v>
      </c>
      <c r="U4" s="239">
        <v>2600</v>
      </c>
      <c r="V4" s="541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44.677518740744063</v>
      </c>
      <c r="W4" s="542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GFGC2600FE - 24hs</v>
      </c>
      <c r="X4" s="542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40">
        <f>IFERROR(VLOOKUP($X4,HomeBroker!$A$22:$F$115,2,0),0)</f>
        <v>26</v>
      </c>
      <c r="Z4" s="540">
        <f>IFERROR(VLOOKUP($X4,HomeBroker!$A$22:$F$115,3,0),0)</f>
        <v>17</v>
      </c>
      <c r="AA4" s="242">
        <f>IFERROR(VLOOKUP($X4,HomeBroker!$A$22:$F$115,6,0),0)</f>
        <v>19</v>
      </c>
      <c r="AB4" s="540">
        <f>IFERROR(VLOOKUP($X4,HomeBroker!$A$22:$F$115,4,0),0)</f>
        <v>19</v>
      </c>
      <c r="AC4" s="540">
        <f>IFERROR(VLOOKUP($X4,HomeBroker!$A$22:$F$115,5,0),0)</f>
        <v>97</v>
      </c>
      <c r="AD4" s="543">
        <f>IFERROR(VLOOKUP($X4,HomeBroker!$A$22:$N$115,14,0),0)</f>
        <v>1817</v>
      </c>
      <c r="AE4" s="246" t="str">
        <f t="shared" ref="AE4:AE42" si="62">IF(AM4&gt;0,ABS((AG4+AM4)),"")</f>
        <v/>
      </c>
      <c r="AF4" s="110">
        <f t="shared" ref="AF4:AF17" si="63">SUMIFS(B$38:B$72,C$38:C$72,AG4)</f>
        <v>0</v>
      </c>
      <c r="AG4" s="239">
        <v>1450</v>
      </c>
      <c r="AH4" s="541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1.7611850864555356E-2</v>
      </c>
      <c r="AI4" s="542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42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544">
        <f>IFERROR(VLOOKUP($AJ4,HomeBroker!$A$22:$F$115,2,0),0)</f>
        <v>50</v>
      </c>
      <c r="AL4" s="540">
        <f>IFERROR(VLOOKUP($AJ4,HomeBroker!$A$22:$F$115,3,0),0)</f>
        <v>0.02</v>
      </c>
      <c r="AM4" s="242">
        <f>IFERROR(VLOOKUP($AJ4,HomeBroker!$A$22:$F$115,6,0),0)</f>
        <v>0</v>
      </c>
      <c r="AN4" s="540">
        <f>IFERROR(VLOOKUP($AJ4,HomeBroker!$A$22:$F$115,4,0),0)</f>
        <v>0.16</v>
      </c>
      <c r="AO4" s="544">
        <f>IFERROR(VLOOKUP($AJ4,HomeBroker!$A$22:$F$115,5,0),0)</f>
        <v>35</v>
      </c>
      <c r="AP4" s="544">
        <f>IFERROR(VLOOKUP($AJ4,HomeBroker!$A$22:$N$115,14,0),0)</f>
        <v>0</v>
      </c>
      <c r="AQ4" s="62"/>
      <c r="AR4" s="109" t="str">
        <f t="shared" ref="AR4:AR42" si="67">IF(OR(U4="",AA4=0,AM4=0),"-",U4+AA4-AM4-$O$18)</f>
        <v>-</v>
      </c>
      <c r="AS4" s="109" t="str">
        <f t="shared" ref="AS4:AS42" si="68">IF(AND($O$18&gt;U4,AA4&gt;0),AA4-AT4,IF(AND($O$18&lt;U4,AM4&gt;0),AM4-AT4,"-"))</f>
        <v>-</v>
      </c>
      <c r="AT4" s="109">
        <f t="shared" ref="AT4:AT42" si="69">IF(U4="","-",ABS(U4-$O$18))</f>
        <v>303</v>
      </c>
      <c r="AU4" s="62"/>
      <c r="AV4" s="116"/>
      <c r="AW4" s="136" t="s">
        <v>354</v>
      </c>
      <c r="AX4" s="118"/>
      <c r="AY4" s="137"/>
      <c r="AZ4" s="119"/>
      <c r="BA4" s="290">
        <f t="shared" si="10"/>
        <v>0</v>
      </c>
      <c r="BB4" s="291">
        <f t="shared" si="11"/>
        <v>0</v>
      </c>
      <c r="BC4" s="120" t="s">
        <v>408</v>
      </c>
      <c r="BD4" s="118"/>
      <c r="BE4" s="106"/>
      <c r="BF4" s="121"/>
      <c r="BG4" s="293">
        <f t="shared" si="12"/>
        <v>0</v>
      </c>
      <c r="BH4" s="295">
        <f t="shared" si="13"/>
        <v>0</v>
      </c>
      <c r="BI4" s="122" t="s">
        <v>409</v>
      </c>
      <c r="BJ4" s="118"/>
      <c r="BK4" s="121"/>
      <c r="BL4" s="296">
        <f t="shared" si="14"/>
        <v>0</v>
      </c>
      <c r="BM4" s="297">
        <f t="shared" si="15"/>
        <v>0</v>
      </c>
      <c r="DH4" s="123">
        <f t="shared" si="16"/>
        <v>1120.1894270283715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1120.1894270283715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4"/>
      <c r="C5" s="247"/>
      <c r="D5" s="248"/>
      <c r="E5" s="255">
        <f t="shared" si="0"/>
        <v>0</v>
      </c>
      <c r="F5" s="256">
        <f t="shared" si="1"/>
        <v>0</v>
      </c>
      <c r="G5" s="251" t="str">
        <f t="shared" si="57"/>
        <v/>
      </c>
      <c r="H5" s="257">
        <f t="shared" si="58"/>
        <v>0</v>
      </c>
      <c r="I5" s="258">
        <f t="shared" si="2"/>
        <v>0</v>
      </c>
      <c r="J5" s="69"/>
      <c r="K5" s="69"/>
      <c r="L5" s="69"/>
      <c r="M5" s="69"/>
      <c r="N5" s="144"/>
      <c r="O5" s="282">
        <f t="shared" si="3"/>
        <v>1179.1467652930228</v>
      </c>
      <c r="P5" s="135">
        <f t="shared" si="4"/>
        <v>0</v>
      </c>
      <c r="Q5" s="135">
        <f t="shared" ca="1" si="5"/>
        <v>0</v>
      </c>
      <c r="R5" s="62"/>
      <c r="S5" s="245">
        <f t="shared" si="6"/>
        <v>2710</v>
      </c>
      <c r="T5" s="110">
        <f t="shared" si="7"/>
        <v>0</v>
      </c>
      <c r="U5" s="239">
        <v>2700</v>
      </c>
      <c r="V5" s="541">
        <f t="shared" ca="1" si="59"/>
        <v>27.807492660519301</v>
      </c>
      <c r="W5" s="542" t="str">
        <f t="shared" si="60"/>
        <v>MERV - XMEV - GFGC2700FE - 24hs</v>
      </c>
      <c r="X5" s="542" t="str">
        <f t="shared" si="61"/>
        <v>GFGC2700FE</v>
      </c>
      <c r="Y5" s="540">
        <f>IFERROR(VLOOKUP($X5,HomeBroker!$A$22:$F$115,2,0),0)</f>
        <v>7</v>
      </c>
      <c r="Z5" s="540">
        <f>IFERROR(VLOOKUP($X5,HomeBroker!$A$22:$F$115,3,0),0)</f>
        <v>8.65</v>
      </c>
      <c r="AA5" s="242">
        <f>IFERROR(VLOOKUP($X5,HomeBroker!$A$22:$F$115,6,0),0)</f>
        <v>10</v>
      </c>
      <c r="AB5" s="540">
        <f>IFERROR(VLOOKUP($X5,HomeBroker!$A$22:$F$115,4,0),0)</f>
        <v>10</v>
      </c>
      <c r="AC5" s="540">
        <f>IFERROR(VLOOKUP($X5,HomeBroker!$A$22:$F$115,5,0),0)</f>
        <v>77</v>
      </c>
      <c r="AD5" s="543">
        <f>IFERROR(VLOOKUP($X5,HomeBroker!$A$22:$N$115,14,0),0)</f>
        <v>1247</v>
      </c>
      <c r="AE5" s="246">
        <f t="shared" si="62"/>
        <v>1491.69</v>
      </c>
      <c r="AF5" s="110">
        <f t="shared" si="63"/>
        <v>0</v>
      </c>
      <c r="AG5" s="239">
        <v>1491.5</v>
      </c>
      <c r="AH5" s="541">
        <f t="shared" ca="1" si="64"/>
        <v>3.8956457381472243E-2</v>
      </c>
      <c r="AI5" s="542" t="str">
        <f t="shared" si="65"/>
        <v>MERV - XMEV - GFGV14915F - 24hs</v>
      </c>
      <c r="AJ5" s="542" t="str">
        <f t="shared" si="66"/>
        <v>GFGV14915F</v>
      </c>
      <c r="AK5" s="544">
        <f>IFERROR(VLOOKUP($AJ5,HomeBroker!$A$22:$F$115,2,0),0)</f>
        <v>10</v>
      </c>
      <c r="AL5" s="540">
        <f>IFERROR(VLOOKUP($AJ5,HomeBroker!$A$22:$F$115,3,0),0)</f>
        <v>0.111</v>
      </c>
      <c r="AM5" s="242">
        <f>IFERROR(VLOOKUP($AJ5,HomeBroker!$A$22:$F$115,6,0),0)</f>
        <v>0.19</v>
      </c>
      <c r="AN5" s="540">
        <f>IFERROR(VLOOKUP($AJ5,HomeBroker!$A$22:$F$115,4,0),0)</f>
        <v>0.19</v>
      </c>
      <c r="AO5" s="544">
        <f>IFERROR(VLOOKUP($AJ5,HomeBroker!$A$22:$F$115,5,0),0)</f>
        <v>36</v>
      </c>
      <c r="AP5" s="544">
        <f>IFERROR(VLOOKUP($AJ5,HomeBroker!$A$22:$N$115,14,0),0)</f>
        <v>28</v>
      </c>
      <c r="AQ5" s="62"/>
      <c r="AR5" s="109">
        <f t="shared" si="67"/>
        <v>412.80999999999995</v>
      </c>
      <c r="AS5" s="109">
        <f t="shared" si="68"/>
        <v>-402.81</v>
      </c>
      <c r="AT5" s="109">
        <f t="shared" si="69"/>
        <v>403</v>
      </c>
      <c r="AU5" s="62"/>
      <c r="AV5" s="116"/>
      <c r="AW5" s="136" t="s">
        <v>354</v>
      </c>
      <c r="AX5" s="118"/>
      <c r="AY5" s="140"/>
      <c r="AZ5" s="141"/>
      <c r="BA5" s="290">
        <f t="shared" si="10"/>
        <v>0</v>
      </c>
      <c r="BB5" s="291">
        <f t="shared" si="11"/>
        <v>0</v>
      </c>
      <c r="BC5" s="120" t="s">
        <v>408</v>
      </c>
      <c r="BD5" s="118"/>
      <c r="BE5" s="106"/>
      <c r="BF5" s="121"/>
      <c r="BG5" s="293">
        <f t="shared" si="12"/>
        <v>0</v>
      </c>
      <c r="BH5" s="295">
        <f t="shared" si="13"/>
        <v>0</v>
      </c>
      <c r="BI5" s="122" t="s">
        <v>409</v>
      </c>
      <c r="BJ5" s="118"/>
      <c r="BK5" s="121"/>
      <c r="BL5" s="296">
        <f t="shared" si="14"/>
        <v>0</v>
      </c>
      <c r="BM5" s="297">
        <f t="shared" si="15"/>
        <v>0</v>
      </c>
      <c r="DH5" s="123">
        <f t="shared" si="16"/>
        <v>1179.1467652930228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1179.1467652930228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4"/>
      <c r="C6" s="247"/>
      <c r="D6" s="248"/>
      <c r="E6" s="255">
        <f t="shared" si="0"/>
        <v>0</v>
      </c>
      <c r="F6" s="256">
        <f t="shared" si="1"/>
        <v>0</v>
      </c>
      <c r="G6" s="251" t="str">
        <f t="shared" si="57"/>
        <v/>
      </c>
      <c r="H6" s="257">
        <f t="shared" si="58"/>
        <v>0</v>
      </c>
      <c r="I6" s="258">
        <f t="shared" si="2"/>
        <v>0</v>
      </c>
      <c r="J6" s="69"/>
      <c r="K6" s="69"/>
      <c r="L6" s="69"/>
      <c r="M6" s="69"/>
      <c r="N6" s="144"/>
      <c r="O6" s="282">
        <f t="shared" si="3"/>
        <v>1241.2071213610766</v>
      </c>
      <c r="P6" s="142">
        <f t="shared" si="4"/>
        <v>0</v>
      </c>
      <c r="Q6" s="142">
        <f t="shared" ca="1" si="5"/>
        <v>0</v>
      </c>
      <c r="R6" s="62"/>
      <c r="S6" s="245">
        <f t="shared" si="6"/>
        <v>2806</v>
      </c>
      <c r="T6" s="110">
        <f t="shared" si="7"/>
        <v>0</v>
      </c>
      <c r="U6" s="239">
        <v>2800</v>
      </c>
      <c r="V6" s="541">
        <f t="shared" ca="1" si="59"/>
        <v>16.745157018471247</v>
      </c>
      <c r="W6" s="542" t="str">
        <f t="shared" si="60"/>
        <v>MERV - XMEV - GFGC2800FE - 24hs</v>
      </c>
      <c r="X6" s="542" t="str">
        <f t="shared" si="61"/>
        <v>GFGC2800FE</v>
      </c>
      <c r="Y6" s="540">
        <f>IFERROR(VLOOKUP($X6,HomeBroker!$A$22:$F$115,2,0),0)</f>
        <v>2</v>
      </c>
      <c r="Z6" s="540">
        <f>IFERROR(VLOOKUP($X6,HomeBroker!$A$22:$F$115,3,0),0)</f>
        <v>6</v>
      </c>
      <c r="AA6" s="242">
        <f>IFERROR(VLOOKUP($X6,HomeBroker!$A$22:$F$115,6,0),0)</f>
        <v>6</v>
      </c>
      <c r="AB6" s="540">
        <f>IFERROR(VLOOKUP($X6,HomeBroker!$A$22:$F$115,4,0),0)</f>
        <v>6.9</v>
      </c>
      <c r="AC6" s="540">
        <f>IFERROR(VLOOKUP($X6,HomeBroker!$A$22:$F$115,5,0),0)</f>
        <v>6</v>
      </c>
      <c r="AD6" s="543">
        <f>IFERROR(VLOOKUP($X6,HomeBroker!$A$22:$N$115,14,0),0)</f>
        <v>1029</v>
      </c>
      <c r="AE6" s="246">
        <f t="shared" si="62"/>
        <v>1570.15</v>
      </c>
      <c r="AF6" s="110">
        <f t="shared" si="63"/>
        <v>0</v>
      </c>
      <c r="AG6" s="239">
        <v>1570</v>
      </c>
      <c r="AH6" s="541">
        <f t="shared" ca="1" si="64"/>
        <v>0.15018699004653735</v>
      </c>
      <c r="AI6" s="542" t="str">
        <f t="shared" si="65"/>
        <v>MERV - XMEV - GFGV1570FE - 24hs</v>
      </c>
      <c r="AJ6" s="542" t="str">
        <f t="shared" si="66"/>
        <v>GFGV1570FE</v>
      </c>
      <c r="AK6" s="544">
        <f>IFERROR(VLOOKUP($AJ6,HomeBroker!$A$22:$F$115,2,0),0)</f>
        <v>29</v>
      </c>
      <c r="AL6" s="540">
        <f>IFERROR(VLOOKUP($AJ6,HomeBroker!$A$22:$F$115,3,0),0)</f>
        <v>0.15</v>
      </c>
      <c r="AM6" s="242">
        <f>IFERROR(VLOOKUP($AJ6,HomeBroker!$A$22:$F$115,6,0),0)</f>
        <v>0.15</v>
      </c>
      <c r="AN6" s="540">
        <f>IFERROR(VLOOKUP($AJ6,HomeBroker!$A$22:$F$115,4,0),0)</f>
        <v>0.19</v>
      </c>
      <c r="AO6" s="544">
        <f>IFERROR(VLOOKUP($AJ6,HomeBroker!$A$22:$F$115,5,0),0)</f>
        <v>45</v>
      </c>
      <c r="AP6" s="544">
        <f>IFERROR(VLOOKUP($AJ6,HomeBroker!$A$22:$N$115,14,0),0)</f>
        <v>10</v>
      </c>
      <c r="AQ6" s="62"/>
      <c r="AR6" s="109">
        <f t="shared" si="67"/>
        <v>508.84999999999991</v>
      </c>
      <c r="AS6" s="109">
        <f t="shared" si="68"/>
        <v>-502.85</v>
      </c>
      <c r="AT6" s="109">
        <f t="shared" si="69"/>
        <v>503</v>
      </c>
      <c r="AU6" s="62"/>
      <c r="AV6" s="116"/>
      <c r="AW6" s="136" t="s">
        <v>354</v>
      </c>
      <c r="AX6" s="118"/>
      <c r="AY6" s="140"/>
      <c r="AZ6" s="141"/>
      <c r="BA6" s="290">
        <f t="shared" si="10"/>
        <v>0</v>
      </c>
      <c r="BB6" s="291">
        <f t="shared" si="11"/>
        <v>0</v>
      </c>
      <c r="BC6" s="120" t="s">
        <v>408</v>
      </c>
      <c r="BD6" s="118"/>
      <c r="BE6" s="143"/>
      <c r="BF6" s="121"/>
      <c r="BG6" s="293">
        <f t="shared" si="12"/>
        <v>0</v>
      </c>
      <c r="BH6" s="295">
        <f t="shared" si="13"/>
        <v>0</v>
      </c>
      <c r="BI6" s="122" t="s">
        <v>409</v>
      </c>
      <c r="BJ6" s="118"/>
      <c r="BK6" s="121"/>
      <c r="BL6" s="296">
        <f t="shared" si="14"/>
        <v>0</v>
      </c>
      <c r="BM6" s="297">
        <f t="shared" si="15"/>
        <v>0</v>
      </c>
      <c r="DH6" s="123">
        <f t="shared" si="16"/>
        <v>1241.2071213610766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1241.2071213610766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4"/>
      <c r="C7" s="247"/>
      <c r="D7" s="248"/>
      <c r="E7" s="255">
        <f t="shared" si="0"/>
        <v>0</v>
      </c>
      <c r="F7" s="256">
        <f t="shared" si="1"/>
        <v>0</v>
      </c>
      <c r="G7" s="251" t="str">
        <f t="shared" si="57"/>
        <v/>
      </c>
      <c r="H7" s="257">
        <f t="shared" si="58"/>
        <v>0</v>
      </c>
      <c r="I7" s="258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>
        <f>IFERROR(-1+(O7/$O$18),"")</f>
        <v>-0.43119990772354022</v>
      </c>
      <c r="O7" s="282">
        <f t="shared" si="3"/>
        <v>1306.5338119590281</v>
      </c>
      <c r="P7" s="135">
        <f t="shared" si="4"/>
        <v>0</v>
      </c>
      <c r="Q7" s="135">
        <f t="shared" ca="1" si="5"/>
        <v>0</v>
      </c>
      <c r="R7" s="62"/>
      <c r="S7" s="245">
        <f t="shared" si="6"/>
        <v>2903.9989999999998</v>
      </c>
      <c r="T7" s="110">
        <f t="shared" si="7"/>
        <v>0</v>
      </c>
      <c r="U7" s="239">
        <v>2900</v>
      </c>
      <c r="V7" s="541">
        <f t="shared" ca="1" si="59"/>
        <v>9.7763388358188763</v>
      </c>
      <c r="W7" s="542" t="str">
        <f t="shared" si="60"/>
        <v>MERV - XMEV - GFGC2900FE - 24hs</v>
      </c>
      <c r="X7" s="542" t="str">
        <f t="shared" si="61"/>
        <v>GFGC2900FE</v>
      </c>
      <c r="Y7" s="540">
        <f>IFERROR(VLOOKUP($X7,HomeBroker!$A$22:$F$115,2,0),0)</f>
        <v>7</v>
      </c>
      <c r="Z7" s="540">
        <f>IFERROR(VLOOKUP($X7,HomeBroker!$A$22:$F$115,3,0),0)</f>
        <v>3.1</v>
      </c>
      <c r="AA7" s="242">
        <f>IFERROR(VLOOKUP($X7,HomeBroker!$A$22:$F$115,6,0),0)</f>
        <v>3.9990000000000001</v>
      </c>
      <c r="AB7" s="540">
        <f>IFERROR(VLOOKUP($X7,HomeBroker!$A$22:$F$115,4,0),0)</f>
        <v>3.9990000000000001</v>
      </c>
      <c r="AC7" s="540">
        <f>IFERROR(VLOOKUP($X7,HomeBroker!$A$22:$F$115,5,0),0)</f>
        <v>44</v>
      </c>
      <c r="AD7" s="543">
        <f>IFERROR(VLOOKUP($X7,HomeBroker!$A$22:$N$115,14,0),0)</f>
        <v>850</v>
      </c>
      <c r="AE7" s="246">
        <f t="shared" si="62"/>
        <v>1640.16</v>
      </c>
      <c r="AF7" s="110">
        <f t="shared" si="63"/>
        <v>0</v>
      </c>
      <c r="AG7" s="239">
        <v>1640</v>
      </c>
      <c r="AH7" s="541">
        <f t="shared" ca="1" si="64"/>
        <v>0.43090753481530264</v>
      </c>
      <c r="AI7" s="542" t="str">
        <f t="shared" si="65"/>
        <v>MERV - XMEV - GFGV1640FE - 24hs</v>
      </c>
      <c r="AJ7" s="542" t="str">
        <f t="shared" si="66"/>
        <v>GFGV1640FE</v>
      </c>
      <c r="AK7" s="544">
        <f>IFERROR(VLOOKUP($AJ7,HomeBroker!$A$22:$F$115,2,0),0)</f>
        <v>389</v>
      </c>
      <c r="AL7" s="540">
        <f>IFERROR(VLOOKUP($AJ7,HomeBroker!$A$22:$F$115,3,0),0)</f>
        <v>0.18</v>
      </c>
      <c r="AM7" s="242">
        <f>IFERROR(VLOOKUP($AJ7,HomeBroker!$A$22:$F$115,6,0),0)</f>
        <v>0.16</v>
      </c>
      <c r="AN7" s="540">
        <f>IFERROR(VLOOKUP($AJ7,HomeBroker!$A$22:$F$115,4,0),0)</f>
        <v>0.3</v>
      </c>
      <c r="AO7" s="544">
        <f>IFERROR(VLOOKUP($AJ7,HomeBroker!$A$22:$F$115,5,0),0)</f>
        <v>886</v>
      </c>
      <c r="AP7" s="544">
        <f>IFERROR(VLOOKUP($AJ7,HomeBroker!$A$22:$N$115,14,0),0)</f>
        <v>79</v>
      </c>
      <c r="AQ7" s="62"/>
      <c r="AR7" s="109">
        <f t="shared" si="67"/>
        <v>606.83899999999994</v>
      </c>
      <c r="AS7" s="109">
        <f t="shared" si="68"/>
        <v>-602.84</v>
      </c>
      <c r="AT7" s="109">
        <f t="shared" si="69"/>
        <v>603</v>
      </c>
      <c r="AU7" s="62"/>
      <c r="AV7" s="116"/>
      <c r="AW7" s="136" t="s">
        <v>354</v>
      </c>
      <c r="AX7" s="118"/>
      <c r="AY7" s="140"/>
      <c r="AZ7" s="141"/>
      <c r="BA7" s="290">
        <f t="shared" si="10"/>
        <v>0</v>
      </c>
      <c r="BB7" s="291">
        <f t="shared" si="11"/>
        <v>0</v>
      </c>
      <c r="BC7" s="120" t="s">
        <v>408</v>
      </c>
      <c r="BD7" s="118"/>
      <c r="BE7" s="143"/>
      <c r="BF7" s="121"/>
      <c r="BG7" s="293">
        <f t="shared" si="12"/>
        <v>0</v>
      </c>
      <c r="BH7" s="295">
        <f t="shared" si="13"/>
        <v>0</v>
      </c>
      <c r="BI7" s="122" t="s">
        <v>409</v>
      </c>
      <c r="BJ7" s="118"/>
      <c r="BK7" s="121"/>
      <c r="BL7" s="296">
        <f t="shared" si="14"/>
        <v>0</v>
      </c>
      <c r="BM7" s="297">
        <f t="shared" si="15"/>
        <v>0</v>
      </c>
      <c r="DH7" s="123">
        <f t="shared" si="16"/>
        <v>1306.5338119590281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1306.5338119590281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4"/>
      <c r="C8" s="247"/>
      <c r="D8" s="248"/>
      <c r="E8" s="255">
        <f t="shared" si="0"/>
        <v>0</v>
      </c>
      <c r="F8" s="256">
        <f t="shared" si="1"/>
        <v>0</v>
      </c>
      <c r="G8" s="251" t="str">
        <f t="shared" si="57"/>
        <v/>
      </c>
      <c r="H8" s="257">
        <f t="shared" si="58"/>
        <v>0</v>
      </c>
      <c r="I8" s="258">
        <f t="shared" si="2"/>
        <v>0</v>
      </c>
      <c r="J8" s="69"/>
      <c r="K8" s="69"/>
      <c r="L8" s="69"/>
      <c r="M8" s="69"/>
      <c r="N8" s="145"/>
      <c r="O8" s="283">
        <f t="shared" si="3"/>
        <v>1375.298749430556</v>
      </c>
      <c r="P8" s="135">
        <f t="shared" si="4"/>
        <v>0</v>
      </c>
      <c r="Q8" s="135">
        <f t="shared" ca="1" si="5"/>
        <v>0</v>
      </c>
      <c r="R8" s="62"/>
      <c r="S8" s="245">
        <f t="shared" si="6"/>
        <v>3001.53</v>
      </c>
      <c r="T8" s="110">
        <f t="shared" si="7"/>
        <v>0</v>
      </c>
      <c r="U8" s="239">
        <v>3000</v>
      </c>
      <c r="V8" s="541">
        <f t="shared" ca="1" si="59"/>
        <v>5.5457196520367518</v>
      </c>
      <c r="W8" s="542" t="str">
        <f t="shared" si="60"/>
        <v>MERV - XMEV - GFGC3000FE - 24hs</v>
      </c>
      <c r="X8" s="542" t="str">
        <f t="shared" si="61"/>
        <v>GFGC3000FE</v>
      </c>
      <c r="Y8" s="540">
        <f>IFERROR(VLOOKUP($X8,HomeBroker!$A$22:$F$115,2,0),0)</f>
        <v>10</v>
      </c>
      <c r="Z8" s="540">
        <f>IFERROR(VLOOKUP($X8,HomeBroker!$A$22:$F$115,3,0),0)</f>
        <v>1.53</v>
      </c>
      <c r="AA8" s="242">
        <f>IFERROR(VLOOKUP($X8,HomeBroker!$A$22:$F$115,6,0),0)</f>
        <v>1.53</v>
      </c>
      <c r="AB8" s="540">
        <f>IFERROR(VLOOKUP($X8,HomeBroker!$A$22:$F$115,4,0),0)</f>
        <v>1.89</v>
      </c>
      <c r="AC8" s="540">
        <f>IFERROR(VLOOKUP($X8,HomeBroker!$A$22:$F$115,5,0),0)</f>
        <v>1</v>
      </c>
      <c r="AD8" s="543">
        <f>IFERROR(VLOOKUP($X8,HomeBroker!$A$22:$N$115,14,0),0)</f>
        <v>1542</v>
      </c>
      <c r="AE8" s="246">
        <f t="shared" si="62"/>
        <v>1701.9</v>
      </c>
      <c r="AF8" s="110">
        <f t="shared" si="63"/>
        <v>0</v>
      </c>
      <c r="AG8" s="239">
        <v>1701.5</v>
      </c>
      <c r="AH8" s="541">
        <f t="shared" ca="1" si="64"/>
        <v>0.9821856046385804</v>
      </c>
      <c r="AI8" s="542" t="str">
        <f t="shared" si="65"/>
        <v>MERV - XMEV - GFGV17015F - 24hs</v>
      </c>
      <c r="AJ8" s="542" t="str">
        <f t="shared" si="66"/>
        <v>GFGV17015F</v>
      </c>
      <c r="AK8" s="544">
        <f>IFERROR(VLOOKUP($AJ8,HomeBroker!$A$22:$F$115,2,0),0)</f>
        <v>55</v>
      </c>
      <c r="AL8" s="540">
        <f>IFERROR(VLOOKUP($AJ8,HomeBroker!$A$22:$F$115,3,0),0)</f>
        <v>0.4</v>
      </c>
      <c r="AM8" s="242">
        <f>IFERROR(VLOOKUP($AJ8,HomeBroker!$A$22:$F$115,6,0),0)</f>
        <v>0.4</v>
      </c>
      <c r="AN8" s="540">
        <f>IFERROR(VLOOKUP($AJ8,HomeBroker!$A$22:$F$115,4,0),0)</f>
        <v>1</v>
      </c>
      <c r="AO8" s="544">
        <f>IFERROR(VLOOKUP($AJ8,HomeBroker!$A$22:$F$115,5,0),0)</f>
        <v>294</v>
      </c>
      <c r="AP8" s="544">
        <f>IFERROR(VLOOKUP($AJ8,HomeBroker!$A$22:$N$115,14,0),0)</f>
        <v>192</v>
      </c>
      <c r="AQ8" s="62"/>
      <c r="AR8" s="109">
        <f t="shared" si="67"/>
        <v>704.13000000000011</v>
      </c>
      <c r="AS8" s="109">
        <f t="shared" si="68"/>
        <v>-702.6</v>
      </c>
      <c r="AT8" s="109">
        <f t="shared" si="69"/>
        <v>703</v>
      </c>
      <c r="AU8" s="62"/>
      <c r="AV8" s="116"/>
      <c r="AW8" s="136" t="s">
        <v>354</v>
      </c>
      <c r="AX8" s="118"/>
      <c r="AY8" s="140"/>
      <c r="AZ8" s="141"/>
      <c r="BA8" s="290">
        <f t="shared" si="10"/>
        <v>0</v>
      </c>
      <c r="BB8" s="291">
        <f t="shared" si="11"/>
        <v>0</v>
      </c>
      <c r="BC8" s="120" t="s">
        <v>408</v>
      </c>
      <c r="BD8" s="118"/>
      <c r="BE8" s="143"/>
      <c r="BF8" s="121"/>
      <c r="BG8" s="293">
        <f t="shared" si="12"/>
        <v>0</v>
      </c>
      <c r="BH8" s="295">
        <f t="shared" si="13"/>
        <v>0</v>
      </c>
      <c r="BI8" s="122" t="s">
        <v>409</v>
      </c>
      <c r="BJ8" s="118"/>
      <c r="BK8" s="121"/>
      <c r="BL8" s="296">
        <f t="shared" si="14"/>
        <v>0</v>
      </c>
      <c r="BM8" s="297">
        <f t="shared" si="15"/>
        <v>0</v>
      </c>
      <c r="DH8" s="123">
        <f t="shared" si="16"/>
        <v>1375.298749430556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1375.298749430556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4"/>
      <c r="C9" s="247"/>
      <c r="D9" s="248"/>
      <c r="E9" s="255">
        <f t="shared" si="0"/>
        <v>0</v>
      </c>
      <c r="F9" s="256">
        <f t="shared" si="1"/>
        <v>0</v>
      </c>
      <c r="G9" s="251" t="str">
        <f t="shared" si="57"/>
        <v/>
      </c>
      <c r="H9" s="257">
        <f t="shared" si="58"/>
        <v>0</v>
      </c>
      <c r="I9" s="258">
        <f t="shared" si="2"/>
        <v>0</v>
      </c>
      <c r="J9" s="69"/>
      <c r="K9" s="69"/>
      <c r="L9" s="69"/>
      <c r="M9" s="69"/>
      <c r="N9" s="146"/>
      <c r="O9" s="283">
        <f t="shared" si="3"/>
        <v>1447.6828941374274</v>
      </c>
      <c r="P9" s="142">
        <f t="shared" si="4"/>
        <v>0</v>
      </c>
      <c r="Q9" s="142">
        <f t="shared" ca="1" si="5"/>
        <v>0</v>
      </c>
      <c r="R9" s="62"/>
      <c r="S9" s="245">
        <f t="shared" si="6"/>
        <v>3151</v>
      </c>
      <c r="T9" s="110">
        <f>SUMIFS(B$3:B$37,C$3:C$37,U9)</f>
        <v>0</v>
      </c>
      <c r="U9" s="239">
        <v>3150</v>
      </c>
      <c r="V9" s="541">
        <f t="shared" ca="1" si="59"/>
        <v>2.2553707275774855</v>
      </c>
      <c r="W9" s="542" t="str">
        <f t="shared" si="60"/>
        <v>MERV - XMEV - GFGC3150FE - 24hs</v>
      </c>
      <c r="X9" s="542" t="str">
        <f t="shared" si="61"/>
        <v>GFGC3150FE</v>
      </c>
      <c r="Y9" s="540">
        <f>IFERROR(VLOOKUP($X9,HomeBroker!$A$22:$F$115,2,0),0)</f>
        <v>50</v>
      </c>
      <c r="Z9" s="540">
        <f>IFERROR(VLOOKUP($X9,HomeBroker!$A$22:$F$115,3,0),0)</f>
        <v>0.8</v>
      </c>
      <c r="AA9" s="242">
        <f>IFERROR(VLOOKUP($X9,HomeBroker!$A$22:$F$115,6,0),0)</f>
        <v>1</v>
      </c>
      <c r="AB9" s="540">
        <f>IFERROR(VLOOKUP($X9,HomeBroker!$A$22:$F$115,4,0),0)</f>
        <v>1.2</v>
      </c>
      <c r="AC9" s="540">
        <f>IFERROR(VLOOKUP($X9,HomeBroker!$A$22:$F$115,5,0),0)</f>
        <v>1689</v>
      </c>
      <c r="AD9" s="292">
        <f>IFERROR(VLOOKUP($X9,HomeBroker!$A$22:$N$115,14,0),0)</f>
        <v>546</v>
      </c>
      <c r="AE9" s="246">
        <f t="shared" si="62"/>
        <v>1772.13</v>
      </c>
      <c r="AF9" s="110">
        <f t="shared" si="63"/>
        <v>0</v>
      </c>
      <c r="AG9" s="239">
        <v>1771.5</v>
      </c>
      <c r="AH9" s="541">
        <f t="shared" ca="1" si="64"/>
        <v>2.2631802203878166</v>
      </c>
      <c r="AI9" s="542" t="str">
        <f t="shared" si="65"/>
        <v>MERV - XMEV - GFGV17715F - 24hs</v>
      </c>
      <c r="AJ9" s="542" t="str">
        <f t="shared" si="66"/>
        <v>GFGV17715F</v>
      </c>
      <c r="AK9" s="544">
        <f>IFERROR(VLOOKUP($AJ9,HomeBroker!$A$22:$F$115,2,0),0)</f>
        <v>20</v>
      </c>
      <c r="AL9" s="540">
        <f>IFERROR(VLOOKUP($AJ9,HomeBroker!$A$22:$F$115,3,0),0)</f>
        <v>0.29099999999999998</v>
      </c>
      <c r="AM9" s="242">
        <f>IFERROR(VLOOKUP($AJ9,HomeBroker!$A$22:$F$115,6,0),0)</f>
        <v>0.63</v>
      </c>
      <c r="AN9" s="540">
        <f>IFERROR(VLOOKUP($AJ9,HomeBroker!$A$22:$F$115,4,0),0)</f>
        <v>0.65</v>
      </c>
      <c r="AO9" s="544">
        <f>IFERROR(VLOOKUP($AJ9,HomeBroker!$A$22:$F$115,5,0),0)</f>
        <v>15</v>
      </c>
      <c r="AP9" s="115">
        <f>IFERROR(VLOOKUP($AJ9,HomeBroker!$A$22:$N$115,14,0),0)</f>
        <v>814</v>
      </c>
      <c r="AQ9" s="62"/>
      <c r="AR9" s="109">
        <f t="shared" si="67"/>
        <v>853.36999999999989</v>
      </c>
      <c r="AS9" s="109">
        <f t="shared" si="68"/>
        <v>-852.37</v>
      </c>
      <c r="AT9" s="109">
        <f t="shared" si="69"/>
        <v>853</v>
      </c>
      <c r="AU9" s="62"/>
      <c r="AV9" s="116"/>
      <c r="AW9" s="136" t="s">
        <v>354</v>
      </c>
      <c r="AX9" s="118"/>
      <c r="AY9" s="140"/>
      <c r="AZ9" s="141"/>
      <c r="BA9" s="290">
        <f t="shared" si="10"/>
        <v>0</v>
      </c>
      <c r="BB9" s="291">
        <f t="shared" si="11"/>
        <v>0</v>
      </c>
      <c r="BC9" s="120" t="s">
        <v>408</v>
      </c>
      <c r="BD9" s="118"/>
      <c r="BE9" s="143"/>
      <c r="BF9" s="121"/>
      <c r="BG9" s="293">
        <f t="shared" si="12"/>
        <v>0</v>
      </c>
      <c r="BH9" s="295">
        <f t="shared" si="13"/>
        <v>0</v>
      </c>
      <c r="BI9" s="122" t="s">
        <v>409</v>
      </c>
      <c r="BJ9" s="118"/>
      <c r="BK9" s="121"/>
      <c r="BL9" s="296">
        <f t="shared" si="14"/>
        <v>0</v>
      </c>
      <c r="BM9" s="297">
        <f t="shared" si="15"/>
        <v>0</v>
      </c>
      <c r="DH9" s="123">
        <f t="shared" si="16"/>
        <v>1447.6828941374274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1447.6828941374274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4"/>
      <c r="C10" s="247"/>
      <c r="D10" s="248"/>
      <c r="E10" s="255">
        <f t="shared" si="0"/>
        <v>0</v>
      </c>
      <c r="F10" s="256">
        <f t="shared" si="1"/>
        <v>0</v>
      </c>
      <c r="G10" s="251" t="str">
        <f t="shared" si="57"/>
        <v/>
      </c>
      <c r="H10" s="257">
        <f t="shared" si="58"/>
        <v>0</v>
      </c>
      <c r="I10" s="258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3">
        <f t="shared" si="3"/>
        <v>1523.8767306709763</v>
      </c>
      <c r="P10" s="135">
        <f t="shared" si="4"/>
        <v>0</v>
      </c>
      <c r="Q10" s="135">
        <f t="shared" ca="1" si="5"/>
        <v>0</v>
      </c>
      <c r="R10" s="62"/>
      <c r="S10" s="245">
        <f>IF(AA10&gt;0,ABS((U10+AA10)),"")</f>
        <v>3300.9989999999998</v>
      </c>
      <c r="T10" s="110">
        <f t="shared" ref="T10:T17" si="70">SUMIFS(B$3:B$37,C$3:C$37,U10)</f>
        <v>0</v>
      </c>
      <c r="U10" s="239">
        <v>3300</v>
      </c>
      <c r="V10" s="541">
        <f t="shared" ca="1" si="59"/>
        <v>0.86990070609951076</v>
      </c>
      <c r="W10" s="542" t="str">
        <f t="shared" si="60"/>
        <v>MERV - XMEV - GFGC3300FE - 24hs</v>
      </c>
      <c r="X10" s="542" t="str">
        <f t="shared" si="61"/>
        <v>GFGC3300FE</v>
      </c>
      <c r="Y10" s="540">
        <f>IFERROR(VLOOKUP($X10,HomeBroker!$A$22:$F$115,2,0),0)</f>
        <v>77</v>
      </c>
      <c r="Z10" s="540">
        <f>IFERROR(VLOOKUP($X10,HomeBroker!$A$22:$F$115,3,0),0)</f>
        <v>0.6</v>
      </c>
      <c r="AA10" s="242">
        <f>IFERROR(VLOOKUP($X10,HomeBroker!$A$22:$F$115,6,0),0)</f>
        <v>0.999</v>
      </c>
      <c r="AB10" s="540">
        <f>IFERROR(VLOOKUP($X10,HomeBroker!$A$22:$F$115,4,0),0)</f>
        <v>0.999</v>
      </c>
      <c r="AC10" s="540">
        <f>IFERROR(VLOOKUP($X10,HomeBroker!$A$22:$F$115,5,0),0)</f>
        <v>1</v>
      </c>
      <c r="AD10" s="292">
        <f>IFERROR(VLOOKUP($X10,HomeBroker!$A$22:$N$115,14,0),0)</f>
        <v>452</v>
      </c>
      <c r="AE10" s="246">
        <f t="shared" si="62"/>
        <v>1852.64</v>
      </c>
      <c r="AF10" s="110">
        <f t="shared" si="63"/>
        <v>0</v>
      </c>
      <c r="AG10" s="239">
        <v>1851.5</v>
      </c>
      <c r="AH10" s="541">
        <f t="shared" ca="1" si="64"/>
        <v>5.2187255964273334</v>
      </c>
      <c r="AI10" s="542" t="str">
        <f t="shared" si="65"/>
        <v>MERV - XMEV - GFGV18515F - 24hs</v>
      </c>
      <c r="AJ10" s="542" t="str">
        <f t="shared" si="66"/>
        <v>GFGV18515F</v>
      </c>
      <c r="AK10" s="544">
        <f>IFERROR(VLOOKUP($AJ10,HomeBroker!$A$22:$F$115,2,0),0)</f>
        <v>44</v>
      </c>
      <c r="AL10" s="540">
        <f>IFERROR(VLOOKUP($AJ10,HomeBroker!$A$22:$F$115,3,0),0)</f>
        <v>0.67100000000000004</v>
      </c>
      <c r="AM10" s="242">
        <f>IFERROR(VLOOKUP($AJ10,HomeBroker!$A$22:$F$115,6,0),0)</f>
        <v>1.1399999999999999</v>
      </c>
      <c r="AN10" s="540">
        <f>IFERROR(VLOOKUP($AJ10,HomeBroker!$A$22:$F$115,4,0),0)</f>
        <v>1.1399999999999999</v>
      </c>
      <c r="AO10" s="544">
        <f>IFERROR(VLOOKUP($AJ10,HomeBroker!$A$22:$F$115,5,0),0)</f>
        <v>14</v>
      </c>
      <c r="AP10" s="115">
        <f>IFERROR(VLOOKUP($AJ10,HomeBroker!$A$22:$N$115,14,0),0)</f>
        <v>590</v>
      </c>
      <c r="AQ10" s="62"/>
      <c r="AR10" s="109">
        <f t="shared" si="67"/>
        <v>1002.8589999999999</v>
      </c>
      <c r="AS10" s="109">
        <f t="shared" si="68"/>
        <v>-1001.86</v>
      </c>
      <c r="AT10" s="109">
        <f t="shared" si="69"/>
        <v>1003</v>
      </c>
      <c r="AU10" s="62"/>
      <c r="AV10" s="116"/>
      <c r="AW10" s="136" t="s">
        <v>354</v>
      </c>
      <c r="AX10" s="118"/>
      <c r="AY10" s="140"/>
      <c r="AZ10" s="141"/>
      <c r="BA10" s="290">
        <f t="shared" si="10"/>
        <v>0</v>
      </c>
      <c r="BB10" s="291">
        <f t="shared" si="11"/>
        <v>0</v>
      </c>
      <c r="BC10" s="120" t="s">
        <v>408</v>
      </c>
      <c r="BD10" s="118"/>
      <c r="BE10" s="143"/>
      <c r="BF10" s="121"/>
      <c r="BG10" s="293">
        <f t="shared" si="12"/>
        <v>0</v>
      </c>
      <c r="BH10" s="295">
        <f t="shared" si="13"/>
        <v>0</v>
      </c>
      <c r="BI10" s="122" t="s">
        <v>409</v>
      </c>
      <c r="BJ10" s="118"/>
      <c r="BK10" s="121"/>
      <c r="BL10" s="296">
        <f t="shared" si="14"/>
        <v>0</v>
      </c>
      <c r="BM10" s="297">
        <f t="shared" si="15"/>
        <v>0</v>
      </c>
      <c r="DH10" s="123">
        <f t="shared" si="16"/>
        <v>1523.8767306709763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1523.8767306709763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4"/>
      <c r="C11" s="247"/>
      <c r="D11" s="248"/>
      <c r="E11" s="255">
        <f t="shared" si="0"/>
        <v>0</v>
      </c>
      <c r="F11" s="256">
        <f t="shared" si="1"/>
        <v>0</v>
      </c>
      <c r="G11" s="251" t="str">
        <f t="shared" si="57"/>
        <v/>
      </c>
      <c r="H11" s="257">
        <f t="shared" si="58"/>
        <v>0</v>
      </c>
      <c r="I11" s="258">
        <f t="shared" si="2"/>
        <v>0</v>
      </c>
      <c r="J11" s="69"/>
      <c r="K11" s="69"/>
      <c r="L11" s="69"/>
      <c r="M11" s="69"/>
      <c r="N11" s="146"/>
      <c r="O11" s="283">
        <f t="shared" si="3"/>
        <v>1604.0807691273435</v>
      </c>
      <c r="P11" s="135">
        <f t="shared" si="4"/>
        <v>0</v>
      </c>
      <c r="Q11" s="135">
        <f t="shared" ca="1" si="5"/>
        <v>0</v>
      </c>
      <c r="R11" s="62"/>
      <c r="S11" s="245">
        <f t="shared" ref="S11:S42" si="71">IF(AA11&gt;0,ABS((U11+AA11)),"")</f>
        <v>3450.88</v>
      </c>
      <c r="T11" s="110">
        <f t="shared" si="70"/>
        <v>0</v>
      </c>
      <c r="U11" s="239">
        <v>3450</v>
      </c>
      <c r="V11" s="541">
        <f t="shared" ca="1" si="59"/>
        <v>0.32028718901430775</v>
      </c>
      <c r="W11" s="542" t="str">
        <f t="shared" si="60"/>
        <v>MERV - XMEV - GFGC3450FE - 24hs</v>
      </c>
      <c r="X11" s="542" t="str">
        <f t="shared" si="61"/>
        <v>GFGC3450FE</v>
      </c>
      <c r="Y11" s="540">
        <f>IFERROR(VLOOKUP($X11,HomeBroker!$A$22:$F$115,2,0),0)</f>
        <v>1</v>
      </c>
      <c r="Z11" s="540">
        <f>IFERROR(VLOOKUP($X11,HomeBroker!$A$22:$F$115,3,0),0)</f>
        <v>0.2</v>
      </c>
      <c r="AA11" s="242">
        <f>IFERROR(VLOOKUP($X11,HomeBroker!$A$22:$F$115,6,0),0)</f>
        <v>0.88</v>
      </c>
      <c r="AB11" s="540">
        <f>IFERROR(VLOOKUP($X11,HomeBroker!$A$22:$F$115,4,0),0)</f>
        <v>0.88</v>
      </c>
      <c r="AC11" s="540">
        <f>IFERROR(VLOOKUP($X11,HomeBroker!$A$22:$F$115,5,0),0)</f>
        <v>5</v>
      </c>
      <c r="AD11" s="292">
        <f>IFERROR(VLOOKUP($X11,HomeBroker!$A$22:$N$115,14,0),0)</f>
        <v>635</v>
      </c>
      <c r="AE11" s="246">
        <f t="shared" si="62"/>
        <v>1933.2</v>
      </c>
      <c r="AF11" s="110">
        <f t="shared" si="63"/>
        <v>0</v>
      </c>
      <c r="AG11" s="239">
        <v>1931.5</v>
      </c>
      <c r="AH11" s="541">
        <f t="shared" ca="1" si="64"/>
        <v>10.775556008124767</v>
      </c>
      <c r="AI11" s="542" t="str">
        <f t="shared" si="65"/>
        <v>MERV - XMEV - GFGV19315F - 24hs</v>
      </c>
      <c r="AJ11" s="542" t="str">
        <f t="shared" si="66"/>
        <v>GFGV19315F</v>
      </c>
      <c r="AK11" s="544">
        <f>IFERROR(VLOOKUP($AJ11,HomeBroker!$A$22:$F$115,2,0),0)</f>
        <v>29</v>
      </c>
      <c r="AL11" s="540">
        <f>IFERROR(VLOOKUP($AJ11,HomeBroker!$A$22:$F$115,3,0),0)</f>
        <v>1.55</v>
      </c>
      <c r="AM11" s="242">
        <f>IFERROR(VLOOKUP($AJ11,HomeBroker!$A$22:$F$115,6,0),0)</f>
        <v>1.7</v>
      </c>
      <c r="AN11" s="540">
        <f>IFERROR(VLOOKUP($AJ11,HomeBroker!$A$22:$F$115,4,0),0)</f>
        <v>2.1</v>
      </c>
      <c r="AO11" s="544">
        <f>IFERROR(VLOOKUP($AJ11,HomeBroker!$A$22:$F$115,5,0),0)</f>
        <v>10</v>
      </c>
      <c r="AP11" s="115">
        <f>IFERROR(VLOOKUP($AJ11,HomeBroker!$A$22:$N$115,14,0),0)</f>
        <v>424</v>
      </c>
      <c r="AQ11" s="62"/>
      <c r="AR11" s="109">
        <f t="shared" si="67"/>
        <v>1152.1800000000003</v>
      </c>
      <c r="AS11" s="109">
        <f t="shared" si="68"/>
        <v>-1151.3</v>
      </c>
      <c r="AT11" s="109">
        <f t="shared" si="69"/>
        <v>1153</v>
      </c>
      <c r="AU11" s="62"/>
      <c r="AV11" s="116"/>
      <c r="AW11" s="136" t="s">
        <v>354</v>
      </c>
      <c r="AX11" s="118"/>
      <c r="AY11" s="140"/>
      <c r="AZ11" s="141"/>
      <c r="BA11" s="290">
        <f t="shared" si="10"/>
        <v>0</v>
      </c>
      <c r="BB11" s="291">
        <f t="shared" si="11"/>
        <v>0</v>
      </c>
      <c r="BC11" s="120" t="s">
        <v>408</v>
      </c>
      <c r="BD11" s="118"/>
      <c r="BE11" s="143"/>
      <c r="BF11" s="121"/>
      <c r="BG11" s="293">
        <f t="shared" si="12"/>
        <v>0</v>
      </c>
      <c r="BH11" s="295">
        <f t="shared" si="13"/>
        <v>0</v>
      </c>
      <c r="BI11" s="122" t="s">
        <v>409</v>
      </c>
      <c r="BJ11" s="118"/>
      <c r="BK11" s="121"/>
      <c r="BL11" s="296">
        <f t="shared" si="14"/>
        <v>0</v>
      </c>
      <c r="BM11" s="297">
        <f t="shared" si="15"/>
        <v>0</v>
      </c>
      <c r="DH11" s="123">
        <f t="shared" si="16"/>
        <v>1604.0807691273435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1604.0807691273435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4"/>
      <c r="C12" s="247"/>
      <c r="D12" s="248"/>
      <c r="E12" s="255">
        <f t="shared" si="0"/>
        <v>0</v>
      </c>
      <c r="F12" s="256">
        <f t="shared" si="1"/>
        <v>0</v>
      </c>
      <c r="G12" s="251" t="str">
        <f t="shared" si="57"/>
        <v/>
      </c>
      <c r="H12" s="257">
        <f t="shared" si="58"/>
        <v>0</v>
      </c>
      <c r="I12" s="258">
        <f t="shared" si="2"/>
        <v>0</v>
      </c>
      <c r="J12" s="69"/>
      <c r="K12" s="69"/>
      <c r="L12" s="69"/>
      <c r="M12" s="69"/>
      <c r="N12" s="146">
        <f>IFERROR(-1+(O12/$O$18),"")</f>
        <v>-0.26490810937500009</v>
      </c>
      <c r="O12" s="283">
        <f t="shared" si="3"/>
        <v>1688.5060727656248</v>
      </c>
      <c r="P12" s="142">
        <f t="shared" si="4"/>
        <v>0</v>
      </c>
      <c r="Q12" s="142">
        <f t="shared" ca="1" si="5"/>
        <v>0</v>
      </c>
      <c r="R12" s="62"/>
      <c r="S12" s="245">
        <f t="shared" si="71"/>
        <v>3600.32</v>
      </c>
      <c r="T12" s="110">
        <f t="shared" si="70"/>
        <v>0</v>
      </c>
      <c r="U12" s="239">
        <v>3600</v>
      </c>
      <c r="V12" s="541">
        <f t="shared" ca="1" si="59"/>
        <v>0.11324105861160083</v>
      </c>
      <c r="W12" s="542" t="str">
        <f t="shared" si="60"/>
        <v>MERV - XMEV - GFGC3600FE - 24hs</v>
      </c>
      <c r="X12" s="542" t="str">
        <f t="shared" si="61"/>
        <v>GFGC3600FE</v>
      </c>
      <c r="Y12" s="540">
        <f>IFERROR(VLOOKUP($X12,HomeBroker!$A$22:$F$115,2,0),0)</f>
        <v>50</v>
      </c>
      <c r="Z12" s="540">
        <f>IFERROR(VLOOKUP($X12,HomeBroker!$A$22:$F$115,3,0),0)</f>
        <v>0.33</v>
      </c>
      <c r="AA12" s="242">
        <f>IFERROR(VLOOKUP($X12,HomeBroker!$A$22:$F$115,6,0),0)</f>
        <v>0.32</v>
      </c>
      <c r="AB12" s="540">
        <f>IFERROR(VLOOKUP($X12,HomeBroker!$A$22:$F$115,4,0),0)</f>
        <v>0.55000000000000004</v>
      </c>
      <c r="AC12" s="540">
        <f>IFERROR(VLOOKUP($X12,HomeBroker!$A$22:$F$115,5,0),0)</f>
        <v>1</v>
      </c>
      <c r="AD12" s="292">
        <f>IFERROR(VLOOKUP($X12,HomeBroker!$A$22:$N$115,14,0),0)</f>
        <v>909</v>
      </c>
      <c r="AE12" s="246">
        <f t="shared" si="62"/>
        <v>2024.8</v>
      </c>
      <c r="AF12" s="110">
        <f t="shared" si="63"/>
        <v>0</v>
      </c>
      <c r="AG12" s="239">
        <v>2020</v>
      </c>
      <c r="AH12" s="541">
        <f t="shared" ca="1" si="64"/>
        <v>21.500349900436902</v>
      </c>
      <c r="AI12" s="542" t="str">
        <f t="shared" si="65"/>
        <v>MERV - XMEV - GFGV2020FE - 24hs</v>
      </c>
      <c r="AJ12" s="542" t="str">
        <f t="shared" si="66"/>
        <v>GFGV2020FE</v>
      </c>
      <c r="AK12" s="544">
        <f>IFERROR(VLOOKUP($AJ12,HomeBroker!$A$22:$F$115,2,0),0)</f>
        <v>50</v>
      </c>
      <c r="AL12" s="540">
        <f>IFERROR(VLOOKUP($AJ12,HomeBroker!$A$22:$F$115,3,0),0)</f>
        <v>4</v>
      </c>
      <c r="AM12" s="242">
        <f>IFERROR(VLOOKUP($AJ12,HomeBroker!$A$22:$F$115,6,0),0)</f>
        <v>4.8</v>
      </c>
      <c r="AN12" s="540">
        <f>IFERROR(VLOOKUP($AJ12,HomeBroker!$A$22:$F$115,4,0),0)</f>
        <v>5</v>
      </c>
      <c r="AO12" s="544">
        <f>IFERROR(VLOOKUP($AJ12,HomeBroker!$A$22:$F$115,5,0),0)</f>
        <v>13</v>
      </c>
      <c r="AP12" s="115">
        <f>IFERROR(VLOOKUP($AJ12,HomeBroker!$A$22:$N$115,14,0),0)</f>
        <v>1211</v>
      </c>
      <c r="AQ12" s="62"/>
      <c r="AR12" s="109">
        <f t="shared" si="67"/>
        <v>1298.52</v>
      </c>
      <c r="AS12" s="109">
        <f t="shared" si="68"/>
        <v>-1298.2</v>
      </c>
      <c r="AT12" s="109">
        <f t="shared" si="69"/>
        <v>1303</v>
      </c>
      <c r="AU12" s="62"/>
      <c r="AV12" s="116"/>
      <c r="AW12" s="136" t="s">
        <v>354</v>
      </c>
      <c r="AX12" s="118"/>
      <c r="AY12" s="140"/>
      <c r="AZ12" s="141"/>
      <c r="BA12" s="290">
        <f t="shared" si="10"/>
        <v>0</v>
      </c>
      <c r="BB12" s="291">
        <f t="shared" si="11"/>
        <v>0</v>
      </c>
      <c r="BC12" s="120" t="s">
        <v>408</v>
      </c>
      <c r="BD12" s="118"/>
      <c r="BE12" s="143"/>
      <c r="BF12" s="121"/>
      <c r="BG12" s="293">
        <f t="shared" si="12"/>
        <v>0</v>
      </c>
      <c r="BH12" s="295">
        <f t="shared" si="13"/>
        <v>0</v>
      </c>
      <c r="BI12" s="122" t="s">
        <v>409</v>
      </c>
      <c r="BJ12" s="118"/>
      <c r="BK12" s="121"/>
      <c r="BL12" s="296">
        <f t="shared" si="14"/>
        <v>0</v>
      </c>
      <c r="BM12" s="297">
        <f t="shared" si="15"/>
        <v>0</v>
      </c>
      <c r="DH12" s="123">
        <f t="shared" si="16"/>
        <v>1688.5060727656248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1688.5060727656248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4"/>
      <c r="C13" s="247"/>
      <c r="D13" s="248"/>
      <c r="E13" s="255">
        <f t="shared" si="0"/>
        <v>0</v>
      </c>
      <c r="F13" s="256">
        <f t="shared" si="1"/>
        <v>0</v>
      </c>
      <c r="G13" s="251" t="str">
        <f t="shared" si="57"/>
        <v/>
      </c>
      <c r="H13" s="257">
        <f t="shared" si="58"/>
        <v>0</v>
      </c>
      <c r="I13" s="258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>
        <f>IFERROR(-1+(O13/$O$18),"")</f>
        <v>-0.22621906250000012</v>
      </c>
      <c r="O13" s="284">
        <f t="shared" si="3"/>
        <v>1777.3748134374998</v>
      </c>
      <c r="P13" s="135">
        <f t="shared" si="4"/>
        <v>0</v>
      </c>
      <c r="Q13" s="135">
        <f t="shared" ca="1" si="5"/>
        <v>0</v>
      </c>
      <c r="R13" s="62"/>
      <c r="S13" s="245">
        <f t="shared" si="71"/>
        <v>3750.35</v>
      </c>
      <c r="T13" s="110">
        <f t="shared" si="70"/>
        <v>0</v>
      </c>
      <c r="U13" s="239">
        <v>3750</v>
      </c>
      <c r="V13" s="541">
        <f t="shared" ca="1" si="59"/>
        <v>3.8652709075283065E-2</v>
      </c>
      <c r="W13" s="542" t="str">
        <f t="shared" si="60"/>
        <v>MERV - XMEV - GFGC3750FE - 24hs</v>
      </c>
      <c r="X13" s="542" t="str">
        <f t="shared" si="61"/>
        <v>GFGC3750FE</v>
      </c>
      <c r="Y13" s="540">
        <f>IFERROR(VLOOKUP($X13,HomeBroker!$A$22:$F$115,2,0),0)</f>
        <v>1</v>
      </c>
      <c r="Z13" s="540">
        <f>IFERROR(VLOOKUP($X13,HomeBroker!$A$22:$F$115,3,0),0)</f>
        <v>0.3</v>
      </c>
      <c r="AA13" s="242">
        <f>IFERROR(VLOOKUP($X13,HomeBroker!$A$22:$F$115,6,0),0)</f>
        <v>0.35</v>
      </c>
      <c r="AB13" s="540">
        <f>IFERROR(VLOOKUP($X13,HomeBroker!$A$22:$F$115,4,0),0)</f>
        <v>1.49</v>
      </c>
      <c r="AC13" s="540">
        <f>IFERROR(VLOOKUP($X13,HomeBroker!$A$22:$F$115,5,0),0)</f>
        <v>100</v>
      </c>
      <c r="AD13" s="292">
        <f>IFERROR(VLOOKUP($X13,HomeBroker!$A$22:$N$115,14,0),0)</f>
        <v>498</v>
      </c>
      <c r="AE13" s="246">
        <f t="shared" si="62"/>
        <v>2108</v>
      </c>
      <c r="AF13" s="110">
        <f t="shared" si="63"/>
        <v>0</v>
      </c>
      <c r="AG13" s="239">
        <v>2100</v>
      </c>
      <c r="AH13" s="541">
        <f t="shared" ca="1" si="64"/>
        <v>36.803234092693913</v>
      </c>
      <c r="AI13" s="542" t="str">
        <f t="shared" si="65"/>
        <v>MERV - XMEV - GFGV2100FE - 24hs</v>
      </c>
      <c r="AJ13" s="542" t="str">
        <f t="shared" si="66"/>
        <v>GFGV2100FE</v>
      </c>
      <c r="AK13" s="544">
        <f>IFERROR(VLOOKUP($AJ13,HomeBroker!$A$22:$F$115,2,0),0)</f>
        <v>12</v>
      </c>
      <c r="AL13" s="540">
        <f>IFERROR(VLOOKUP($AJ13,HomeBroker!$A$22:$F$115,3,0),0)</f>
        <v>7</v>
      </c>
      <c r="AM13" s="242">
        <f>IFERROR(VLOOKUP($AJ13,HomeBroker!$A$22:$F$115,6,0),0)</f>
        <v>8</v>
      </c>
      <c r="AN13" s="540">
        <f>IFERROR(VLOOKUP($AJ13,HomeBroker!$A$22:$F$115,4,0),0)</f>
        <v>9</v>
      </c>
      <c r="AO13" s="544">
        <f>IFERROR(VLOOKUP($AJ13,HomeBroker!$A$22:$F$115,5,0),0)</f>
        <v>309</v>
      </c>
      <c r="AP13" s="115">
        <f>IFERROR(VLOOKUP($AJ13,HomeBroker!$A$22:$N$115,14,0),0)</f>
        <v>1524</v>
      </c>
      <c r="AQ13" s="62"/>
      <c r="AR13" s="109">
        <f t="shared" si="67"/>
        <v>1445.35</v>
      </c>
      <c r="AS13" s="109">
        <f t="shared" si="68"/>
        <v>-1445</v>
      </c>
      <c r="AT13" s="109">
        <f t="shared" si="69"/>
        <v>1453</v>
      </c>
      <c r="AU13" s="62"/>
      <c r="AV13" s="116"/>
      <c r="AW13" s="136" t="s">
        <v>354</v>
      </c>
      <c r="AX13" s="118"/>
      <c r="AY13" s="140"/>
      <c r="AZ13" s="141"/>
      <c r="BA13" s="290">
        <f t="shared" si="10"/>
        <v>0</v>
      </c>
      <c r="BB13" s="291">
        <f t="shared" si="11"/>
        <v>0</v>
      </c>
      <c r="BC13" s="120" t="s">
        <v>408</v>
      </c>
      <c r="BD13" s="118"/>
      <c r="BE13" s="143"/>
      <c r="BF13" s="121"/>
      <c r="BG13" s="293">
        <f t="shared" si="12"/>
        <v>0</v>
      </c>
      <c r="BH13" s="295">
        <f t="shared" si="13"/>
        <v>0</v>
      </c>
      <c r="BI13" s="122" t="s">
        <v>409</v>
      </c>
      <c r="BJ13" s="118"/>
      <c r="BK13" s="121"/>
      <c r="BL13" s="296">
        <f t="shared" si="14"/>
        <v>0</v>
      </c>
      <c r="BM13" s="297">
        <f t="shared" si="15"/>
        <v>0</v>
      </c>
      <c r="DH13" s="123">
        <f t="shared" si="16"/>
        <v>1777.3748134374998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1777.3748134374998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4"/>
      <c r="C14" s="247"/>
      <c r="D14" s="248"/>
      <c r="E14" s="255">
        <f t="shared" si="0"/>
        <v>0</v>
      </c>
      <c r="F14" s="256">
        <f t="shared" si="1"/>
        <v>0</v>
      </c>
      <c r="G14" s="251" t="str">
        <f t="shared" si="57"/>
        <v/>
      </c>
      <c r="H14" s="257">
        <f t="shared" si="58"/>
        <v>0</v>
      </c>
      <c r="I14" s="258">
        <f t="shared" si="2"/>
        <v>0</v>
      </c>
      <c r="J14" s="69"/>
      <c r="K14" s="69"/>
      <c r="L14" s="69"/>
      <c r="M14" s="69"/>
      <c r="N14" s="148">
        <f>IFERROR(-1+(O14/$O$18),"")</f>
        <v>-0.18549375000000012</v>
      </c>
      <c r="O14" s="284">
        <f t="shared" si="3"/>
        <v>1870.9208562499998</v>
      </c>
      <c r="P14" s="135">
        <f t="shared" si="4"/>
        <v>0</v>
      </c>
      <c r="Q14" s="135">
        <f t="shared" ca="1" si="5"/>
        <v>0</v>
      </c>
      <c r="R14" s="62"/>
      <c r="S14" s="245">
        <f t="shared" si="71"/>
        <v>3900.27</v>
      </c>
      <c r="T14" s="110">
        <f t="shared" si="70"/>
        <v>0</v>
      </c>
      <c r="U14" s="239">
        <v>3900</v>
      </c>
      <c r="V14" s="541">
        <f t="shared" ca="1" si="59"/>
        <v>1.2797773332491269E-2</v>
      </c>
      <c r="W14" s="542" t="str">
        <f t="shared" si="60"/>
        <v>MERV - XMEV - GFGC3900FE - 24hs</v>
      </c>
      <c r="X14" s="542" t="str">
        <f t="shared" si="61"/>
        <v>GFGC3900FE</v>
      </c>
      <c r="Y14" s="540">
        <f>IFERROR(VLOOKUP($X14,HomeBroker!$A$22:$F$115,2,0),0)</f>
        <v>100</v>
      </c>
      <c r="Z14" s="540">
        <f>IFERROR(VLOOKUP($X14,HomeBroker!$A$22:$F$115,3,0),0)</f>
        <v>0.27</v>
      </c>
      <c r="AA14" s="242">
        <f>IFERROR(VLOOKUP($X14,HomeBroker!$A$22:$F$115,6,0),0)</f>
        <v>0.27</v>
      </c>
      <c r="AB14" s="540">
        <f>IFERROR(VLOOKUP($X14,HomeBroker!$A$22:$F$115,4,0),0)</f>
        <v>0.32</v>
      </c>
      <c r="AC14" s="540">
        <f>IFERROR(VLOOKUP($X14,HomeBroker!$A$22:$F$100,5,0),0)</f>
        <v>1</v>
      </c>
      <c r="AD14" s="292">
        <f>IFERROR(VLOOKUP($X14,HomeBroker!$A$22:$N$115,14,0),0)</f>
        <v>510</v>
      </c>
      <c r="AE14" s="246">
        <f t="shared" si="62"/>
        <v>2219.9</v>
      </c>
      <c r="AF14" s="110">
        <f t="shared" si="63"/>
        <v>0</v>
      </c>
      <c r="AG14" s="239">
        <v>2200</v>
      </c>
      <c r="AH14" s="541">
        <f t="shared" ca="1" si="64"/>
        <v>65.26568265178787</v>
      </c>
      <c r="AI14" s="542" t="str">
        <f t="shared" si="65"/>
        <v>MERV - XMEV - GFGV2200FE - 24hs</v>
      </c>
      <c r="AJ14" s="542" t="str">
        <f t="shared" si="66"/>
        <v>GFGV2200FE</v>
      </c>
      <c r="AK14" s="544">
        <f>IFERROR(VLOOKUP($AJ14,HomeBroker!$A$22:$F$115,2,0),0)</f>
        <v>10</v>
      </c>
      <c r="AL14" s="540">
        <f>IFERROR(VLOOKUP($AJ14,HomeBroker!$A$22:$F$115,3,0),0)</f>
        <v>17.7</v>
      </c>
      <c r="AM14" s="242">
        <f>IFERROR(VLOOKUP($AJ14,HomeBroker!$A$22:$F$115,6,0),0)</f>
        <v>19.899999999999999</v>
      </c>
      <c r="AN14" s="540">
        <f>IFERROR(VLOOKUP($AJ14,HomeBroker!$A$22:$F$115,4,0),0)</f>
        <v>19.899999999999999</v>
      </c>
      <c r="AO14" s="544">
        <f>IFERROR(VLOOKUP($AJ14,HomeBroker!$A$22:$F$115,5,0),0)</f>
        <v>29</v>
      </c>
      <c r="AP14" s="115">
        <f>IFERROR(VLOOKUP($AJ14,HomeBroker!$A$22:$N$115,14,0),0)</f>
        <v>1935</v>
      </c>
      <c r="AQ14" s="62"/>
      <c r="AR14" s="109">
        <f t="shared" si="67"/>
        <v>1583.37</v>
      </c>
      <c r="AS14" s="109">
        <f t="shared" si="68"/>
        <v>-1583.1</v>
      </c>
      <c r="AT14" s="109">
        <f t="shared" si="69"/>
        <v>1603</v>
      </c>
      <c r="AU14" s="62"/>
      <c r="AV14" s="116"/>
      <c r="AW14" s="136" t="s">
        <v>354</v>
      </c>
      <c r="AX14" s="118"/>
      <c r="AY14" s="140"/>
      <c r="AZ14" s="141"/>
      <c r="BA14" s="290">
        <f t="shared" si="10"/>
        <v>0</v>
      </c>
      <c r="BB14" s="291">
        <f t="shared" si="11"/>
        <v>0</v>
      </c>
      <c r="BC14" s="120" t="s">
        <v>408</v>
      </c>
      <c r="BD14" s="118"/>
      <c r="BE14" s="143"/>
      <c r="BF14" s="121"/>
      <c r="BG14" s="293">
        <f t="shared" si="12"/>
        <v>0</v>
      </c>
      <c r="BH14" s="295">
        <f t="shared" si="13"/>
        <v>0</v>
      </c>
      <c r="BI14" s="122" t="s">
        <v>409</v>
      </c>
      <c r="BJ14" s="118"/>
      <c r="BK14" s="121"/>
      <c r="BL14" s="296">
        <f t="shared" si="14"/>
        <v>0</v>
      </c>
      <c r="BM14" s="297">
        <f t="shared" si="15"/>
        <v>0</v>
      </c>
      <c r="DH14" s="123">
        <f t="shared" si="16"/>
        <v>1870.9208562499998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1870.9208562499998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4"/>
      <c r="C15" s="247"/>
      <c r="D15" s="248"/>
      <c r="E15" s="255">
        <f t="shared" si="0"/>
        <v>0</v>
      </c>
      <c r="F15" s="256">
        <f t="shared" si="1"/>
        <v>0</v>
      </c>
      <c r="G15" s="251" t="str">
        <f t="shared" si="57"/>
        <v/>
      </c>
      <c r="H15" s="257">
        <f t="shared" si="58"/>
        <v>0</v>
      </c>
      <c r="I15" s="258">
        <f t="shared" si="2"/>
        <v>0</v>
      </c>
      <c r="J15" s="69"/>
      <c r="K15" s="69"/>
      <c r="L15" s="69"/>
      <c r="M15" s="69"/>
      <c r="N15" s="148">
        <f t="shared" ref="N15:N17" si="72">IFERROR(-1+(O15/$O$18),"")</f>
        <v>-0.142625</v>
      </c>
      <c r="O15" s="284">
        <f t="shared" si="3"/>
        <v>1969.3903749999999</v>
      </c>
      <c r="P15" s="142">
        <f t="shared" si="4"/>
        <v>0</v>
      </c>
      <c r="Q15" s="142">
        <f t="shared" ca="1" si="5"/>
        <v>0</v>
      </c>
      <c r="R15" s="62"/>
      <c r="S15" s="245" t="str">
        <f t="shared" si="71"/>
        <v/>
      </c>
      <c r="T15" s="110">
        <f t="shared" si="70"/>
        <v>0</v>
      </c>
      <c r="U15" s="239"/>
      <c r="V15" s="541">
        <f t="shared" ca="1" si="59"/>
        <v>0</v>
      </c>
      <c r="W15" s="542" t="str">
        <f t="shared" si="60"/>
        <v/>
      </c>
      <c r="X15" s="542" t="str">
        <f t="shared" si="61"/>
        <v/>
      </c>
      <c r="Y15" s="540">
        <f>IFERROR(VLOOKUP($X15,HomeBroker!$A$22:$F$100,2,0),0)</f>
        <v>0</v>
      </c>
      <c r="Z15" s="540">
        <f>IFERROR(VLOOKUP($X15,HomeBroker!$A$22:$F$100,3,0),0)</f>
        <v>0</v>
      </c>
      <c r="AA15" s="242">
        <f>IFERROR(VLOOKUP($X15,HomeBroker!$A$22:$F$100,6,0),0)</f>
        <v>0</v>
      </c>
      <c r="AB15" s="540">
        <f>IFERROR(VLOOKUP($X15,HomeBroker!$A$22:$F$100,4,0),0)</f>
        <v>0</v>
      </c>
      <c r="AC15" s="540">
        <f>IFERROR(VLOOKUP($X15,HomeBroker!$A$22:$F$100,5,0),0)</f>
        <v>0</v>
      </c>
      <c r="AD15" s="292">
        <f>IFERROR(VLOOKUP($X15,HomeBroker!$A$22:$N$100,14,0),0)</f>
        <v>0</v>
      </c>
      <c r="AE15" s="246" t="str">
        <f t="shared" si="62"/>
        <v/>
      </c>
      <c r="AF15" s="110">
        <f t="shared" si="63"/>
        <v>0</v>
      </c>
      <c r="AG15" s="239"/>
      <c r="AH15" s="541">
        <f t="shared" ca="1" si="64"/>
        <v>0</v>
      </c>
      <c r="AI15" s="542" t="str">
        <f t="shared" si="65"/>
        <v/>
      </c>
      <c r="AJ15" s="542" t="str">
        <f t="shared" si="66"/>
        <v/>
      </c>
      <c r="AK15" s="544">
        <f>IFERROR(VLOOKUP($AJ15,HomeBroker!$A$22:$F$100,2,0),0)</f>
        <v>0</v>
      </c>
      <c r="AL15" s="540">
        <f>IFERROR(VLOOKUP($AJ15,HomeBroker!$A$22:$F$100,3,0),0)</f>
        <v>0</v>
      </c>
      <c r="AM15" s="242">
        <f>IFERROR(VLOOKUP($AJ15,HomeBroker!$A$22:$F$100,6,0),0)</f>
        <v>0</v>
      </c>
      <c r="AN15" s="540">
        <f>IFERROR(VLOOKUP($AJ15,HomeBroker!$A$22:$F$100,4,0),0)</f>
        <v>0</v>
      </c>
      <c r="AO15" s="544">
        <f>IFERROR(VLOOKUP($AJ15,HomeBroker!$A$22:$F$100,5,0),0)</f>
        <v>0</v>
      </c>
      <c r="AP15" s="115">
        <f>IFERROR(VLOOKUP($AJ15,HomeBroker!$A$22:$N$100,14,0),0)</f>
        <v>0</v>
      </c>
      <c r="AQ15" s="62"/>
      <c r="AR15" s="109" t="str">
        <f t="shared" si="67"/>
        <v>-</v>
      </c>
      <c r="AS15" s="109" t="str">
        <f t="shared" si="68"/>
        <v>-</v>
      </c>
      <c r="AT15" s="109" t="str">
        <f t="shared" si="69"/>
        <v>-</v>
      </c>
      <c r="AU15" s="62"/>
      <c r="AV15" s="116"/>
      <c r="AW15" s="136" t="s">
        <v>354</v>
      </c>
      <c r="AX15" s="118"/>
      <c r="AY15" s="140"/>
      <c r="AZ15" s="141"/>
      <c r="BA15" s="290">
        <f t="shared" si="10"/>
        <v>0</v>
      </c>
      <c r="BB15" s="291">
        <f t="shared" si="11"/>
        <v>0</v>
      </c>
      <c r="BC15" s="120" t="s">
        <v>408</v>
      </c>
      <c r="BD15" s="118"/>
      <c r="BE15" s="143"/>
      <c r="BF15" s="121"/>
      <c r="BG15" s="293">
        <f t="shared" si="12"/>
        <v>0</v>
      </c>
      <c r="BH15" s="295">
        <f t="shared" si="13"/>
        <v>0</v>
      </c>
      <c r="BI15" s="122" t="s">
        <v>409</v>
      </c>
      <c r="BJ15" s="118"/>
      <c r="BK15" s="121"/>
      <c r="BL15" s="296">
        <f t="shared" si="14"/>
        <v>0</v>
      </c>
      <c r="BM15" s="297">
        <f t="shared" si="15"/>
        <v>0</v>
      </c>
      <c r="DH15" s="123">
        <f t="shared" si="16"/>
        <v>1969.3903749999999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1969.3903749999999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4"/>
      <c r="C16" s="247"/>
      <c r="D16" s="248"/>
      <c r="E16" s="255">
        <f>+B16*D16*-100</f>
        <v>0</v>
      </c>
      <c r="F16" s="256">
        <f>IF(B16&gt;0,+B16*D16*(1+($Q$53+0.002)*1.21)*-100,B16*D16*(1-($Q$53+0.002)*1.21)*-100)</f>
        <v>0</v>
      </c>
      <c r="G16" s="251" t="str">
        <f t="shared" si="57"/>
        <v/>
      </c>
      <c r="H16" s="257">
        <f>IFERROR(+G16*B16*-100,0)</f>
        <v>0</v>
      </c>
      <c r="I16" s="258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>
        <f t="shared" si="72"/>
        <v>-9.7500000000000031E-2</v>
      </c>
      <c r="O16" s="284">
        <f t="shared" si="3"/>
        <v>2073.0425</v>
      </c>
      <c r="P16" s="135">
        <f t="shared" si="4"/>
        <v>0</v>
      </c>
      <c r="Q16" s="135">
        <f t="shared" ca="1" si="5"/>
        <v>0</v>
      </c>
      <c r="R16" s="62"/>
      <c r="S16" s="245" t="str">
        <f t="shared" si="71"/>
        <v/>
      </c>
      <c r="T16" s="110">
        <f t="shared" si="70"/>
        <v>0</v>
      </c>
      <c r="U16" s="239"/>
      <c r="V16" s="541">
        <f t="shared" ca="1" si="59"/>
        <v>0</v>
      </c>
      <c r="W16" s="542" t="str">
        <f t="shared" si="60"/>
        <v/>
      </c>
      <c r="X16" s="542" t="str">
        <f t="shared" si="61"/>
        <v/>
      </c>
      <c r="Y16" s="540">
        <f>IFERROR(VLOOKUP($X16,HomeBroker!$A$22:$F$100,2,0),0)</f>
        <v>0</v>
      </c>
      <c r="Z16" s="540">
        <f>IFERROR(VLOOKUP($X16,HomeBroker!$A$22:$F$100,3,0),0)</f>
        <v>0</v>
      </c>
      <c r="AA16" s="242">
        <f>IFERROR(VLOOKUP($X16,HomeBroker!$A$22:$F$100,6,0),0)</f>
        <v>0</v>
      </c>
      <c r="AB16" s="540">
        <f>IFERROR(VLOOKUP($X16,HomeBroker!$A$22:$F$100,4,0),0)</f>
        <v>0</v>
      </c>
      <c r="AC16" s="540">
        <f>IFERROR(VLOOKUP($X16,HomeBroker!$A$22:$F$100,5,0),0)</f>
        <v>0</v>
      </c>
      <c r="AD16" s="292">
        <f>IFERROR(VLOOKUP($X16,HomeBroker!$A$22:$N$100,14,0),0)</f>
        <v>0</v>
      </c>
      <c r="AE16" s="246" t="str">
        <f t="shared" si="62"/>
        <v/>
      </c>
      <c r="AF16" s="110">
        <f t="shared" si="63"/>
        <v>0</v>
      </c>
      <c r="AG16" s="239"/>
      <c r="AH16" s="541">
        <f t="shared" ca="1" si="64"/>
        <v>0</v>
      </c>
      <c r="AI16" s="542" t="str">
        <f t="shared" si="65"/>
        <v/>
      </c>
      <c r="AJ16" s="542" t="str">
        <f t="shared" si="66"/>
        <v/>
      </c>
      <c r="AK16" s="544">
        <f>IFERROR(VLOOKUP($AJ16,HomeBroker!$A$22:$F$100,2,0),0)</f>
        <v>0</v>
      </c>
      <c r="AL16" s="540">
        <f>IFERROR(VLOOKUP($AJ16,HomeBroker!$A$22:$F$100,3,0),0)</f>
        <v>0</v>
      </c>
      <c r="AM16" s="242">
        <f>IFERROR(VLOOKUP($AJ16,HomeBroker!$A$22:$F$100,6,0),0)</f>
        <v>0</v>
      </c>
      <c r="AN16" s="540">
        <f>IFERROR(VLOOKUP($AJ16,HomeBroker!$A$22:$F$100,4,0),0)</f>
        <v>0</v>
      </c>
      <c r="AO16" s="544">
        <f>IFERROR(VLOOKUP($AJ16,HomeBroker!$A$22:$F$100,5,0),0)</f>
        <v>0</v>
      </c>
      <c r="AP16" s="115">
        <f>IFERROR(VLOOKUP($AJ16,HomeBroker!$A$22:$N$100,14,0),0)</f>
        <v>0</v>
      </c>
      <c r="AQ16" s="62"/>
      <c r="AR16" s="109" t="str">
        <f t="shared" si="67"/>
        <v>-</v>
      </c>
      <c r="AS16" s="109" t="str">
        <f t="shared" si="68"/>
        <v>-</v>
      </c>
      <c r="AT16" s="109" t="str">
        <f t="shared" si="69"/>
        <v>-</v>
      </c>
      <c r="AU16" s="62"/>
      <c r="AV16" s="116"/>
      <c r="AW16" s="136" t="s">
        <v>354</v>
      </c>
      <c r="AX16" s="118"/>
      <c r="AY16" s="140"/>
      <c r="AZ16" s="141"/>
      <c r="BA16" s="290">
        <f t="shared" si="10"/>
        <v>0</v>
      </c>
      <c r="BB16" s="291">
        <f t="shared" si="11"/>
        <v>0</v>
      </c>
      <c r="BC16" s="120" t="s">
        <v>408</v>
      </c>
      <c r="BD16" s="118"/>
      <c r="BE16" s="143"/>
      <c r="BF16" s="121"/>
      <c r="BG16" s="293">
        <f t="shared" si="12"/>
        <v>0</v>
      </c>
      <c r="BH16" s="295">
        <f t="shared" si="13"/>
        <v>0</v>
      </c>
      <c r="BI16" s="122" t="s">
        <v>409</v>
      </c>
      <c r="BJ16" s="118"/>
      <c r="BK16" s="121"/>
      <c r="BL16" s="296">
        <f t="shared" si="14"/>
        <v>0</v>
      </c>
      <c r="BM16" s="297">
        <f t="shared" si="15"/>
        <v>0</v>
      </c>
      <c r="DH16" s="123">
        <f t="shared" si="16"/>
        <v>2073.0425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2073.0425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59"/>
      <c r="C17" s="247"/>
      <c r="D17" s="248"/>
      <c r="E17" s="255">
        <f>+B17*D17*-100</f>
        <v>0</v>
      </c>
      <c r="F17" s="256">
        <f>IF(B17&gt;0,+B17*D17*(1+($Q$53+0.002)*1.21)*-100,B17*D17*(1-($Q$53+0.002)*1.21)*-100)</f>
        <v>0</v>
      </c>
      <c r="G17" s="251" t="str">
        <f t="shared" si="57"/>
        <v/>
      </c>
      <c r="H17" s="257">
        <f>IFERROR(+G17*B17*-100,0)</f>
        <v>0</v>
      </c>
      <c r="I17" s="258">
        <f t="shared" si="2"/>
        <v>0</v>
      </c>
      <c r="J17" s="69"/>
      <c r="K17" s="69"/>
      <c r="L17" s="69"/>
      <c r="M17" s="69"/>
      <c r="N17" s="148">
        <f t="shared" si="72"/>
        <v>-4.9999999999999933E-2</v>
      </c>
      <c r="O17" s="284">
        <f t="shared" si="3"/>
        <v>2182.15</v>
      </c>
      <c r="P17" s="135">
        <f t="shared" si="4"/>
        <v>0</v>
      </c>
      <c r="Q17" s="135">
        <f t="shared" ca="1" si="5"/>
        <v>0</v>
      </c>
      <c r="R17" s="62"/>
      <c r="S17" s="245" t="str">
        <f t="shared" si="71"/>
        <v/>
      </c>
      <c r="T17" s="110">
        <f t="shared" si="70"/>
        <v>0</v>
      </c>
      <c r="U17" s="239"/>
      <c r="V17" s="541">
        <f t="shared" ca="1" si="59"/>
        <v>0</v>
      </c>
      <c r="W17" s="542" t="str">
        <f t="shared" si="60"/>
        <v/>
      </c>
      <c r="X17" s="542" t="str">
        <f t="shared" si="61"/>
        <v/>
      </c>
      <c r="Y17" s="540">
        <f>IFERROR(VLOOKUP($X17,HomeBroker!$A$22:$F$100,2,0),0)</f>
        <v>0</v>
      </c>
      <c r="Z17" s="540">
        <f>IFERROR(VLOOKUP($X17,HomeBroker!$A$22:$F$100,3,0),0)</f>
        <v>0</v>
      </c>
      <c r="AA17" s="242">
        <f>IFERROR(VLOOKUP($X17,HomeBroker!$A$22:$F$100,6,0),0)</f>
        <v>0</v>
      </c>
      <c r="AB17" s="540">
        <f>IFERROR(VLOOKUP($X17,HomeBroker!$A$22:$F$100,4,0),0)</f>
        <v>0</v>
      </c>
      <c r="AC17" s="540">
        <f>IFERROR(VLOOKUP($X17,HomeBroker!$A$22:$F$100,5,0),0)</f>
        <v>0</v>
      </c>
      <c r="AD17" s="292">
        <f>IFERROR(VLOOKUP($X17,HomeBroker!$A$22:$N$100,14,0),0)</f>
        <v>0</v>
      </c>
      <c r="AE17" s="246" t="str">
        <f t="shared" si="62"/>
        <v/>
      </c>
      <c r="AF17" s="110">
        <f t="shared" si="63"/>
        <v>0</v>
      </c>
      <c r="AG17" s="239"/>
      <c r="AH17" s="541">
        <f t="shared" ca="1" si="64"/>
        <v>0</v>
      </c>
      <c r="AI17" s="542" t="str">
        <f t="shared" si="65"/>
        <v/>
      </c>
      <c r="AJ17" s="542" t="str">
        <f t="shared" si="66"/>
        <v/>
      </c>
      <c r="AK17" s="544">
        <f>IFERROR(VLOOKUP($AJ17,HomeBroker!$A$22:$F$100,2,0),0)</f>
        <v>0</v>
      </c>
      <c r="AL17" s="540">
        <f>IFERROR(VLOOKUP($AJ17,HomeBroker!$A$22:$F$100,3,0),0)</f>
        <v>0</v>
      </c>
      <c r="AM17" s="242">
        <f>IFERROR(VLOOKUP($AJ17,HomeBroker!$A$22:$F$100,6,0),0)</f>
        <v>0</v>
      </c>
      <c r="AN17" s="540">
        <f>IFERROR(VLOOKUP($AJ17,HomeBroker!$A$22:$F$100,4,0),0)</f>
        <v>0</v>
      </c>
      <c r="AO17" s="544">
        <f>IFERROR(VLOOKUP($AJ17,HomeBroker!$A$22:$F$100,5,0),0)</f>
        <v>0</v>
      </c>
      <c r="AP17" s="115">
        <f>IFERROR(VLOOKUP($AJ17,HomeBroker!$A$22:$N$100,14,0),0)</f>
        <v>0</v>
      </c>
      <c r="AQ17" s="62"/>
      <c r="AR17" s="109" t="str">
        <f t="shared" si="67"/>
        <v>-</v>
      </c>
      <c r="AS17" s="109" t="str">
        <f t="shared" si="68"/>
        <v>-</v>
      </c>
      <c r="AT17" s="109" t="str">
        <f t="shared" si="69"/>
        <v>-</v>
      </c>
      <c r="AU17" s="62"/>
      <c r="AV17" s="116"/>
      <c r="AW17" s="136" t="s">
        <v>354</v>
      </c>
      <c r="AX17" s="118"/>
      <c r="AY17" s="140"/>
      <c r="AZ17" s="141"/>
      <c r="BA17" s="290">
        <f t="shared" si="10"/>
        <v>0</v>
      </c>
      <c r="BB17" s="291">
        <f t="shared" si="11"/>
        <v>0</v>
      </c>
      <c r="BC17" s="120" t="s">
        <v>408</v>
      </c>
      <c r="BD17" s="118"/>
      <c r="BE17" s="143"/>
      <c r="BF17" s="121"/>
      <c r="BG17" s="293">
        <f t="shared" si="12"/>
        <v>0</v>
      </c>
      <c r="BH17" s="295">
        <f t="shared" si="13"/>
        <v>0</v>
      </c>
      <c r="BI17" s="122" t="s">
        <v>409</v>
      </c>
      <c r="BJ17" s="118"/>
      <c r="BK17" s="121"/>
      <c r="BL17" s="296">
        <f t="shared" si="14"/>
        <v>0</v>
      </c>
      <c r="BM17" s="297">
        <f t="shared" si="15"/>
        <v>0</v>
      </c>
      <c r="DH17" s="123">
        <f t="shared" si="16"/>
        <v>2182.15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2182.15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4"/>
      <c r="C18" s="247"/>
      <c r="D18" s="248"/>
      <c r="E18" s="255">
        <f>+B18*D18*-100</f>
        <v>0</v>
      </c>
      <c r="F18" s="256">
        <f>IF(B18&gt;0,+B18*D18*(1+($Q$53+0.002)*1.21)*-100,B18*D18*(1-($Q$53+0.002)*1.21)*-100)</f>
        <v>0</v>
      </c>
      <c r="G18" s="251" t="str">
        <f t="shared" si="57"/>
        <v/>
      </c>
      <c r="H18" s="257">
        <f>IFERROR(+G18*B18*-100,0)</f>
        <v>0</v>
      </c>
      <c r="I18" s="258">
        <f t="shared" si="2"/>
        <v>0</v>
      </c>
      <c r="J18" s="69"/>
      <c r="K18" s="69"/>
      <c r="L18" s="69"/>
      <c r="M18" s="69"/>
      <c r="N18" s="150">
        <v>0</v>
      </c>
      <c r="O18" s="285">
        <f>IF($Q$45&lt;&gt;"",$Q$45,$B$76)</f>
        <v>2297</v>
      </c>
      <c r="P18" s="142">
        <f t="shared" si="4"/>
        <v>0</v>
      </c>
      <c r="Q18" s="142">
        <f t="shared" ca="1" si="5"/>
        <v>0</v>
      </c>
      <c r="R18" s="62"/>
      <c r="S18" s="245" t="str">
        <f t="shared" si="71"/>
        <v/>
      </c>
      <c r="T18" s="110">
        <f t="shared" ref="T18:T42" si="73">SUMIFS(AX:AX,AY:AY,U18)</f>
        <v>0</v>
      </c>
      <c r="U18" s="239"/>
      <c r="V18" s="541">
        <f t="shared" ca="1" si="59"/>
        <v>0</v>
      </c>
      <c r="W18" s="542" t="str">
        <f t="shared" si="60"/>
        <v/>
      </c>
      <c r="X18" s="542" t="str">
        <f t="shared" si="61"/>
        <v/>
      </c>
      <c r="Y18" s="540">
        <f>IFERROR(VLOOKUP($X18,HomeBroker!$A$22:$F$100,2,0),0)</f>
        <v>0</v>
      </c>
      <c r="Z18" s="540">
        <f>IFERROR(VLOOKUP($X18,HomeBroker!$A$22:$F$100,3,0),0)</f>
        <v>0</v>
      </c>
      <c r="AA18" s="242">
        <f>IFERROR(VLOOKUP($X18,HomeBroker!$A$22:$F$100,6,0),0)</f>
        <v>0</v>
      </c>
      <c r="AB18" s="540">
        <f>IFERROR(VLOOKUP($X18,HomeBroker!$A$22:$F$100,4,0),0)</f>
        <v>0</v>
      </c>
      <c r="AC18" s="540">
        <f>IFERROR(VLOOKUP($X18,HomeBroker!$A$22:$F$100,5,0),0)</f>
        <v>0</v>
      </c>
      <c r="AD18" s="292">
        <f>IFERROR(VLOOKUP($X18,HomeBroker!$A$22:$N$100,14,0),0)</f>
        <v>0</v>
      </c>
      <c r="AE18" s="246" t="str">
        <f t="shared" si="62"/>
        <v/>
      </c>
      <c r="AF18" s="110">
        <f t="shared" ref="AF18:AF42" si="74">SUMIFS(BD:BD,BE:BE,AG18)</f>
        <v>0</v>
      </c>
      <c r="AG18" s="239"/>
      <c r="AH18" s="541">
        <f t="shared" ca="1" si="64"/>
        <v>0</v>
      </c>
      <c r="AI18" s="542" t="str">
        <f t="shared" si="65"/>
        <v/>
      </c>
      <c r="AJ18" s="542" t="str">
        <f t="shared" si="66"/>
        <v/>
      </c>
      <c r="AK18" s="544">
        <f>IFERROR(VLOOKUP($AJ18,HomeBroker!$A$22:$F$100,2,0),0)</f>
        <v>0</v>
      </c>
      <c r="AL18" s="540">
        <f>IFERROR(VLOOKUP($AJ18,HomeBroker!$A$22:$F$100,3,0),0)</f>
        <v>0</v>
      </c>
      <c r="AM18" s="242">
        <f>IFERROR(VLOOKUP($AJ18,HomeBroker!$A$22:$F$100,6,0),0)</f>
        <v>0</v>
      </c>
      <c r="AN18" s="540">
        <f>IFERROR(VLOOKUP($AJ18,HomeBroker!$A$22:$F$100,4,0),0)</f>
        <v>0</v>
      </c>
      <c r="AO18" s="544">
        <f>IFERROR(VLOOKUP($AJ18,HomeBroker!$A$22:$F$100,5,0),0)</f>
        <v>0</v>
      </c>
      <c r="AP18" s="115">
        <f>IFERROR(VLOOKUP($AJ18,HomeBroker!$A$22:$N$100,14,0),0)</f>
        <v>0</v>
      </c>
      <c r="AQ18" s="62"/>
      <c r="AR18" s="109" t="str">
        <f t="shared" si="67"/>
        <v>-</v>
      </c>
      <c r="AS18" s="109" t="str">
        <f t="shared" si="68"/>
        <v>-</v>
      </c>
      <c r="AT18" s="109" t="str">
        <f t="shared" si="69"/>
        <v>-</v>
      </c>
      <c r="AU18" s="62"/>
      <c r="AV18" s="116"/>
      <c r="AW18" s="136" t="s">
        <v>354</v>
      </c>
      <c r="AX18" s="118"/>
      <c r="AY18" s="140"/>
      <c r="AZ18" s="141"/>
      <c r="BA18" s="290">
        <f t="shared" si="10"/>
        <v>0</v>
      </c>
      <c r="BB18" s="291">
        <f t="shared" si="11"/>
        <v>0</v>
      </c>
      <c r="BC18" s="120" t="s">
        <v>408</v>
      </c>
      <c r="BD18" s="118"/>
      <c r="BE18" s="143"/>
      <c r="BF18" s="121"/>
      <c r="BG18" s="293">
        <f t="shared" si="12"/>
        <v>0</v>
      </c>
      <c r="BH18" s="295">
        <f t="shared" si="13"/>
        <v>0</v>
      </c>
      <c r="BI18" s="122" t="s">
        <v>409</v>
      </c>
      <c r="BJ18" s="118"/>
      <c r="BK18" s="121"/>
      <c r="BL18" s="296">
        <f t="shared" si="14"/>
        <v>0</v>
      </c>
      <c r="BM18" s="297">
        <f t="shared" si="15"/>
        <v>0</v>
      </c>
      <c r="DH18" s="123">
        <f t="shared" si="16"/>
        <v>2297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2297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4"/>
      <c r="C19" s="247"/>
      <c r="D19" s="248"/>
      <c r="E19" s="255">
        <f t="shared" si="0"/>
        <v>0</v>
      </c>
      <c r="F19" s="256">
        <f t="shared" si="1"/>
        <v>0</v>
      </c>
      <c r="G19" s="251" t="str">
        <f t="shared" si="57"/>
        <v/>
      </c>
      <c r="H19" s="257">
        <f t="shared" si="58"/>
        <v>0</v>
      </c>
      <c r="I19" s="258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>
        <f>IFERROR(+O19/$O$18-1,"")</f>
        <v>5.0000000000000044E-2</v>
      </c>
      <c r="O19" s="284">
        <f t="shared" ref="O19:O34" si="75">+O18*(1+$Q$42)</f>
        <v>2411.85</v>
      </c>
      <c r="P19" s="135">
        <f t="shared" si="4"/>
        <v>0</v>
      </c>
      <c r="Q19" s="135">
        <f t="shared" ca="1" si="5"/>
        <v>0</v>
      </c>
      <c r="R19" s="62"/>
      <c r="S19" s="245" t="str">
        <f t="shared" si="71"/>
        <v/>
      </c>
      <c r="T19" s="110">
        <f t="shared" si="73"/>
        <v>0</v>
      </c>
      <c r="U19" s="239"/>
      <c r="V19" s="541">
        <f t="shared" ca="1" si="59"/>
        <v>0</v>
      </c>
      <c r="W19" s="542" t="str">
        <f t="shared" si="60"/>
        <v/>
      </c>
      <c r="X19" s="542" t="str">
        <f t="shared" si="61"/>
        <v/>
      </c>
      <c r="Y19" s="540">
        <f>IFERROR(VLOOKUP($X19,HomeBroker!$A$22:$F$100,2,0),0)</f>
        <v>0</v>
      </c>
      <c r="Z19" s="540">
        <f>IFERROR(VLOOKUP($X19,HomeBroker!$A$22:$F$100,3,0),0)</f>
        <v>0</v>
      </c>
      <c r="AA19" s="242">
        <f>IFERROR(VLOOKUP($X19,HomeBroker!$A$22:$F$100,6,0),0)</f>
        <v>0</v>
      </c>
      <c r="AB19" s="540">
        <f>IFERROR(VLOOKUP($X19,HomeBroker!$A$22:$F$100,4,0),0)</f>
        <v>0</v>
      </c>
      <c r="AC19" s="540">
        <f>IFERROR(VLOOKUP($X19,HomeBroker!$A$22:$F$100,5,0),0)</f>
        <v>0</v>
      </c>
      <c r="AD19" s="292">
        <f>IFERROR(VLOOKUP($X19,HomeBroker!$A$22:$N$100,14,0),0)</f>
        <v>0</v>
      </c>
      <c r="AE19" s="246" t="str">
        <f t="shared" si="62"/>
        <v/>
      </c>
      <c r="AF19" s="110">
        <f t="shared" si="74"/>
        <v>0</v>
      </c>
      <c r="AG19" s="239"/>
      <c r="AH19" s="541">
        <f t="shared" ca="1" si="64"/>
        <v>0</v>
      </c>
      <c r="AI19" s="542" t="str">
        <f t="shared" si="65"/>
        <v/>
      </c>
      <c r="AJ19" s="542" t="str">
        <f t="shared" si="66"/>
        <v/>
      </c>
      <c r="AK19" s="544">
        <f>IFERROR(VLOOKUP($AJ19,HomeBroker!$A$22:$F$100,2,0),0)</f>
        <v>0</v>
      </c>
      <c r="AL19" s="540">
        <f>IFERROR(VLOOKUP($AJ19,HomeBroker!$A$22:$F$100,3,0),0)</f>
        <v>0</v>
      </c>
      <c r="AM19" s="242">
        <f>IFERROR(VLOOKUP($AJ19,HomeBroker!$A$22:$F$100,6,0),0)</f>
        <v>0</v>
      </c>
      <c r="AN19" s="540">
        <f>IFERROR(VLOOKUP($AJ19,HomeBroker!$A$22:$F$100,4,0),0)</f>
        <v>0</v>
      </c>
      <c r="AO19" s="544">
        <f>IFERROR(VLOOKUP($AJ19,HomeBroker!$A$22:$F$100,5,0),0)</f>
        <v>0</v>
      </c>
      <c r="AP19" s="115">
        <f>IFERROR(VLOOKUP($AJ19,HomeBroker!$A$22:$N$100,14,0),0)</f>
        <v>0</v>
      </c>
      <c r="AQ19" s="62"/>
      <c r="AR19" s="109" t="str">
        <f t="shared" si="67"/>
        <v>-</v>
      </c>
      <c r="AS19" s="109" t="str">
        <f t="shared" si="68"/>
        <v>-</v>
      </c>
      <c r="AT19" s="109" t="str">
        <f t="shared" si="69"/>
        <v>-</v>
      </c>
      <c r="AU19" s="62"/>
      <c r="AV19" s="116"/>
      <c r="AW19" s="136" t="s">
        <v>354</v>
      </c>
      <c r="AX19" s="118"/>
      <c r="AY19" s="140"/>
      <c r="AZ19" s="141"/>
      <c r="BA19" s="290">
        <f t="shared" si="10"/>
        <v>0</v>
      </c>
      <c r="BB19" s="291">
        <f t="shared" si="11"/>
        <v>0</v>
      </c>
      <c r="BC19" s="120" t="s">
        <v>408</v>
      </c>
      <c r="BD19" s="118"/>
      <c r="BE19" s="143"/>
      <c r="BF19" s="121"/>
      <c r="BG19" s="293">
        <f t="shared" si="12"/>
        <v>0</v>
      </c>
      <c r="BH19" s="295">
        <f t="shared" si="13"/>
        <v>0</v>
      </c>
      <c r="BI19" s="122" t="s">
        <v>409</v>
      </c>
      <c r="BJ19" s="118"/>
      <c r="BK19" s="121"/>
      <c r="BL19" s="296">
        <f t="shared" si="14"/>
        <v>0</v>
      </c>
      <c r="BM19" s="297">
        <f t="shared" si="15"/>
        <v>0</v>
      </c>
      <c r="DH19" s="123">
        <f t="shared" si="16"/>
        <v>2411.85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2411.85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4"/>
      <c r="C20" s="247"/>
      <c r="D20" s="248"/>
      <c r="E20" s="255">
        <f t="shared" si="0"/>
        <v>0</v>
      </c>
      <c r="F20" s="256">
        <f t="shared" si="1"/>
        <v>0</v>
      </c>
      <c r="G20" s="251" t="str">
        <f t="shared" si="57"/>
        <v/>
      </c>
      <c r="H20" s="257">
        <f t="shared" si="58"/>
        <v>0</v>
      </c>
      <c r="I20" s="258">
        <f t="shared" si="2"/>
        <v>0</v>
      </c>
      <c r="J20" s="69"/>
      <c r="K20" s="69"/>
      <c r="L20" s="69"/>
      <c r="M20" s="69"/>
      <c r="N20" s="148">
        <f t="shared" ref="N20:N23" si="76">IFERROR(+O20/$O$18-1,"")</f>
        <v>0.10250000000000004</v>
      </c>
      <c r="O20" s="284">
        <f t="shared" si="75"/>
        <v>2532.4425000000001</v>
      </c>
      <c r="P20" s="135">
        <f t="shared" si="4"/>
        <v>0</v>
      </c>
      <c r="Q20" s="135">
        <f t="shared" ca="1" si="5"/>
        <v>0</v>
      </c>
      <c r="R20" s="62"/>
      <c r="S20" s="245" t="str">
        <f t="shared" si="71"/>
        <v/>
      </c>
      <c r="T20" s="110">
        <f t="shared" si="73"/>
        <v>0</v>
      </c>
      <c r="U20" s="239"/>
      <c r="V20" s="541">
        <f t="shared" ca="1" si="59"/>
        <v>0</v>
      </c>
      <c r="W20" s="542" t="str">
        <f t="shared" si="60"/>
        <v/>
      </c>
      <c r="X20" s="542" t="str">
        <f t="shared" si="61"/>
        <v/>
      </c>
      <c r="Y20" s="540">
        <f>IFERROR(VLOOKUP($X20,HomeBroker!$A$22:$F$100,2,0),0)</f>
        <v>0</v>
      </c>
      <c r="Z20" s="540">
        <f>IFERROR(VLOOKUP($X20,HomeBroker!$A$22:$F$100,3,0),0)</f>
        <v>0</v>
      </c>
      <c r="AA20" s="242">
        <f>IFERROR(VLOOKUP($X20,HomeBroker!$A$22:$F$100,6,0),0)</f>
        <v>0</v>
      </c>
      <c r="AB20" s="540">
        <f>IFERROR(VLOOKUP($X20,HomeBroker!$A$22:$F$100,4,0),0)</f>
        <v>0</v>
      </c>
      <c r="AC20" s="540">
        <f>IFERROR(VLOOKUP($X20,HomeBroker!$A$22:$F$100,5,0),0)</f>
        <v>0</v>
      </c>
      <c r="AD20" s="292">
        <f>IFERROR(VLOOKUP($X20,HomeBroker!$A$22:$N$100,14,0),0)</f>
        <v>0</v>
      </c>
      <c r="AE20" s="246" t="str">
        <f t="shared" si="62"/>
        <v/>
      </c>
      <c r="AF20" s="110">
        <f t="shared" si="74"/>
        <v>0</v>
      </c>
      <c r="AG20" s="239"/>
      <c r="AH20" s="541">
        <f t="shared" ca="1" si="64"/>
        <v>0</v>
      </c>
      <c r="AI20" s="542" t="str">
        <f t="shared" si="65"/>
        <v/>
      </c>
      <c r="AJ20" s="542" t="str">
        <f t="shared" si="66"/>
        <v/>
      </c>
      <c r="AK20" s="544">
        <f>IFERROR(VLOOKUP($AJ20,HomeBroker!$A$22:$F$100,2,0),0)</f>
        <v>0</v>
      </c>
      <c r="AL20" s="540">
        <f>IFERROR(VLOOKUP($AJ20,HomeBroker!$A$22:$F$100,3,0),0)</f>
        <v>0</v>
      </c>
      <c r="AM20" s="242">
        <f>IFERROR(VLOOKUP($AJ20,HomeBroker!$A$22:$F$100,6,0),0)</f>
        <v>0</v>
      </c>
      <c r="AN20" s="540">
        <f>IFERROR(VLOOKUP($AJ20,HomeBroker!$A$22:$F$100,4,0),0)</f>
        <v>0</v>
      </c>
      <c r="AO20" s="544">
        <f>IFERROR(VLOOKUP($AJ20,HomeBroker!$A$22:$F$100,5,0),0)</f>
        <v>0</v>
      </c>
      <c r="AP20" s="115">
        <f>IFERROR(VLOOKUP($AJ20,HomeBroker!$A$22:$N$100,14,0),0)</f>
        <v>0</v>
      </c>
      <c r="AQ20" s="62"/>
      <c r="AR20" s="109" t="str">
        <f t="shared" si="67"/>
        <v>-</v>
      </c>
      <c r="AS20" s="109" t="str">
        <f t="shared" si="68"/>
        <v>-</v>
      </c>
      <c r="AT20" s="109" t="str">
        <f t="shared" si="69"/>
        <v>-</v>
      </c>
      <c r="AU20" s="62"/>
      <c r="AV20" s="116"/>
      <c r="AW20" s="136" t="s">
        <v>354</v>
      </c>
      <c r="AX20" s="118"/>
      <c r="AY20" s="140"/>
      <c r="AZ20" s="141"/>
      <c r="BA20" s="290">
        <f t="shared" si="10"/>
        <v>0</v>
      </c>
      <c r="BB20" s="291">
        <f t="shared" si="11"/>
        <v>0</v>
      </c>
      <c r="BC20" s="120" t="s">
        <v>408</v>
      </c>
      <c r="BD20" s="118"/>
      <c r="BE20" s="143"/>
      <c r="BF20" s="121"/>
      <c r="BG20" s="293">
        <f t="shared" si="12"/>
        <v>0</v>
      </c>
      <c r="BH20" s="295">
        <f t="shared" si="13"/>
        <v>0</v>
      </c>
      <c r="BI20" s="122" t="s">
        <v>409</v>
      </c>
      <c r="BJ20" s="118"/>
      <c r="BK20" s="121"/>
      <c r="BL20" s="296">
        <f t="shared" si="14"/>
        <v>0</v>
      </c>
      <c r="BM20" s="297">
        <f t="shared" si="15"/>
        <v>0</v>
      </c>
      <c r="DH20" s="123">
        <f t="shared" si="16"/>
        <v>2532.4425000000001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2532.4425000000001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4"/>
      <c r="C21" s="247"/>
      <c r="D21" s="248"/>
      <c r="E21" s="255">
        <f t="shared" si="0"/>
        <v>0</v>
      </c>
      <c r="F21" s="256">
        <f t="shared" si="1"/>
        <v>0</v>
      </c>
      <c r="G21" s="251" t="str">
        <f t="shared" si="57"/>
        <v/>
      </c>
      <c r="H21" s="257">
        <f t="shared" si="58"/>
        <v>0</v>
      </c>
      <c r="I21" s="258">
        <f t="shared" si="2"/>
        <v>0</v>
      </c>
      <c r="J21" s="69"/>
      <c r="K21" s="69"/>
      <c r="L21" s="69"/>
      <c r="M21" s="69"/>
      <c r="N21" s="148">
        <f t="shared" si="76"/>
        <v>0.15762500000000013</v>
      </c>
      <c r="O21" s="284">
        <f t="shared" si="75"/>
        <v>2659.0646250000004</v>
      </c>
      <c r="P21" s="142">
        <f t="shared" si="4"/>
        <v>0</v>
      </c>
      <c r="Q21" s="142">
        <f t="shared" ca="1" si="5"/>
        <v>0</v>
      </c>
      <c r="R21" s="62"/>
      <c r="S21" s="245" t="str">
        <f t="shared" si="71"/>
        <v/>
      </c>
      <c r="T21" s="110">
        <f t="shared" si="73"/>
        <v>0</v>
      </c>
      <c r="U21" s="239"/>
      <c r="V21" s="541">
        <f t="shared" ca="1" si="59"/>
        <v>0</v>
      </c>
      <c r="W21" s="542" t="str">
        <f t="shared" si="60"/>
        <v/>
      </c>
      <c r="X21" s="542" t="str">
        <f t="shared" si="61"/>
        <v/>
      </c>
      <c r="Y21" s="540">
        <f>IFERROR(VLOOKUP($X21,HomeBroker!$A$22:$F$100,2,0),0)</f>
        <v>0</v>
      </c>
      <c r="Z21" s="540">
        <f>IFERROR(VLOOKUP($X21,HomeBroker!$A$22:$F$100,3,0),0)</f>
        <v>0</v>
      </c>
      <c r="AA21" s="242">
        <f>IFERROR(VLOOKUP($X21,HomeBroker!$A$22:$F$100,6,0),0)</f>
        <v>0</v>
      </c>
      <c r="AB21" s="540">
        <f>IFERROR(VLOOKUP($X21,HomeBroker!$A$22:$F$100,4,0),0)</f>
        <v>0</v>
      </c>
      <c r="AC21" s="540">
        <f>IFERROR(VLOOKUP($X21,HomeBroker!$A$22:$F$100,5,0),0)</f>
        <v>0</v>
      </c>
      <c r="AD21" s="292">
        <f>IFERROR(VLOOKUP($X21,HomeBroker!$A$22:$N$100,14,0),0)</f>
        <v>0</v>
      </c>
      <c r="AE21" s="246" t="str">
        <f t="shared" si="62"/>
        <v/>
      </c>
      <c r="AF21" s="110">
        <f t="shared" si="74"/>
        <v>0</v>
      </c>
      <c r="AG21" s="239"/>
      <c r="AH21" s="541">
        <f t="shared" ca="1" si="64"/>
        <v>0</v>
      </c>
      <c r="AI21" s="542" t="str">
        <f t="shared" si="65"/>
        <v/>
      </c>
      <c r="AJ21" s="542" t="str">
        <f t="shared" si="66"/>
        <v/>
      </c>
      <c r="AK21" s="544">
        <f>IFERROR(VLOOKUP($AJ21,HomeBroker!$A$22:$F$100,2,0),0)</f>
        <v>0</v>
      </c>
      <c r="AL21" s="540">
        <f>IFERROR(VLOOKUP($AJ21,HomeBroker!$A$22:$F$100,3,0),0)</f>
        <v>0</v>
      </c>
      <c r="AM21" s="242">
        <f>IFERROR(VLOOKUP($AJ21,HomeBroker!$A$22:$F$100,6,0),0)</f>
        <v>0</v>
      </c>
      <c r="AN21" s="540">
        <f>IFERROR(VLOOKUP($AJ21,HomeBroker!$A$22:$F$100,4,0),0)</f>
        <v>0</v>
      </c>
      <c r="AO21" s="544">
        <f>IFERROR(VLOOKUP($AJ21,HomeBroker!$A$22:$F$100,5,0),0)</f>
        <v>0</v>
      </c>
      <c r="AP21" s="115">
        <f>IFERROR(VLOOKUP($AJ21,HomeBroker!$A$22:$N$100,14,0),0)</f>
        <v>0</v>
      </c>
      <c r="AQ21" s="62"/>
      <c r="AR21" s="109" t="str">
        <f t="shared" si="67"/>
        <v>-</v>
      </c>
      <c r="AS21" s="109" t="str">
        <f t="shared" si="68"/>
        <v>-</v>
      </c>
      <c r="AT21" s="109" t="str">
        <f t="shared" si="69"/>
        <v>-</v>
      </c>
      <c r="AU21" s="62"/>
      <c r="AV21" s="116"/>
      <c r="AW21" s="136" t="s">
        <v>354</v>
      </c>
      <c r="AX21" s="118"/>
      <c r="AY21" s="140"/>
      <c r="AZ21" s="141"/>
      <c r="BA21" s="290">
        <f t="shared" si="10"/>
        <v>0</v>
      </c>
      <c r="BB21" s="291">
        <f t="shared" si="11"/>
        <v>0</v>
      </c>
      <c r="BC21" s="120" t="s">
        <v>408</v>
      </c>
      <c r="BD21" s="118"/>
      <c r="BE21" s="143"/>
      <c r="BF21" s="121"/>
      <c r="BG21" s="293">
        <f t="shared" si="12"/>
        <v>0</v>
      </c>
      <c r="BH21" s="295">
        <f t="shared" si="13"/>
        <v>0</v>
      </c>
      <c r="BI21" s="122" t="s">
        <v>409</v>
      </c>
      <c r="BJ21" s="118"/>
      <c r="BK21" s="121"/>
      <c r="BL21" s="296">
        <f t="shared" si="14"/>
        <v>0</v>
      </c>
      <c r="BM21" s="297">
        <f t="shared" si="15"/>
        <v>0</v>
      </c>
      <c r="DH21" s="123">
        <f t="shared" si="16"/>
        <v>2659.0646250000004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2659.0646250000004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4"/>
      <c r="C22" s="247"/>
      <c r="D22" s="248"/>
      <c r="E22" s="255">
        <f t="shared" si="0"/>
        <v>0</v>
      </c>
      <c r="F22" s="256">
        <f t="shared" si="1"/>
        <v>0</v>
      </c>
      <c r="G22" s="251" t="str">
        <f t="shared" si="57"/>
        <v/>
      </c>
      <c r="H22" s="257">
        <f t="shared" si="58"/>
        <v>0</v>
      </c>
      <c r="I22" s="258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>
        <f t="shared" si="76"/>
        <v>0.21550625000000023</v>
      </c>
      <c r="O22" s="284">
        <f t="shared" si="75"/>
        <v>2792.0178562500005</v>
      </c>
      <c r="P22" s="135">
        <f t="shared" si="4"/>
        <v>0</v>
      </c>
      <c r="Q22" s="135">
        <f t="shared" ca="1" si="5"/>
        <v>0</v>
      </c>
      <c r="R22" s="62"/>
      <c r="S22" s="245" t="str">
        <f t="shared" si="71"/>
        <v/>
      </c>
      <c r="T22" s="110">
        <f t="shared" si="73"/>
        <v>0</v>
      </c>
      <c r="U22" s="239"/>
      <c r="V22" s="541">
        <f t="shared" ca="1" si="59"/>
        <v>0</v>
      </c>
      <c r="W22" s="542" t="str">
        <f t="shared" si="60"/>
        <v/>
      </c>
      <c r="X22" s="542" t="str">
        <f t="shared" si="61"/>
        <v/>
      </c>
      <c r="Y22" s="540">
        <f>IFERROR(VLOOKUP($X22,HomeBroker!$A$22:$F$100,2,0),0)</f>
        <v>0</v>
      </c>
      <c r="Z22" s="540">
        <f>IFERROR(VLOOKUP($X22,HomeBroker!$A$22:$F$100,3,0),0)</f>
        <v>0</v>
      </c>
      <c r="AA22" s="242">
        <f>IFERROR(VLOOKUP($X22,HomeBroker!$A$22:$F$100,6,0),0)</f>
        <v>0</v>
      </c>
      <c r="AB22" s="540">
        <f>IFERROR(VLOOKUP($X22,HomeBroker!$A$22:$F$100,4,0),0)</f>
        <v>0</v>
      </c>
      <c r="AC22" s="540">
        <f>IFERROR(VLOOKUP($X22,HomeBroker!$A$22:$F$100,5,0),0)</f>
        <v>0</v>
      </c>
      <c r="AD22" s="292">
        <f>IFERROR(VLOOKUP($X22,HomeBroker!$A$22:$N$100,14,0),0)</f>
        <v>0</v>
      </c>
      <c r="AE22" s="246" t="str">
        <f t="shared" si="62"/>
        <v/>
      </c>
      <c r="AF22" s="110">
        <f t="shared" si="74"/>
        <v>0</v>
      </c>
      <c r="AG22" s="239"/>
      <c r="AH22" s="541">
        <f t="shared" ca="1" si="64"/>
        <v>0</v>
      </c>
      <c r="AI22" s="542" t="str">
        <f t="shared" si="65"/>
        <v/>
      </c>
      <c r="AJ22" s="542" t="str">
        <f t="shared" si="66"/>
        <v/>
      </c>
      <c r="AK22" s="544">
        <f>IFERROR(VLOOKUP($AJ22,HomeBroker!$A$22:$F$100,2,0),0)</f>
        <v>0</v>
      </c>
      <c r="AL22" s="540">
        <f>IFERROR(VLOOKUP($AJ22,HomeBroker!$A$22:$F$100,3,0),0)</f>
        <v>0</v>
      </c>
      <c r="AM22" s="242">
        <f>IFERROR(VLOOKUP($AJ22,HomeBroker!$A$22:$F$100,6,0),0)</f>
        <v>0</v>
      </c>
      <c r="AN22" s="540">
        <f>IFERROR(VLOOKUP($AJ22,HomeBroker!$A$22:$F$100,4,0),0)</f>
        <v>0</v>
      </c>
      <c r="AO22" s="544">
        <f>IFERROR(VLOOKUP($AJ22,HomeBroker!$A$22:$F$100,5,0),0)</f>
        <v>0</v>
      </c>
      <c r="AP22" s="115">
        <f>IFERROR(VLOOKUP($AJ22,HomeBroker!$A$22:$N$100,14,0),0)</f>
        <v>0</v>
      </c>
      <c r="AQ22" s="62"/>
      <c r="AR22" s="109" t="str">
        <f t="shared" si="67"/>
        <v>-</v>
      </c>
      <c r="AS22" s="109" t="str">
        <f t="shared" si="68"/>
        <v>-</v>
      </c>
      <c r="AT22" s="109" t="str">
        <f t="shared" si="69"/>
        <v>-</v>
      </c>
      <c r="AU22" s="62"/>
      <c r="AV22" s="116"/>
      <c r="AW22" s="136" t="s">
        <v>354</v>
      </c>
      <c r="AX22" s="118"/>
      <c r="AY22" s="140"/>
      <c r="AZ22" s="141"/>
      <c r="BA22" s="290">
        <f t="shared" si="10"/>
        <v>0</v>
      </c>
      <c r="BB22" s="291">
        <f t="shared" si="11"/>
        <v>0</v>
      </c>
      <c r="BC22" s="120" t="s">
        <v>408</v>
      </c>
      <c r="BD22" s="118"/>
      <c r="BE22" s="143"/>
      <c r="BF22" s="121"/>
      <c r="BG22" s="293">
        <f t="shared" si="12"/>
        <v>0</v>
      </c>
      <c r="BH22" s="295">
        <f t="shared" si="13"/>
        <v>0</v>
      </c>
      <c r="BI22" s="122" t="s">
        <v>409</v>
      </c>
      <c r="BJ22" s="118"/>
      <c r="BK22" s="121"/>
      <c r="BL22" s="296">
        <f t="shared" si="14"/>
        <v>0</v>
      </c>
      <c r="BM22" s="297">
        <f t="shared" si="15"/>
        <v>0</v>
      </c>
      <c r="DH22" s="123">
        <f t="shared" si="16"/>
        <v>2792.0178562500005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2792.0178562500005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4"/>
      <c r="C23" s="247"/>
      <c r="D23" s="248"/>
      <c r="E23" s="255">
        <f t="shared" si="0"/>
        <v>0</v>
      </c>
      <c r="F23" s="256">
        <f t="shared" si="1"/>
        <v>0</v>
      </c>
      <c r="G23" s="251" t="str">
        <f t="shared" si="57"/>
        <v/>
      </c>
      <c r="H23" s="257">
        <f t="shared" si="58"/>
        <v>0</v>
      </c>
      <c r="I23" s="258">
        <f t="shared" si="2"/>
        <v>0</v>
      </c>
      <c r="J23" s="69"/>
      <c r="K23" s="69"/>
      <c r="L23" s="69"/>
      <c r="M23" s="69"/>
      <c r="N23" s="148">
        <f t="shared" si="76"/>
        <v>0.27628156250000035</v>
      </c>
      <c r="O23" s="284">
        <f t="shared" si="75"/>
        <v>2931.6187490625007</v>
      </c>
      <c r="P23" s="135">
        <f t="shared" si="4"/>
        <v>0</v>
      </c>
      <c r="Q23" s="135">
        <f t="shared" ca="1" si="5"/>
        <v>0</v>
      </c>
      <c r="R23" s="62"/>
      <c r="S23" s="245" t="str">
        <f t="shared" si="71"/>
        <v/>
      </c>
      <c r="T23" s="110">
        <f t="shared" si="73"/>
        <v>0</v>
      </c>
      <c r="U23" s="239"/>
      <c r="V23" s="541">
        <f t="shared" ca="1" si="59"/>
        <v>0</v>
      </c>
      <c r="W23" s="542" t="str">
        <f t="shared" si="60"/>
        <v/>
      </c>
      <c r="X23" s="542" t="str">
        <f t="shared" si="61"/>
        <v/>
      </c>
      <c r="Y23" s="540">
        <f>IFERROR(VLOOKUP($X23,HomeBroker!$A$22:$F$100,2,0),0)</f>
        <v>0</v>
      </c>
      <c r="Z23" s="540">
        <f>IFERROR(VLOOKUP($X23,HomeBroker!$A$22:$F$100,3,0),0)</f>
        <v>0</v>
      </c>
      <c r="AA23" s="242">
        <f>IFERROR(VLOOKUP($X23,HomeBroker!$A$22:$F$100,6,0),0)</f>
        <v>0</v>
      </c>
      <c r="AB23" s="540">
        <f>IFERROR(VLOOKUP($X23,HomeBroker!$A$22:$F$100,4,0),0)</f>
        <v>0</v>
      </c>
      <c r="AC23" s="540">
        <f>IFERROR(VLOOKUP($X23,HomeBroker!$A$22:$F$100,5,0),0)</f>
        <v>0</v>
      </c>
      <c r="AD23" s="292">
        <f>IFERROR(VLOOKUP($X23,HomeBroker!$A$22:$N$100,14,0),0)</f>
        <v>0</v>
      </c>
      <c r="AE23" s="246" t="str">
        <f t="shared" si="62"/>
        <v/>
      </c>
      <c r="AF23" s="110">
        <f t="shared" si="74"/>
        <v>0</v>
      </c>
      <c r="AG23" s="239"/>
      <c r="AH23" s="541">
        <f t="shared" ca="1" si="64"/>
        <v>0</v>
      </c>
      <c r="AI23" s="542" t="str">
        <f t="shared" si="65"/>
        <v/>
      </c>
      <c r="AJ23" s="542" t="str">
        <f t="shared" si="66"/>
        <v/>
      </c>
      <c r="AK23" s="544">
        <f>IFERROR(VLOOKUP($AJ23,HomeBroker!$A$22:$F$100,2,0),0)</f>
        <v>0</v>
      </c>
      <c r="AL23" s="540">
        <f>IFERROR(VLOOKUP($AJ23,HomeBroker!$A$22:$F$100,3,0),0)</f>
        <v>0</v>
      </c>
      <c r="AM23" s="242">
        <f>IFERROR(VLOOKUP($AJ23,HomeBroker!$A$22:$F$100,6,0),0)</f>
        <v>0</v>
      </c>
      <c r="AN23" s="540">
        <f>IFERROR(VLOOKUP($AJ23,HomeBroker!$A$22:$F$100,4,0),0)</f>
        <v>0</v>
      </c>
      <c r="AO23" s="544">
        <f>IFERROR(VLOOKUP($AJ23,HomeBroker!$A$22:$F$100,5,0),0)</f>
        <v>0</v>
      </c>
      <c r="AP23" s="115">
        <f>IFERROR(VLOOKUP($AJ23,HomeBroker!$A$22:$N$100,14,0),0)</f>
        <v>0</v>
      </c>
      <c r="AQ23" s="62"/>
      <c r="AR23" s="109" t="str">
        <f t="shared" si="67"/>
        <v>-</v>
      </c>
      <c r="AS23" s="109" t="str">
        <f t="shared" si="68"/>
        <v>-</v>
      </c>
      <c r="AT23" s="109" t="str">
        <f t="shared" si="69"/>
        <v>-</v>
      </c>
      <c r="AU23" s="62"/>
      <c r="AV23" s="116"/>
      <c r="AW23" s="136" t="s">
        <v>354</v>
      </c>
      <c r="AX23" s="118"/>
      <c r="AY23" s="140"/>
      <c r="AZ23" s="141"/>
      <c r="BA23" s="290">
        <f t="shared" si="10"/>
        <v>0</v>
      </c>
      <c r="BB23" s="291">
        <f t="shared" si="11"/>
        <v>0</v>
      </c>
      <c r="BC23" s="120" t="s">
        <v>408</v>
      </c>
      <c r="BD23" s="118"/>
      <c r="BE23" s="143"/>
      <c r="BF23" s="121"/>
      <c r="BG23" s="293">
        <f t="shared" si="12"/>
        <v>0</v>
      </c>
      <c r="BH23" s="295">
        <f t="shared" si="13"/>
        <v>0</v>
      </c>
      <c r="BI23" s="122" t="s">
        <v>409</v>
      </c>
      <c r="BJ23" s="118"/>
      <c r="BK23" s="121"/>
      <c r="BL23" s="296">
        <f t="shared" si="14"/>
        <v>0</v>
      </c>
      <c r="BM23" s="297">
        <f t="shared" si="15"/>
        <v>0</v>
      </c>
      <c r="DH23" s="123">
        <f t="shared" si="16"/>
        <v>2931.6187490625007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2931.6187490625007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4"/>
      <c r="C24" s="247"/>
      <c r="D24" s="248"/>
      <c r="E24" s="255">
        <f t="shared" si="0"/>
        <v>0</v>
      </c>
      <c r="F24" s="256">
        <f t="shared" si="1"/>
        <v>0</v>
      </c>
      <c r="G24" s="251" t="str">
        <f t="shared" si="57"/>
        <v/>
      </c>
      <c r="H24" s="257">
        <f t="shared" si="58"/>
        <v>0</v>
      </c>
      <c r="I24" s="258">
        <f t="shared" si="2"/>
        <v>0</v>
      </c>
      <c r="J24" s="69"/>
      <c r="K24" s="69"/>
      <c r="L24" s="69"/>
      <c r="M24" s="69"/>
      <c r="N24" s="145">
        <f>IFERROR(+O24/$O$18-1,"")</f>
        <v>0.3400956406250002</v>
      </c>
      <c r="O24" s="283">
        <f t="shared" si="75"/>
        <v>3078.1996865156257</v>
      </c>
      <c r="P24" s="142">
        <f t="shared" si="4"/>
        <v>0</v>
      </c>
      <c r="Q24" s="142">
        <f t="shared" ca="1" si="5"/>
        <v>0</v>
      </c>
      <c r="R24" s="62"/>
      <c r="S24" s="245" t="str">
        <f t="shared" si="71"/>
        <v/>
      </c>
      <c r="T24" s="110">
        <f t="shared" si="73"/>
        <v>0</v>
      </c>
      <c r="U24" s="239"/>
      <c r="V24" s="541">
        <f t="shared" ca="1" si="59"/>
        <v>0</v>
      </c>
      <c r="W24" s="542" t="str">
        <f t="shared" si="60"/>
        <v/>
      </c>
      <c r="X24" s="542" t="str">
        <f t="shared" si="61"/>
        <v/>
      </c>
      <c r="Y24" s="540">
        <f>IFERROR(VLOOKUP($X24,HomeBroker!$A$22:$F$100,2,0),0)</f>
        <v>0</v>
      </c>
      <c r="Z24" s="540">
        <f>IFERROR(VLOOKUP($X24,HomeBroker!$A$22:$F$100,3,0),0)</f>
        <v>0</v>
      </c>
      <c r="AA24" s="242">
        <f>IFERROR(VLOOKUP($X24,HomeBroker!$A$22:$F$100,6,0),0)</f>
        <v>0</v>
      </c>
      <c r="AB24" s="540">
        <f>IFERROR(VLOOKUP($X24,HomeBroker!$A$22:$F$100,4,0),0)</f>
        <v>0</v>
      </c>
      <c r="AC24" s="540">
        <f>IFERROR(VLOOKUP($X24,HomeBroker!$A$22:$F$100,5,0),0)</f>
        <v>0</v>
      </c>
      <c r="AD24" s="292">
        <f>IFERROR(VLOOKUP($X24,HomeBroker!$A$22:$N$100,14,0),0)</f>
        <v>0</v>
      </c>
      <c r="AE24" s="246" t="str">
        <f t="shared" si="62"/>
        <v/>
      </c>
      <c r="AF24" s="110">
        <f t="shared" si="74"/>
        <v>0</v>
      </c>
      <c r="AG24" s="239"/>
      <c r="AH24" s="541">
        <f t="shared" ca="1" si="64"/>
        <v>0</v>
      </c>
      <c r="AI24" s="542" t="str">
        <f t="shared" si="65"/>
        <v/>
      </c>
      <c r="AJ24" s="542" t="str">
        <f t="shared" si="66"/>
        <v/>
      </c>
      <c r="AK24" s="544">
        <f>IFERROR(VLOOKUP($AJ24,HomeBroker!$A$22:$F$100,2,0),0)</f>
        <v>0</v>
      </c>
      <c r="AL24" s="540">
        <f>IFERROR(VLOOKUP($AJ24,HomeBroker!$A$22:$F$100,3,0),0)</f>
        <v>0</v>
      </c>
      <c r="AM24" s="242">
        <f>IFERROR(VLOOKUP($AJ24,HomeBroker!$A$22:$F$100,6,0),0)</f>
        <v>0</v>
      </c>
      <c r="AN24" s="540">
        <f>IFERROR(VLOOKUP($AJ24,HomeBroker!$A$22:$F$100,4,0),0)</f>
        <v>0</v>
      </c>
      <c r="AO24" s="544">
        <f>IFERROR(VLOOKUP($AJ24,HomeBroker!$A$22:$F$100,5,0),0)</f>
        <v>0</v>
      </c>
      <c r="AP24" s="115">
        <f>IFERROR(VLOOKUP($AJ24,HomeBroker!$A$22:$N$100,14,0),0)</f>
        <v>0</v>
      </c>
      <c r="AQ24" s="62"/>
      <c r="AR24" s="109" t="str">
        <f t="shared" si="67"/>
        <v>-</v>
      </c>
      <c r="AS24" s="109" t="str">
        <f t="shared" si="68"/>
        <v>-</v>
      </c>
      <c r="AT24" s="109" t="str">
        <f t="shared" si="69"/>
        <v>-</v>
      </c>
      <c r="AU24" s="62"/>
      <c r="AV24" s="116"/>
      <c r="AW24" s="136" t="s">
        <v>354</v>
      </c>
      <c r="AX24" s="118"/>
      <c r="AY24" s="140"/>
      <c r="AZ24" s="141"/>
      <c r="BA24" s="290">
        <f t="shared" si="10"/>
        <v>0</v>
      </c>
      <c r="BB24" s="291">
        <f t="shared" si="11"/>
        <v>0</v>
      </c>
      <c r="BC24" s="120" t="s">
        <v>408</v>
      </c>
      <c r="BD24" s="118"/>
      <c r="BE24" s="143"/>
      <c r="BF24" s="121"/>
      <c r="BG24" s="293">
        <f t="shared" si="12"/>
        <v>0</v>
      </c>
      <c r="BH24" s="295">
        <f t="shared" si="13"/>
        <v>0</v>
      </c>
      <c r="BI24" s="122" t="s">
        <v>409</v>
      </c>
      <c r="BJ24" s="118"/>
      <c r="BK24" s="121"/>
      <c r="BL24" s="296">
        <f t="shared" si="14"/>
        <v>0</v>
      </c>
      <c r="BM24" s="297">
        <f t="shared" si="15"/>
        <v>0</v>
      </c>
      <c r="DH24" s="123">
        <f t="shared" si="16"/>
        <v>3078.1996865156257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3078.1996865156257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4"/>
      <c r="C25" s="247"/>
      <c r="D25" s="248"/>
      <c r="E25" s="255">
        <f t="shared" si="0"/>
        <v>0</v>
      </c>
      <c r="F25" s="256">
        <f t="shared" si="1"/>
        <v>0</v>
      </c>
      <c r="G25" s="251" t="str">
        <f t="shared" si="57"/>
        <v/>
      </c>
      <c r="H25" s="257">
        <f t="shared" si="58"/>
        <v>0</v>
      </c>
      <c r="I25" s="258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3">
        <f t="shared" si="75"/>
        <v>3232.109670841407</v>
      </c>
      <c r="P25" s="135">
        <f t="shared" si="4"/>
        <v>0</v>
      </c>
      <c r="Q25" s="135">
        <f t="shared" ca="1" si="5"/>
        <v>0</v>
      </c>
      <c r="R25" s="62"/>
      <c r="S25" s="245" t="str">
        <f t="shared" si="71"/>
        <v/>
      </c>
      <c r="T25" s="110">
        <f t="shared" si="73"/>
        <v>0</v>
      </c>
      <c r="U25" s="239"/>
      <c r="V25" s="541">
        <f t="shared" ca="1" si="59"/>
        <v>0</v>
      </c>
      <c r="W25" s="542" t="str">
        <f t="shared" si="60"/>
        <v/>
      </c>
      <c r="X25" s="542" t="str">
        <f t="shared" si="61"/>
        <v/>
      </c>
      <c r="Y25" s="540">
        <f>IFERROR(VLOOKUP($X25,HomeBroker!$A$22:$F$100,2,0),0)</f>
        <v>0</v>
      </c>
      <c r="Z25" s="540">
        <f>IFERROR(VLOOKUP($X25,HomeBroker!$A$22:$F$100,3,0),0)</f>
        <v>0</v>
      </c>
      <c r="AA25" s="242">
        <f>IFERROR(VLOOKUP($X25,HomeBroker!$A$22:$F$100,6,0),0)</f>
        <v>0</v>
      </c>
      <c r="AB25" s="540">
        <f>IFERROR(VLOOKUP($X25,HomeBroker!$A$22:$F$100,4,0),0)</f>
        <v>0</v>
      </c>
      <c r="AC25" s="540">
        <f>IFERROR(VLOOKUP($X25,HomeBroker!$A$22:$F$100,5,0),0)</f>
        <v>0</v>
      </c>
      <c r="AD25" s="292">
        <f>IFERROR(VLOOKUP($X25,HomeBroker!$A$22:$N$100,14,0),0)</f>
        <v>0</v>
      </c>
      <c r="AE25" s="246" t="str">
        <f t="shared" si="62"/>
        <v/>
      </c>
      <c r="AF25" s="110">
        <f t="shared" si="74"/>
        <v>0</v>
      </c>
      <c r="AG25" s="239"/>
      <c r="AH25" s="541">
        <f t="shared" ca="1" si="64"/>
        <v>0</v>
      </c>
      <c r="AI25" s="542" t="str">
        <f t="shared" si="65"/>
        <v/>
      </c>
      <c r="AJ25" s="542" t="str">
        <f t="shared" si="66"/>
        <v/>
      </c>
      <c r="AK25" s="544">
        <f>IFERROR(VLOOKUP($AJ25,HomeBroker!$A$22:$F$100,2,0),0)</f>
        <v>0</v>
      </c>
      <c r="AL25" s="540">
        <f>IFERROR(VLOOKUP($AJ25,HomeBroker!$A$22:$F$100,3,0),0)</f>
        <v>0</v>
      </c>
      <c r="AM25" s="242">
        <f>IFERROR(VLOOKUP($AJ25,HomeBroker!$A$22:$F$100,6,0),0)</f>
        <v>0</v>
      </c>
      <c r="AN25" s="540">
        <f>IFERROR(VLOOKUP($AJ25,HomeBroker!$A$22:$F$100,4,0),0)</f>
        <v>0</v>
      </c>
      <c r="AO25" s="544">
        <f>IFERROR(VLOOKUP($AJ25,HomeBroker!$A$22:$F$100,5,0),0)</f>
        <v>0</v>
      </c>
      <c r="AP25" s="115">
        <f>IFERROR(VLOOKUP($AJ25,HomeBroker!$A$22:$N$100,14,0),0)</f>
        <v>0</v>
      </c>
      <c r="AQ25" s="62"/>
      <c r="AR25" s="109" t="str">
        <f t="shared" si="67"/>
        <v>-</v>
      </c>
      <c r="AS25" s="109" t="str">
        <f t="shared" si="68"/>
        <v>-</v>
      </c>
      <c r="AT25" s="109" t="str">
        <f t="shared" si="69"/>
        <v>-</v>
      </c>
      <c r="AU25" s="62"/>
      <c r="AV25" s="116"/>
      <c r="AW25" s="136" t="s">
        <v>354</v>
      </c>
      <c r="AX25" s="118"/>
      <c r="AY25" s="140"/>
      <c r="AZ25" s="141"/>
      <c r="BA25" s="290">
        <f t="shared" si="10"/>
        <v>0</v>
      </c>
      <c r="BB25" s="291">
        <f t="shared" si="11"/>
        <v>0</v>
      </c>
      <c r="BC25" s="120" t="s">
        <v>408</v>
      </c>
      <c r="BD25" s="118"/>
      <c r="BE25" s="143"/>
      <c r="BF25" s="121"/>
      <c r="BG25" s="293">
        <f t="shared" si="12"/>
        <v>0</v>
      </c>
      <c r="BH25" s="295">
        <f t="shared" si="13"/>
        <v>0</v>
      </c>
      <c r="BI25" s="122" t="s">
        <v>409</v>
      </c>
      <c r="BJ25" s="118"/>
      <c r="BK25" s="121"/>
      <c r="BL25" s="296">
        <f t="shared" si="14"/>
        <v>0</v>
      </c>
      <c r="BM25" s="297">
        <f t="shared" si="15"/>
        <v>0</v>
      </c>
      <c r="DH25" s="123">
        <f t="shared" si="16"/>
        <v>3232.109670841407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3232.109670841407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4"/>
      <c r="C26" s="247"/>
      <c r="D26" s="248"/>
      <c r="E26" s="255">
        <f t="shared" si="0"/>
        <v>0</v>
      </c>
      <c r="F26" s="256">
        <f t="shared" si="1"/>
        <v>0</v>
      </c>
      <c r="G26" s="251" t="str">
        <f t="shared" si="57"/>
        <v/>
      </c>
      <c r="H26" s="257">
        <f t="shared" si="58"/>
        <v>0</v>
      </c>
      <c r="I26" s="258">
        <f t="shared" si="2"/>
        <v>0</v>
      </c>
      <c r="J26" s="69"/>
      <c r="K26" s="69"/>
      <c r="L26" s="69"/>
      <c r="M26" s="69"/>
      <c r="N26" s="146"/>
      <c r="O26" s="283">
        <f t="shared" si="75"/>
        <v>3393.7151543834775</v>
      </c>
      <c r="P26" s="135">
        <f t="shared" si="4"/>
        <v>0</v>
      </c>
      <c r="Q26" s="135">
        <f t="shared" ca="1" si="5"/>
        <v>0</v>
      </c>
      <c r="R26" s="62"/>
      <c r="S26" s="245" t="str">
        <f t="shared" si="71"/>
        <v/>
      </c>
      <c r="T26" s="110">
        <f t="shared" si="73"/>
        <v>0</v>
      </c>
      <c r="U26" s="239"/>
      <c r="V26" s="541">
        <f t="shared" ca="1" si="59"/>
        <v>0</v>
      </c>
      <c r="W26" s="542" t="str">
        <f t="shared" si="60"/>
        <v/>
      </c>
      <c r="X26" s="542" t="str">
        <f t="shared" si="61"/>
        <v/>
      </c>
      <c r="Y26" s="540">
        <f>IFERROR(VLOOKUP($X26,HomeBroker!$A$22:$F$100,2,0),0)</f>
        <v>0</v>
      </c>
      <c r="Z26" s="540">
        <f>IFERROR(VLOOKUP($X26,HomeBroker!$A$22:$F$100,3,0),0)</f>
        <v>0</v>
      </c>
      <c r="AA26" s="242">
        <f>IFERROR(VLOOKUP($X26,HomeBroker!$A$22:$F$100,6,0),0)</f>
        <v>0</v>
      </c>
      <c r="AB26" s="540">
        <f>IFERROR(VLOOKUP($X26,HomeBroker!$A$22:$F$100,4,0),0)</f>
        <v>0</v>
      </c>
      <c r="AC26" s="540">
        <f>IFERROR(VLOOKUP($X26,HomeBroker!$A$22:$F$100,5,0),0)</f>
        <v>0</v>
      </c>
      <c r="AD26" s="292">
        <f>IFERROR(VLOOKUP($X26,HomeBroker!$A$22:$N$100,14,0),0)</f>
        <v>0</v>
      </c>
      <c r="AE26" s="246" t="str">
        <f t="shared" si="62"/>
        <v/>
      </c>
      <c r="AF26" s="110">
        <f t="shared" si="74"/>
        <v>0</v>
      </c>
      <c r="AG26" s="239"/>
      <c r="AH26" s="541">
        <f t="shared" ca="1" si="64"/>
        <v>0</v>
      </c>
      <c r="AI26" s="542" t="str">
        <f t="shared" si="65"/>
        <v/>
      </c>
      <c r="AJ26" s="542" t="str">
        <f t="shared" si="66"/>
        <v/>
      </c>
      <c r="AK26" s="544">
        <f>IFERROR(VLOOKUP($AJ26,HomeBroker!$A$22:$F$100,2,0),0)</f>
        <v>0</v>
      </c>
      <c r="AL26" s="540">
        <f>IFERROR(VLOOKUP($AJ26,HomeBroker!$A$22:$F$100,3,0),0)</f>
        <v>0</v>
      </c>
      <c r="AM26" s="242">
        <f>IFERROR(VLOOKUP($AJ26,HomeBroker!$A$22:$F$100,6,0),0)</f>
        <v>0</v>
      </c>
      <c r="AN26" s="540">
        <f>IFERROR(VLOOKUP($AJ26,HomeBroker!$A$22:$F$100,4,0),0)</f>
        <v>0</v>
      </c>
      <c r="AO26" s="544">
        <f>IFERROR(VLOOKUP($AJ26,HomeBroker!$A$22:$F$100,5,0),0)</f>
        <v>0</v>
      </c>
      <c r="AP26" s="115">
        <f>IFERROR(VLOOKUP($AJ26,HomeBroker!$A$22:$N$100,14,0),0)</f>
        <v>0</v>
      </c>
      <c r="AQ26" s="62"/>
      <c r="AR26" s="109" t="str">
        <f t="shared" si="67"/>
        <v>-</v>
      </c>
      <c r="AS26" s="109" t="str">
        <f t="shared" si="68"/>
        <v>-</v>
      </c>
      <c r="AT26" s="109" t="str">
        <f t="shared" si="69"/>
        <v>-</v>
      </c>
      <c r="AU26" s="62"/>
      <c r="AV26" s="116"/>
      <c r="AW26" s="136" t="s">
        <v>354</v>
      </c>
      <c r="AX26" s="118"/>
      <c r="AY26" s="140"/>
      <c r="AZ26" s="141"/>
      <c r="BA26" s="290">
        <f t="shared" si="10"/>
        <v>0</v>
      </c>
      <c r="BB26" s="291">
        <f t="shared" si="11"/>
        <v>0</v>
      </c>
      <c r="BC26" s="120" t="s">
        <v>408</v>
      </c>
      <c r="BD26" s="118"/>
      <c r="BE26" s="143"/>
      <c r="BF26" s="121"/>
      <c r="BG26" s="293">
        <f t="shared" si="12"/>
        <v>0</v>
      </c>
      <c r="BH26" s="295">
        <f t="shared" si="13"/>
        <v>0</v>
      </c>
      <c r="BI26" s="122" t="s">
        <v>409</v>
      </c>
      <c r="BJ26" s="118"/>
      <c r="BK26" s="121"/>
      <c r="BL26" s="296">
        <f t="shared" si="14"/>
        <v>0</v>
      </c>
      <c r="BM26" s="297">
        <f t="shared" si="15"/>
        <v>0</v>
      </c>
      <c r="DH26" s="123">
        <f t="shared" si="16"/>
        <v>3393.7151543834775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3393.7151543834775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0"/>
      <c r="C27" s="247"/>
      <c r="D27" s="248"/>
      <c r="E27" s="255">
        <f t="shared" si="0"/>
        <v>0</v>
      </c>
      <c r="F27" s="256">
        <f t="shared" si="1"/>
        <v>0</v>
      </c>
      <c r="G27" s="251" t="str">
        <f t="shared" si="57"/>
        <v/>
      </c>
      <c r="H27" s="257">
        <f t="shared" si="58"/>
        <v>0</v>
      </c>
      <c r="I27" s="258">
        <f t="shared" si="2"/>
        <v>0</v>
      </c>
      <c r="J27" s="69"/>
      <c r="K27" s="69"/>
      <c r="L27" s="69"/>
      <c r="M27" s="69"/>
      <c r="N27" s="146"/>
      <c r="O27" s="283">
        <f t="shared" si="75"/>
        <v>3563.4009121026515</v>
      </c>
      <c r="P27" s="142">
        <f t="shared" si="4"/>
        <v>0</v>
      </c>
      <c r="Q27" s="142">
        <f t="shared" ca="1" si="5"/>
        <v>0</v>
      </c>
      <c r="R27" s="62"/>
      <c r="S27" s="245" t="str">
        <f t="shared" si="71"/>
        <v/>
      </c>
      <c r="T27" s="110">
        <f t="shared" si="73"/>
        <v>0</v>
      </c>
      <c r="U27" s="111"/>
      <c r="V27" s="112">
        <f t="shared" ca="1" si="59"/>
        <v>0</v>
      </c>
      <c r="W27" s="113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113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241">
        <f>IFERROR(VLOOKUP($X27,HomeBroker!$A$22:$F$100,2,0),0)</f>
        <v>0</v>
      </c>
      <c r="Z27" s="241">
        <f>IFERROR(VLOOKUP($X27,HomeBroker!$A$22:$F$100,3,0),0)</f>
        <v>0</v>
      </c>
      <c r="AA27" s="242">
        <f>IFERROR(VLOOKUP($X27,HomeBroker!$A$22:$F$100,6,0),0)</f>
        <v>0</v>
      </c>
      <c r="AB27" s="241">
        <f>IFERROR(VLOOKUP($X27,HomeBroker!$A$22:$F$100,4,0),0)</f>
        <v>0</v>
      </c>
      <c r="AC27" s="241">
        <f>IFERROR(VLOOKUP($X27,HomeBroker!$A$22:$F$100,5,0),0)</f>
        <v>0</v>
      </c>
      <c r="AD27" s="292">
        <f>IFERROR(VLOOKUP($X27,HomeBroker!$A$22:$N$100,14,0),0)</f>
        <v>0</v>
      </c>
      <c r="AE27" s="246" t="str">
        <f t="shared" si="62"/>
        <v/>
      </c>
      <c r="AF27" s="110">
        <f t="shared" si="74"/>
        <v>0</v>
      </c>
      <c r="AG27" s="149"/>
      <c r="AH27" s="112">
        <f t="shared" ca="1" si="64"/>
        <v>0</v>
      </c>
      <c r="AI27" s="113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113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114">
        <f>IFERROR(VLOOKUP($AJ27,HomeBroker!$A$22:$F$100,2,0),0)</f>
        <v>0</v>
      </c>
      <c r="AL27" s="241">
        <f>IFERROR(VLOOKUP($AJ27,HomeBroker!$A$22:$F$100,3,0),0)</f>
        <v>0</v>
      </c>
      <c r="AM27" s="242">
        <f>IFERROR(VLOOKUP($AJ27,HomeBroker!$A$22:$F$100,6,0),0)</f>
        <v>0</v>
      </c>
      <c r="AN27" s="241">
        <f>IFERROR(VLOOKUP($AJ27,HomeBroker!$A$22:$F$100,4,0),0)</f>
        <v>0</v>
      </c>
      <c r="AO27" s="114">
        <f>IFERROR(VLOOKUP($AJ27,HomeBroker!$A$22:$F$100,5,0),0)</f>
        <v>0</v>
      </c>
      <c r="AP27" s="115">
        <f>IFERROR(VLOOKUP($AJ27,HomeBroker!$A$22:$N$100,14,0),0)</f>
        <v>0</v>
      </c>
      <c r="AQ27" s="62"/>
      <c r="AR27" s="109" t="str">
        <f t="shared" si="67"/>
        <v>-</v>
      </c>
      <c r="AS27" s="109" t="str">
        <f t="shared" si="68"/>
        <v>-</v>
      </c>
      <c r="AT27" s="109" t="str">
        <f t="shared" si="69"/>
        <v>-</v>
      </c>
      <c r="AU27" s="62"/>
      <c r="AV27" s="116"/>
      <c r="AW27" s="136" t="s">
        <v>354</v>
      </c>
      <c r="AX27" s="118"/>
      <c r="AY27" s="140"/>
      <c r="AZ27" s="141"/>
      <c r="BA27" s="290">
        <f t="shared" si="10"/>
        <v>0</v>
      </c>
      <c r="BB27" s="291">
        <f t="shared" si="11"/>
        <v>0</v>
      </c>
      <c r="BC27" s="120" t="s">
        <v>408</v>
      </c>
      <c r="BD27" s="118"/>
      <c r="BE27" s="143"/>
      <c r="BF27" s="121"/>
      <c r="BG27" s="293">
        <f t="shared" si="12"/>
        <v>0</v>
      </c>
      <c r="BH27" s="295">
        <f t="shared" si="13"/>
        <v>0</v>
      </c>
      <c r="BI27" s="122" t="s">
        <v>409</v>
      </c>
      <c r="BJ27" s="118"/>
      <c r="BK27" s="121"/>
      <c r="BL27" s="296">
        <f t="shared" si="14"/>
        <v>0</v>
      </c>
      <c r="BM27" s="297">
        <f t="shared" si="15"/>
        <v>0</v>
      </c>
      <c r="DH27" s="123">
        <f t="shared" si="16"/>
        <v>3563.4009121026515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3563.4009121026515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4"/>
      <c r="C28" s="247"/>
      <c r="D28" s="248"/>
      <c r="E28" s="255">
        <f t="shared" si="0"/>
        <v>0</v>
      </c>
      <c r="F28" s="256">
        <f t="shared" si="1"/>
        <v>0</v>
      </c>
      <c r="G28" s="251" t="str">
        <f t="shared" si="57"/>
        <v/>
      </c>
      <c r="H28" s="257">
        <f t="shared" si="58"/>
        <v>0</v>
      </c>
      <c r="I28" s="258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3">
        <f t="shared" si="75"/>
        <v>3741.5709577077841</v>
      </c>
      <c r="P28" s="135">
        <f t="shared" si="4"/>
        <v>0</v>
      </c>
      <c r="Q28" s="135">
        <f t="shared" ca="1" si="5"/>
        <v>0</v>
      </c>
      <c r="R28" s="62"/>
      <c r="S28" s="245" t="str">
        <f t="shared" si="71"/>
        <v/>
      </c>
      <c r="T28" s="110">
        <f t="shared" si="73"/>
        <v>0</v>
      </c>
      <c r="U28" s="111"/>
      <c r="V28" s="112">
        <f t="shared" ca="1" si="59"/>
        <v>0</v>
      </c>
      <c r="W28" s="113" t="str">
        <f t="shared" si="77"/>
        <v/>
      </c>
      <c r="X28" s="113" t="str">
        <f t="shared" si="78"/>
        <v/>
      </c>
      <c r="Y28" s="241">
        <f>IFERROR(VLOOKUP($X28,HomeBroker!$A$22:$F$100,2,0),0)</f>
        <v>0</v>
      </c>
      <c r="Z28" s="241">
        <f>IFERROR(VLOOKUP($X28,HomeBroker!$A$22:$F$100,3,0),0)</f>
        <v>0</v>
      </c>
      <c r="AA28" s="242">
        <f>IFERROR(VLOOKUP($X28,HomeBroker!$A$22:$F$100,6,0),0)</f>
        <v>0</v>
      </c>
      <c r="AB28" s="241">
        <f>IFERROR(VLOOKUP($X28,HomeBroker!$A$22:$F$100,4,0),0)</f>
        <v>0</v>
      </c>
      <c r="AC28" s="241">
        <f>IFERROR(VLOOKUP($X28,HomeBroker!$A$22:$F$100,5,0),0)</f>
        <v>0</v>
      </c>
      <c r="AD28" s="292">
        <f>IFERROR(VLOOKUP($X28,HomeBroker!$A$22:$N$100,14,0),0)</f>
        <v>0</v>
      </c>
      <c r="AE28" s="246" t="str">
        <f t="shared" si="62"/>
        <v/>
      </c>
      <c r="AF28" s="110">
        <f t="shared" si="74"/>
        <v>0</v>
      </c>
      <c r="AG28" s="149"/>
      <c r="AH28" s="112">
        <f t="shared" ca="1" si="64"/>
        <v>0</v>
      </c>
      <c r="AI28" s="113" t="str">
        <f t="shared" si="79"/>
        <v/>
      </c>
      <c r="AJ28" s="113" t="str">
        <f t="shared" si="80"/>
        <v/>
      </c>
      <c r="AK28" s="114">
        <f>IFERROR(VLOOKUP($AJ28,HomeBroker!$A$22:$F$100,2,0),0)</f>
        <v>0</v>
      </c>
      <c r="AL28" s="241">
        <f>IFERROR(VLOOKUP($AJ28,HomeBroker!$A$22:$F$100,3,0),0)</f>
        <v>0</v>
      </c>
      <c r="AM28" s="242">
        <f>IFERROR(VLOOKUP($AJ28,HomeBroker!$A$22:$F$100,6,0),0)</f>
        <v>0</v>
      </c>
      <c r="AN28" s="241">
        <f>IFERROR(VLOOKUP($AJ28,HomeBroker!$A$22:$F$100,4,0),0)</f>
        <v>0</v>
      </c>
      <c r="AO28" s="114">
        <f>IFERROR(VLOOKUP($AJ28,HomeBroker!$A$22:$F$100,5,0),0)</f>
        <v>0</v>
      </c>
      <c r="AP28" s="115">
        <f>IFERROR(VLOOKUP($AJ28,HomeBroker!$A$22:$N$100,14,0),0)</f>
        <v>0</v>
      </c>
      <c r="AQ28" s="62"/>
      <c r="AR28" s="109" t="str">
        <f t="shared" si="67"/>
        <v>-</v>
      </c>
      <c r="AS28" s="109" t="str">
        <f t="shared" si="68"/>
        <v>-</v>
      </c>
      <c r="AT28" s="109" t="str">
        <f t="shared" si="69"/>
        <v>-</v>
      </c>
      <c r="AU28" s="62"/>
      <c r="AV28" s="116"/>
      <c r="AW28" s="136" t="s">
        <v>354</v>
      </c>
      <c r="AX28" s="118"/>
      <c r="AY28" s="140"/>
      <c r="AZ28" s="141"/>
      <c r="BA28" s="290">
        <f t="shared" si="10"/>
        <v>0</v>
      </c>
      <c r="BB28" s="291">
        <f t="shared" si="11"/>
        <v>0</v>
      </c>
      <c r="BC28" s="120" t="s">
        <v>408</v>
      </c>
      <c r="BD28" s="118"/>
      <c r="BE28" s="143"/>
      <c r="BF28" s="121"/>
      <c r="BG28" s="293">
        <f t="shared" si="12"/>
        <v>0</v>
      </c>
      <c r="BH28" s="295">
        <f t="shared" si="13"/>
        <v>0</v>
      </c>
      <c r="BI28" s="122" t="s">
        <v>409</v>
      </c>
      <c r="BJ28" s="118"/>
      <c r="BK28" s="121"/>
      <c r="BL28" s="296">
        <f t="shared" si="14"/>
        <v>0</v>
      </c>
      <c r="BM28" s="297">
        <f t="shared" si="15"/>
        <v>0</v>
      </c>
      <c r="DH28" s="123">
        <f t="shared" si="16"/>
        <v>3741.5709577077841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3741.5709577077841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4"/>
      <c r="C29" s="247"/>
      <c r="D29" s="248"/>
      <c r="E29" s="255">
        <f t="shared" si="0"/>
        <v>0</v>
      </c>
      <c r="F29" s="256">
        <f t="shared" si="1"/>
        <v>0</v>
      </c>
      <c r="G29" s="251" t="str">
        <f t="shared" si="57"/>
        <v/>
      </c>
      <c r="H29" s="257">
        <f t="shared" si="58"/>
        <v>0</v>
      </c>
      <c r="I29" s="258">
        <f t="shared" si="2"/>
        <v>0</v>
      </c>
      <c r="J29" s="69"/>
      <c r="K29" s="69"/>
      <c r="L29" s="69"/>
      <c r="M29" s="69"/>
      <c r="N29" s="144">
        <f>IFERROR(+O29/$O$18-1,"")</f>
        <v>0.71033935811631421</v>
      </c>
      <c r="O29" s="286">
        <f t="shared" si="75"/>
        <v>3928.6495055931737</v>
      </c>
      <c r="P29" s="135">
        <f t="shared" si="4"/>
        <v>0</v>
      </c>
      <c r="Q29" s="135">
        <f t="shared" ca="1" si="5"/>
        <v>0</v>
      </c>
      <c r="R29" s="62"/>
      <c r="S29" s="245" t="str">
        <f t="shared" si="71"/>
        <v/>
      </c>
      <c r="T29" s="110">
        <f t="shared" si="73"/>
        <v>0</v>
      </c>
      <c r="U29" s="111"/>
      <c r="V29" s="112">
        <f t="shared" ca="1" si="59"/>
        <v>0</v>
      </c>
      <c r="W29" s="113" t="str">
        <f t="shared" si="77"/>
        <v/>
      </c>
      <c r="X29" s="113" t="str">
        <f t="shared" si="78"/>
        <v/>
      </c>
      <c r="Y29" s="241">
        <f>IFERROR(VLOOKUP($X29,HomeBroker!$A$22:$F$100,2,0),0)</f>
        <v>0</v>
      </c>
      <c r="Z29" s="241">
        <f>IFERROR(VLOOKUP($X29,HomeBroker!$A$22:$F$100,3,0),0)</f>
        <v>0</v>
      </c>
      <c r="AA29" s="242">
        <f>IFERROR(VLOOKUP($X29,HomeBroker!$A$22:$F$100,6,0),0)</f>
        <v>0</v>
      </c>
      <c r="AB29" s="241">
        <f>IFERROR(VLOOKUP($X29,HomeBroker!$A$22:$F$100,4,0),0)</f>
        <v>0</v>
      </c>
      <c r="AC29" s="241">
        <f>IFERROR(VLOOKUP($X29,HomeBroker!$A$22:$F$100,5,0),0)</f>
        <v>0</v>
      </c>
      <c r="AD29" s="292">
        <f>IFERROR(VLOOKUP($X29,HomeBroker!$A$22:$N$100,14,0),0)</f>
        <v>0</v>
      </c>
      <c r="AE29" s="246" t="str">
        <f t="shared" si="62"/>
        <v/>
      </c>
      <c r="AF29" s="110">
        <f t="shared" si="74"/>
        <v>0</v>
      </c>
      <c r="AG29" s="149"/>
      <c r="AH29" s="112">
        <f t="shared" ca="1" si="64"/>
        <v>0</v>
      </c>
      <c r="AI29" s="113" t="str">
        <f t="shared" si="79"/>
        <v/>
      </c>
      <c r="AJ29" s="113" t="str">
        <f t="shared" si="80"/>
        <v/>
      </c>
      <c r="AK29" s="114">
        <f>IFERROR(VLOOKUP($AJ29,HomeBroker!$A$22:$F$100,2,0),0)</f>
        <v>0</v>
      </c>
      <c r="AL29" s="241">
        <f>IFERROR(VLOOKUP($AJ29,HomeBroker!$A$22:$F$100,3,0),0)</f>
        <v>0</v>
      </c>
      <c r="AM29" s="242">
        <f>IFERROR(VLOOKUP($AJ29,HomeBroker!$A$22:$F$100,6,0),0)</f>
        <v>0</v>
      </c>
      <c r="AN29" s="241">
        <f>IFERROR(VLOOKUP($AJ29,HomeBroker!$A$22:$F$100,4,0),0)</f>
        <v>0</v>
      </c>
      <c r="AO29" s="114">
        <f>IFERROR(VLOOKUP($AJ29,HomeBroker!$A$22:$F$100,5,0),0)</f>
        <v>0</v>
      </c>
      <c r="AP29" s="115">
        <f>IFERROR(VLOOKUP($AJ29,HomeBroker!$A$22:$N$100,14,0),0)</f>
        <v>0</v>
      </c>
      <c r="AQ29" s="62"/>
      <c r="AR29" s="109" t="str">
        <f t="shared" si="67"/>
        <v>-</v>
      </c>
      <c r="AS29" s="109" t="str">
        <f t="shared" si="68"/>
        <v>-</v>
      </c>
      <c r="AT29" s="109" t="str">
        <f t="shared" si="69"/>
        <v>-</v>
      </c>
      <c r="AU29" s="62"/>
      <c r="AV29" s="116"/>
      <c r="AW29" s="136" t="s">
        <v>354</v>
      </c>
      <c r="AX29" s="118"/>
      <c r="AY29" s="140"/>
      <c r="AZ29" s="141"/>
      <c r="BA29" s="290">
        <f t="shared" si="10"/>
        <v>0</v>
      </c>
      <c r="BB29" s="291">
        <f t="shared" si="11"/>
        <v>0</v>
      </c>
      <c r="BC29" s="120" t="s">
        <v>408</v>
      </c>
      <c r="BD29" s="118"/>
      <c r="BE29" s="143"/>
      <c r="BF29" s="121"/>
      <c r="BG29" s="293">
        <f t="shared" si="12"/>
        <v>0</v>
      </c>
      <c r="BH29" s="295">
        <f t="shared" si="13"/>
        <v>0</v>
      </c>
      <c r="BI29" s="122" t="s">
        <v>409</v>
      </c>
      <c r="BJ29" s="118"/>
      <c r="BK29" s="121"/>
      <c r="BL29" s="296">
        <f t="shared" si="14"/>
        <v>0</v>
      </c>
      <c r="BM29" s="297">
        <f t="shared" si="15"/>
        <v>0</v>
      </c>
      <c r="DH29" s="123">
        <f t="shared" si="16"/>
        <v>3928.6495055931737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3928.6495055931737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4"/>
      <c r="C30" s="247"/>
      <c r="D30" s="248"/>
      <c r="E30" s="255">
        <f t="shared" si="0"/>
        <v>0</v>
      </c>
      <c r="F30" s="256">
        <f t="shared" si="1"/>
        <v>0</v>
      </c>
      <c r="G30" s="251" t="str">
        <f t="shared" si="57"/>
        <v/>
      </c>
      <c r="H30" s="257">
        <f t="shared" si="58"/>
        <v>0</v>
      </c>
      <c r="I30" s="258">
        <f t="shared" si="2"/>
        <v>0</v>
      </c>
      <c r="J30" s="69"/>
      <c r="K30" s="69"/>
      <c r="L30" s="69"/>
      <c r="M30" s="69"/>
      <c r="N30" s="144"/>
      <c r="O30" s="286">
        <f t="shared" si="75"/>
        <v>4125.0819808728329</v>
      </c>
      <c r="P30" s="142">
        <f t="shared" si="4"/>
        <v>0</v>
      </c>
      <c r="Q30" s="142">
        <f t="shared" ca="1" si="5"/>
        <v>0</v>
      </c>
      <c r="R30" s="62"/>
      <c r="S30" s="245" t="str">
        <f t="shared" si="71"/>
        <v/>
      </c>
      <c r="T30" s="110">
        <f t="shared" si="73"/>
        <v>0</v>
      </c>
      <c r="U30" s="111"/>
      <c r="V30" s="112">
        <f t="shared" ca="1" si="59"/>
        <v>0</v>
      </c>
      <c r="W30" s="113" t="str">
        <f t="shared" si="77"/>
        <v/>
      </c>
      <c r="X30" s="113" t="str">
        <f t="shared" si="78"/>
        <v/>
      </c>
      <c r="Y30" s="241">
        <f>IFERROR(VLOOKUP($X30,HomeBroker!$A$22:$F$100,2,0),0)</f>
        <v>0</v>
      </c>
      <c r="Z30" s="241">
        <f>IFERROR(VLOOKUP($X30,HomeBroker!$A$22:$F$100,3,0),0)</f>
        <v>0</v>
      </c>
      <c r="AA30" s="242">
        <f>IFERROR(VLOOKUP($X30,HomeBroker!$A$22:$F$100,6,0),0)</f>
        <v>0</v>
      </c>
      <c r="AB30" s="241">
        <f>IFERROR(VLOOKUP($X30,HomeBroker!$A$22:$F$100,4,0),0)</f>
        <v>0</v>
      </c>
      <c r="AC30" s="241">
        <f>IFERROR(VLOOKUP($X30,HomeBroker!$A$22:$F$100,5,0),0)</f>
        <v>0</v>
      </c>
      <c r="AD30" s="292">
        <f>IFERROR(VLOOKUP($X30,HomeBroker!$A$22:$N$100,14,0),0)</f>
        <v>0</v>
      </c>
      <c r="AE30" s="246" t="str">
        <f t="shared" si="62"/>
        <v/>
      </c>
      <c r="AF30" s="110">
        <f t="shared" si="74"/>
        <v>0</v>
      </c>
      <c r="AG30" s="149"/>
      <c r="AH30" s="112">
        <f t="shared" ca="1" si="64"/>
        <v>0</v>
      </c>
      <c r="AI30" s="113" t="str">
        <f t="shared" si="79"/>
        <v/>
      </c>
      <c r="AJ30" s="113" t="str">
        <f t="shared" si="80"/>
        <v/>
      </c>
      <c r="AK30" s="114">
        <f>IFERROR(VLOOKUP($AJ30,HomeBroker!$A$22:$F$100,2,0),0)</f>
        <v>0</v>
      </c>
      <c r="AL30" s="241">
        <f>IFERROR(VLOOKUP($AJ30,HomeBroker!$A$22:$F$100,3,0),0)</f>
        <v>0</v>
      </c>
      <c r="AM30" s="242">
        <f>IFERROR(VLOOKUP($AJ30,HomeBroker!$A$22:$F$100,6,0),0)</f>
        <v>0</v>
      </c>
      <c r="AN30" s="241">
        <f>IFERROR(VLOOKUP($AJ30,HomeBroker!$A$22:$F$100,4,0),0)</f>
        <v>0</v>
      </c>
      <c r="AO30" s="114">
        <f>IFERROR(VLOOKUP($AJ30,HomeBroker!$A$22:$F$100,5,0),0)</f>
        <v>0</v>
      </c>
      <c r="AP30" s="115">
        <f>IFERROR(VLOOKUP($AJ30,HomeBroker!$A$22:$N$100,14,0),0)</f>
        <v>0</v>
      </c>
      <c r="AQ30" s="62"/>
      <c r="AR30" s="109" t="str">
        <f t="shared" si="67"/>
        <v>-</v>
      </c>
      <c r="AS30" s="109" t="str">
        <f t="shared" si="68"/>
        <v>-</v>
      </c>
      <c r="AT30" s="109" t="str">
        <f t="shared" si="69"/>
        <v>-</v>
      </c>
      <c r="AU30" s="62"/>
      <c r="AV30" s="116"/>
      <c r="AW30" s="136" t="s">
        <v>354</v>
      </c>
      <c r="AX30" s="118"/>
      <c r="AY30" s="140"/>
      <c r="AZ30" s="141"/>
      <c r="BA30" s="290">
        <f t="shared" si="10"/>
        <v>0</v>
      </c>
      <c r="BB30" s="291">
        <f t="shared" si="11"/>
        <v>0</v>
      </c>
      <c r="BC30" s="120" t="s">
        <v>408</v>
      </c>
      <c r="BD30" s="118"/>
      <c r="BE30" s="143"/>
      <c r="BF30" s="121"/>
      <c r="BG30" s="293">
        <f t="shared" si="12"/>
        <v>0</v>
      </c>
      <c r="BH30" s="295">
        <f t="shared" si="13"/>
        <v>0</v>
      </c>
      <c r="BI30" s="122" t="s">
        <v>409</v>
      </c>
      <c r="BJ30" s="118"/>
      <c r="BK30" s="121"/>
      <c r="BL30" s="296">
        <f t="shared" si="14"/>
        <v>0</v>
      </c>
      <c r="BM30" s="297">
        <f t="shared" si="15"/>
        <v>0</v>
      </c>
      <c r="DH30" s="123">
        <f t="shared" si="16"/>
        <v>4125.0819808728329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4125.0819808728329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4"/>
      <c r="C31" s="247"/>
      <c r="D31" s="248"/>
      <c r="E31" s="255">
        <f t="shared" si="0"/>
        <v>0</v>
      </c>
      <c r="F31" s="256">
        <f t="shared" si="1"/>
        <v>0</v>
      </c>
      <c r="G31" s="251" t="str">
        <f t="shared" si="57"/>
        <v/>
      </c>
      <c r="H31" s="257">
        <f t="shared" si="58"/>
        <v>0</v>
      </c>
      <c r="I31" s="258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6">
        <f t="shared" si="75"/>
        <v>4331.3360799164748</v>
      </c>
      <c r="P31" s="135">
        <f t="shared" si="4"/>
        <v>0</v>
      </c>
      <c r="Q31" s="135">
        <f t="shared" ca="1" si="5"/>
        <v>0</v>
      </c>
      <c r="R31" s="62"/>
      <c r="S31" s="245" t="str">
        <f t="shared" si="71"/>
        <v/>
      </c>
      <c r="T31" s="110">
        <f t="shared" si="73"/>
        <v>0</v>
      </c>
      <c r="U31" s="111"/>
      <c r="V31" s="112">
        <f t="shared" ca="1" si="59"/>
        <v>0</v>
      </c>
      <c r="W31" s="113" t="str">
        <f t="shared" si="77"/>
        <v/>
      </c>
      <c r="X31" s="113" t="str">
        <f t="shared" si="78"/>
        <v/>
      </c>
      <c r="Y31" s="241">
        <f>IFERROR(VLOOKUP($X31,HomeBroker!$A$22:$F$100,2,0),0)</f>
        <v>0</v>
      </c>
      <c r="Z31" s="241">
        <f>IFERROR(VLOOKUP($X31,HomeBroker!$A$22:$F$100,3,0),0)</f>
        <v>0</v>
      </c>
      <c r="AA31" s="242">
        <f>IFERROR(VLOOKUP($X31,HomeBroker!$A$22:$F$100,6,0),0)</f>
        <v>0</v>
      </c>
      <c r="AB31" s="241">
        <f>IFERROR(VLOOKUP($X31,HomeBroker!$A$22:$F$100,4,0),0)</f>
        <v>0</v>
      </c>
      <c r="AC31" s="241">
        <f>IFERROR(VLOOKUP($X31,HomeBroker!$A$22:$F$100,5,0),0)</f>
        <v>0</v>
      </c>
      <c r="AD31" s="292">
        <f>IFERROR(VLOOKUP($X31,HomeBroker!$A$22:$N$100,14,0),0)</f>
        <v>0</v>
      </c>
      <c r="AE31" s="246" t="str">
        <f t="shared" si="62"/>
        <v/>
      </c>
      <c r="AF31" s="110">
        <f t="shared" si="74"/>
        <v>0</v>
      </c>
      <c r="AG31" s="149"/>
      <c r="AH31" s="112">
        <f t="shared" ca="1" si="64"/>
        <v>0</v>
      </c>
      <c r="AI31" s="113" t="str">
        <f t="shared" si="79"/>
        <v/>
      </c>
      <c r="AJ31" s="113" t="str">
        <f t="shared" si="80"/>
        <v/>
      </c>
      <c r="AK31" s="114">
        <f>IFERROR(VLOOKUP($AJ31,HomeBroker!$A$22:$F$100,2,0),0)</f>
        <v>0</v>
      </c>
      <c r="AL31" s="241">
        <f>IFERROR(VLOOKUP($AJ31,HomeBroker!$A$22:$F$100,3,0),0)</f>
        <v>0</v>
      </c>
      <c r="AM31" s="242">
        <f>IFERROR(VLOOKUP($AJ31,HomeBroker!$A$22:$F$100,6,0),0)</f>
        <v>0</v>
      </c>
      <c r="AN31" s="241">
        <f>IFERROR(VLOOKUP($AJ31,HomeBroker!$A$22:$F$100,4,0),0)</f>
        <v>0</v>
      </c>
      <c r="AO31" s="114">
        <f>IFERROR(VLOOKUP($AJ31,HomeBroker!$A$22:$F$100,5,0),0)</f>
        <v>0</v>
      </c>
      <c r="AP31" s="115">
        <f>IFERROR(VLOOKUP($AJ31,HomeBroker!$A$22:$N$100,14,0),0)</f>
        <v>0</v>
      </c>
      <c r="AQ31" s="62"/>
      <c r="AR31" s="109" t="str">
        <f t="shared" si="67"/>
        <v>-</v>
      </c>
      <c r="AS31" s="109" t="str">
        <f t="shared" si="68"/>
        <v>-</v>
      </c>
      <c r="AT31" s="109" t="str">
        <f t="shared" si="69"/>
        <v>-</v>
      </c>
      <c r="AU31" s="62"/>
      <c r="AV31" s="116"/>
      <c r="AW31" s="136" t="s">
        <v>354</v>
      </c>
      <c r="AX31" s="118"/>
      <c r="AY31" s="140"/>
      <c r="AZ31" s="141"/>
      <c r="BA31" s="290">
        <f t="shared" si="10"/>
        <v>0</v>
      </c>
      <c r="BB31" s="291">
        <f t="shared" si="11"/>
        <v>0</v>
      </c>
      <c r="BC31" s="120" t="s">
        <v>408</v>
      </c>
      <c r="BD31" s="118"/>
      <c r="BE31" s="143"/>
      <c r="BF31" s="121"/>
      <c r="BG31" s="293">
        <f t="shared" si="12"/>
        <v>0</v>
      </c>
      <c r="BH31" s="295">
        <f t="shared" si="13"/>
        <v>0</v>
      </c>
      <c r="BI31" s="122" t="s">
        <v>409</v>
      </c>
      <c r="BJ31" s="118"/>
      <c r="BK31" s="121"/>
      <c r="BL31" s="296">
        <f t="shared" si="14"/>
        <v>0</v>
      </c>
      <c r="BM31" s="297">
        <f t="shared" si="15"/>
        <v>0</v>
      </c>
      <c r="DH31" s="123">
        <f t="shared" si="16"/>
        <v>4331.3360799164748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4331.3360799164748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4"/>
      <c r="C32" s="247"/>
      <c r="D32" s="248"/>
      <c r="E32" s="255">
        <f t="shared" si="0"/>
        <v>0</v>
      </c>
      <c r="F32" s="256">
        <f t="shared" si="1"/>
        <v>0</v>
      </c>
      <c r="G32" s="251" t="str">
        <f t="shared" si="57"/>
        <v/>
      </c>
      <c r="H32" s="257">
        <f t="shared" si="58"/>
        <v>0</v>
      </c>
      <c r="I32" s="258">
        <f t="shared" si="2"/>
        <v>0</v>
      </c>
      <c r="J32" s="69"/>
      <c r="K32" s="69"/>
      <c r="L32" s="69"/>
      <c r="M32" s="69"/>
      <c r="N32" s="107"/>
      <c r="O32" s="286">
        <f t="shared" si="75"/>
        <v>4547.9028839122984</v>
      </c>
      <c r="P32" s="135">
        <f t="shared" si="4"/>
        <v>0</v>
      </c>
      <c r="Q32" s="135">
        <f t="shared" ca="1" si="5"/>
        <v>0</v>
      </c>
      <c r="R32" s="62"/>
      <c r="S32" s="245" t="str">
        <f t="shared" si="71"/>
        <v/>
      </c>
      <c r="T32" s="110">
        <f t="shared" si="73"/>
        <v>0</v>
      </c>
      <c r="U32" s="111"/>
      <c r="V32" s="112">
        <f t="shared" ca="1" si="59"/>
        <v>0</v>
      </c>
      <c r="W32" s="113" t="str">
        <f t="shared" si="77"/>
        <v/>
      </c>
      <c r="X32" s="113" t="str">
        <f t="shared" si="78"/>
        <v/>
      </c>
      <c r="Y32" s="241">
        <f>IFERROR(VLOOKUP($X32,HomeBroker!$A$22:$F$100,2,0),0)</f>
        <v>0</v>
      </c>
      <c r="Z32" s="241">
        <f>IFERROR(VLOOKUP($X32,HomeBroker!$A$22:$F$100,3,0),0)</f>
        <v>0</v>
      </c>
      <c r="AA32" s="242">
        <f>IFERROR(VLOOKUP($X32,HomeBroker!$A$22:$F$100,6,0),0)</f>
        <v>0</v>
      </c>
      <c r="AB32" s="241">
        <f>IFERROR(VLOOKUP($X32,HomeBroker!$A$22:$F$100,4,0),0)</f>
        <v>0</v>
      </c>
      <c r="AC32" s="241">
        <f>IFERROR(VLOOKUP($X32,HomeBroker!$A$22:$F$100,5,0),0)</f>
        <v>0</v>
      </c>
      <c r="AD32" s="292">
        <f>IFERROR(VLOOKUP($X32,HomeBroker!$A$22:$N$100,14,0),0)</f>
        <v>0</v>
      </c>
      <c r="AE32" s="246" t="str">
        <f t="shared" si="62"/>
        <v/>
      </c>
      <c r="AF32" s="110">
        <f t="shared" si="74"/>
        <v>0</v>
      </c>
      <c r="AG32" s="149"/>
      <c r="AH32" s="112">
        <f t="shared" ca="1" si="64"/>
        <v>0</v>
      </c>
      <c r="AI32" s="113" t="str">
        <f t="shared" si="79"/>
        <v/>
      </c>
      <c r="AJ32" s="113" t="str">
        <f t="shared" si="80"/>
        <v/>
      </c>
      <c r="AK32" s="114">
        <f>IFERROR(VLOOKUP($AJ32,HomeBroker!$A$22:$F$100,2,0),0)</f>
        <v>0</v>
      </c>
      <c r="AL32" s="241">
        <f>IFERROR(VLOOKUP($AJ32,HomeBroker!$A$22:$F$100,3,0),0)</f>
        <v>0</v>
      </c>
      <c r="AM32" s="242">
        <f>IFERROR(VLOOKUP($AJ32,HomeBroker!$A$22:$F$100,6,0),0)</f>
        <v>0</v>
      </c>
      <c r="AN32" s="241">
        <f>IFERROR(VLOOKUP($AJ32,HomeBroker!$A$22:$F$100,4,0),0)</f>
        <v>0</v>
      </c>
      <c r="AO32" s="114">
        <f>IFERROR(VLOOKUP($AJ32,HomeBroker!$A$22:$F$100,5,0),0)</f>
        <v>0</v>
      </c>
      <c r="AP32" s="115">
        <f>IFERROR(VLOOKUP($AJ32,HomeBroker!$A$22:$N$100,14,0),0)</f>
        <v>0</v>
      </c>
      <c r="AQ32" s="62"/>
      <c r="AR32" s="109" t="str">
        <f t="shared" si="67"/>
        <v>-</v>
      </c>
      <c r="AS32" s="109" t="str">
        <f t="shared" si="68"/>
        <v>-</v>
      </c>
      <c r="AT32" s="109" t="str">
        <f t="shared" si="69"/>
        <v>-</v>
      </c>
      <c r="AU32" s="62"/>
      <c r="AV32" s="116"/>
      <c r="AW32" s="136" t="s">
        <v>354</v>
      </c>
      <c r="AX32" s="118"/>
      <c r="AY32" s="140"/>
      <c r="AZ32" s="141"/>
      <c r="BA32" s="290">
        <f t="shared" si="10"/>
        <v>0</v>
      </c>
      <c r="BB32" s="291">
        <f t="shared" si="11"/>
        <v>0</v>
      </c>
      <c r="BC32" s="120" t="s">
        <v>408</v>
      </c>
      <c r="BD32" s="118"/>
      <c r="BE32" s="143"/>
      <c r="BF32" s="121"/>
      <c r="BG32" s="293">
        <f t="shared" si="12"/>
        <v>0</v>
      </c>
      <c r="BH32" s="295">
        <f t="shared" si="13"/>
        <v>0</v>
      </c>
      <c r="BI32" s="122" t="s">
        <v>409</v>
      </c>
      <c r="BJ32" s="118"/>
      <c r="BK32" s="121"/>
      <c r="BL32" s="296">
        <f t="shared" si="14"/>
        <v>0</v>
      </c>
      <c r="BM32" s="297">
        <f t="shared" si="15"/>
        <v>0</v>
      </c>
      <c r="DH32" s="123">
        <f t="shared" si="16"/>
        <v>4547.9028839122984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4547.9028839122984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4"/>
      <c r="C33" s="247"/>
      <c r="D33" s="248"/>
      <c r="E33" s="255">
        <f t="shared" si="0"/>
        <v>0</v>
      </c>
      <c r="F33" s="256">
        <f t="shared" si="1"/>
        <v>0</v>
      </c>
      <c r="G33" s="251" t="str">
        <f t="shared" si="57"/>
        <v/>
      </c>
      <c r="H33" s="257">
        <f t="shared" si="58"/>
        <v>0</v>
      </c>
      <c r="I33" s="258">
        <f t="shared" si="2"/>
        <v>0</v>
      </c>
      <c r="J33" s="69"/>
      <c r="K33" s="69"/>
      <c r="L33" s="69"/>
      <c r="M33" s="69"/>
      <c r="N33" s="107"/>
      <c r="O33" s="286">
        <f t="shared" si="75"/>
        <v>4775.2980281079135</v>
      </c>
      <c r="P33" s="142">
        <f t="shared" si="4"/>
        <v>0</v>
      </c>
      <c r="Q33" s="142">
        <f t="shared" ca="1" si="5"/>
        <v>0</v>
      </c>
      <c r="R33" s="62"/>
      <c r="S33" s="245" t="str">
        <f t="shared" si="71"/>
        <v/>
      </c>
      <c r="T33" s="110">
        <f t="shared" si="73"/>
        <v>0</v>
      </c>
      <c r="U33" s="111"/>
      <c r="V33" s="112">
        <f t="shared" ca="1" si="59"/>
        <v>0</v>
      </c>
      <c r="W33" s="113" t="str">
        <f t="shared" si="77"/>
        <v/>
      </c>
      <c r="X33" s="113" t="str">
        <f t="shared" si="78"/>
        <v/>
      </c>
      <c r="Y33" s="241">
        <f>IFERROR(VLOOKUP($X33,HomeBroker!$A$22:$F$100,2,0),0)</f>
        <v>0</v>
      </c>
      <c r="Z33" s="241">
        <f>IFERROR(VLOOKUP($X33,HomeBroker!$A$22:$F$100,3,0),0)</f>
        <v>0</v>
      </c>
      <c r="AA33" s="242">
        <f>IFERROR(VLOOKUP($X33,HomeBroker!$A$22:$F$100,6,0),0)</f>
        <v>0</v>
      </c>
      <c r="AB33" s="241">
        <f>IFERROR(VLOOKUP($X33,HomeBroker!$A$22:$F$100,4,0),0)</f>
        <v>0</v>
      </c>
      <c r="AC33" s="241">
        <f>IFERROR(VLOOKUP($X33,HomeBroker!$A$22:$F$100,5,0),0)</f>
        <v>0</v>
      </c>
      <c r="AD33" s="292">
        <f>IFERROR(VLOOKUP($X33,HomeBroker!$A$22:$N$100,14,0),0)</f>
        <v>0</v>
      </c>
      <c r="AE33" s="246" t="str">
        <f t="shared" si="62"/>
        <v/>
      </c>
      <c r="AF33" s="110">
        <f t="shared" si="74"/>
        <v>0</v>
      </c>
      <c r="AG33" s="149"/>
      <c r="AH33" s="112">
        <f t="shared" ca="1" si="64"/>
        <v>0</v>
      </c>
      <c r="AI33" s="113" t="str">
        <f t="shared" si="79"/>
        <v/>
      </c>
      <c r="AJ33" s="113" t="str">
        <f t="shared" si="80"/>
        <v/>
      </c>
      <c r="AK33" s="114">
        <f>IFERROR(VLOOKUP($AJ33,HomeBroker!$A$22:$F$100,2,0),0)</f>
        <v>0</v>
      </c>
      <c r="AL33" s="241">
        <f>IFERROR(VLOOKUP($AJ33,HomeBroker!$A$22:$F$100,3,0),0)</f>
        <v>0</v>
      </c>
      <c r="AM33" s="242">
        <f>IFERROR(VLOOKUP($AJ33,HomeBroker!$A$22:$F$100,6,0),0)</f>
        <v>0</v>
      </c>
      <c r="AN33" s="241">
        <f>IFERROR(VLOOKUP($AJ33,HomeBroker!$A$22:$F$100,4,0),0)</f>
        <v>0</v>
      </c>
      <c r="AO33" s="114">
        <f>IFERROR(VLOOKUP($AJ33,HomeBroker!$A$22:$F$100,5,0),0)</f>
        <v>0</v>
      </c>
      <c r="AP33" s="115">
        <f>IFERROR(VLOOKUP($AJ33,HomeBroker!$A$22:$N$100,14,0),0)</f>
        <v>0</v>
      </c>
      <c r="AQ33" s="62"/>
      <c r="AR33" s="109" t="str">
        <f t="shared" si="67"/>
        <v>-</v>
      </c>
      <c r="AS33" s="109" t="str">
        <f t="shared" si="68"/>
        <v>-</v>
      </c>
      <c r="AT33" s="109" t="str">
        <f t="shared" si="69"/>
        <v>-</v>
      </c>
      <c r="AU33" s="62"/>
      <c r="AV33" s="116"/>
      <c r="AW33" s="136" t="s">
        <v>354</v>
      </c>
      <c r="AX33" s="118"/>
      <c r="AY33" s="140"/>
      <c r="AZ33" s="141"/>
      <c r="BA33" s="290">
        <f t="shared" si="10"/>
        <v>0</v>
      </c>
      <c r="BB33" s="291">
        <f t="shared" si="11"/>
        <v>0</v>
      </c>
      <c r="BC33" s="120" t="s">
        <v>408</v>
      </c>
      <c r="BD33" s="118"/>
      <c r="BE33" s="143"/>
      <c r="BF33" s="121"/>
      <c r="BG33" s="293">
        <f t="shared" si="12"/>
        <v>0</v>
      </c>
      <c r="BH33" s="295">
        <f t="shared" si="13"/>
        <v>0</v>
      </c>
      <c r="BI33" s="122" t="s">
        <v>409</v>
      </c>
      <c r="BJ33" s="118"/>
      <c r="BK33" s="121"/>
      <c r="BL33" s="296">
        <f t="shared" si="14"/>
        <v>0</v>
      </c>
      <c r="BM33" s="297">
        <f t="shared" si="15"/>
        <v>0</v>
      </c>
      <c r="DH33" s="123">
        <f t="shared" si="16"/>
        <v>4775.2980281079135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4775.2980281079135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4"/>
      <c r="C34" s="247"/>
      <c r="D34" s="248"/>
      <c r="E34" s="255">
        <f t="shared" si="0"/>
        <v>0</v>
      </c>
      <c r="F34" s="256">
        <f t="shared" si="1"/>
        <v>0</v>
      </c>
      <c r="G34" s="251" t="str">
        <f t="shared" si="57"/>
        <v/>
      </c>
      <c r="H34" s="257">
        <f t="shared" si="58"/>
        <v>0</v>
      </c>
      <c r="I34" s="258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7">
        <f t="shared" si="75"/>
        <v>5014.0629295133094</v>
      </c>
      <c r="P34" s="154">
        <f t="shared" si="4"/>
        <v>0</v>
      </c>
      <c r="Q34" s="154">
        <f t="shared" ca="1" si="5"/>
        <v>0</v>
      </c>
      <c r="R34" s="155"/>
      <c r="S34" s="245" t="str">
        <f t="shared" si="71"/>
        <v/>
      </c>
      <c r="T34" s="110">
        <f t="shared" si="73"/>
        <v>0</v>
      </c>
      <c r="U34" s="111"/>
      <c r="V34" s="112">
        <f t="shared" ca="1" si="59"/>
        <v>0</v>
      </c>
      <c r="W34" s="113" t="str">
        <f t="shared" si="77"/>
        <v/>
      </c>
      <c r="X34" s="113" t="str">
        <f t="shared" si="78"/>
        <v/>
      </c>
      <c r="Y34" s="241">
        <f>IFERROR(VLOOKUP($X34,HomeBroker!$A$22:$F$100,2,0),0)</f>
        <v>0</v>
      </c>
      <c r="Z34" s="241">
        <f>IFERROR(VLOOKUP($X34,HomeBroker!$A$22:$F$100,3,0),0)</f>
        <v>0</v>
      </c>
      <c r="AA34" s="242">
        <f>IFERROR(VLOOKUP($X34,HomeBroker!$A$22:$F$100,6,0),0)</f>
        <v>0</v>
      </c>
      <c r="AB34" s="241">
        <f>IFERROR(VLOOKUP($X34,HomeBroker!$A$22:$F$100,4,0),0)</f>
        <v>0</v>
      </c>
      <c r="AC34" s="241">
        <f>IFERROR(VLOOKUP($X34,HomeBroker!$A$22:$F$100,5,0),0)</f>
        <v>0</v>
      </c>
      <c r="AD34" s="292">
        <f>IFERROR(VLOOKUP($X34,HomeBroker!$A$22:$N$100,14,0),0)</f>
        <v>0</v>
      </c>
      <c r="AE34" s="246" t="str">
        <f t="shared" si="62"/>
        <v/>
      </c>
      <c r="AF34" s="110">
        <f t="shared" si="74"/>
        <v>0</v>
      </c>
      <c r="AG34" s="111"/>
      <c r="AH34" s="112">
        <f t="shared" ca="1" si="64"/>
        <v>0</v>
      </c>
      <c r="AI34" s="113" t="str">
        <f t="shared" si="79"/>
        <v/>
      </c>
      <c r="AJ34" s="113" t="str">
        <f t="shared" si="80"/>
        <v/>
      </c>
      <c r="AK34" s="114">
        <f>IFERROR(VLOOKUP($AJ34,HomeBroker!$A$22:$F$100,2,0),0)</f>
        <v>0</v>
      </c>
      <c r="AL34" s="241">
        <f>IFERROR(VLOOKUP($AJ34,HomeBroker!$A$22:$F$100,3,0),0)</f>
        <v>0</v>
      </c>
      <c r="AM34" s="242">
        <f>IFERROR(VLOOKUP($AJ34,HomeBroker!$A$22:$F$100,6,0),0)</f>
        <v>0</v>
      </c>
      <c r="AN34" s="241">
        <f>IFERROR(VLOOKUP($AJ34,HomeBroker!$A$22:$F$100,4,0),0)</f>
        <v>0</v>
      </c>
      <c r="AO34" s="114">
        <f>IFERROR(VLOOKUP($AJ34,HomeBroker!$A$22:$F$100,5,0),0)</f>
        <v>0</v>
      </c>
      <c r="AP34" s="115">
        <f>IFERROR(VLOOKUP($AJ34,HomeBroker!$A$22:$N$100,14,0),0)</f>
        <v>0</v>
      </c>
      <c r="AQ34" s="62"/>
      <c r="AR34" s="109" t="str">
        <f t="shared" si="67"/>
        <v>-</v>
      </c>
      <c r="AS34" s="109" t="str">
        <f t="shared" si="68"/>
        <v>-</v>
      </c>
      <c r="AT34" s="109" t="str">
        <f t="shared" si="69"/>
        <v>-</v>
      </c>
      <c r="AU34" s="62"/>
      <c r="AV34" s="116"/>
      <c r="AW34" s="136" t="s">
        <v>354</v>
      </c>
      <c r="AX34" s="118"/>
      <c r="AY34" s="140"/>
      <c r="AZ34" s="141"/>
      <c r="BA34" s="290">
        <f t="shared" si="10"/>
        <v>0</v>
      </c>
      <c r="BB34" s="291">
        <f t="shared" si="11"/>
        <v>0</v>
      </c>
      <c r="BC34" s="120" t="s">
        <v>408</v>
      </c>
      <c r="BD34" s="118"/>
      <c r="BE34" s="143"/>
      <c r="BF34" s="121"/>
      <c r="BG34" s="293">
        <f t="shared" si="12"/>
        <v>0</v>
      </c>
      <c r="BH34" s="295">
        <f t="shared" si="13"/>
        <v>0</v>
      </c>
      <c r="BI34" s="122" t="s">
        <v>409</v>
      </c>
      <c r="BJ34" s="118"/>
      <c r="BK34" s="121"/>
      <c r="BL34" s="296">
        <f t="shared" si="14"/>
        <v>0</v>
      </c>
      <c r="BM34" s="297">
        <f t="shared" si="15"/>
        <v>0</v>
      </c>
      <c r="DH34" s="123">
        <f t="shared" si="16"/>
        <v>5014.0629295133094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5014.0629295133094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4"/>
      <c r="C35" s="247"/>
      <c r="D35" s="248"/>
      <c r="E35" s="255">
        <f t="shared" si="0"/>
        <v>0</v>
      </c>
      <c r="F35" s="256">
        <f t="shared" si="1"/>
        <v>0</v>
      </c>
      <c r="G35" s="251" t="str">
        <f t="shared" si="57"/>
        <v/>
      </c>
      <c r="H35" s="257">
        <f t="shared" si="58"/>
        <v>0</v>
      </c>
      <c r="I35" s="258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5" t="str">
        <f t="shared" si="71"/>
        <v/>
      </c>
      <c r="T35" s="110">
        <f t="shared" si="73"/>
        <v>0</v>
      </c>
      <c r="U35" s="111"/>
      <c r="V35" s="112">
        <f t="shared" ca="1" si="59"/>
        <v>0</v>
      </c>
      <c r="W35" s="113" t="str">
        <f t="shared" si="77"/>
        <v/>
      </c>
      <c r="X35" s="113" t="str">
        <f t="shared" si="78"/>
        <v/>
      </c>
      <c r="Y35" s="241">
        <f>IFERROR(VLOOKUP($X35,HomeBroker!$A$22:$F$100,2,0),0)</f>
        <v>0</v>
      </c>
      <c r="Z35" s="241">
        <f>IFERROR(VLOOKUP($X35,HomeBroker!$A$22:$F$100,3,0),0)</f>
        <v>0</v>
      </c>
      <c r="AA35" s="242">
        <f>IFERROR(VLOOKUP($X35,HomeBroker!$A$22:$F$100,6,0),0)</f>
        <v>0</v>
      </c>
      <c r="AB35" s="241">
        <f>IFERROR(VLOOKUP($X35,HomeBroker!$A$22:$F$100,4,0),0)</f>
        <v>0</v>
      </c>
      <c r="AC35" s="241">
        <f>IFERROR(VLOOKUP($X35,HomeBroker!$A$22:$F$100,5,0),0)</f>
        <v>0</v>
      </c>
      <c r="AD35" s="292">
        <f>IFERROR(VLOOKUP($X35,HomeBroker!$A$22:$N$100,14,0),0)</f>
        <v>0</v>
      </c>
      <c r="AE35" s="246" t="str">
        <f t="shared" si="62"/>
        <v/>
      </c>
      <c r="AF35" s="110">
        <f t="shared" si="74"/>
        <v>0</v>
      </c>
      <c r="AG35" s="111"/>
      <c r="AH35" s="112">
        <f t="shared" ca="1" si="64"/>
        <v>0</v>
      </c>
      <c r="AI35" s="113" t="str">
        <f t="shared" si="79"/>
        <v/>
      </c>
      <c r="AJ35" s="113" t="str">
        <f t="shared" si="80"/>
        <v/>
      </c>
      <c r="AK35" s="114">
        <f>IFERROR(VLOOKUP($AJ35,HomeBroker!$A$22:$F$100,2,0),0)</f>
        <v>0</v>
      </c>
      <c r="AL35" s="241">
        <f>IFERROR(VLOOKUP($AJ35,HomeBroker!$A$22:$F$100,3,0),0)</f>
        <v>0</v>
      </c>
      <c r="AM35" s="242">
        <f>IFERROR(VLOOKUP($AJ35,HomeBroker!$A$22:$F$100,6,0),0)</f>
        <v>0</v>
      </c>
      <c r="AN35" s="241">
        <f>IFERROR(VLOOKUP($AJ35,HomeBroker!$A$22:$F$100,4,0),0)</f>
        <v>0</v>
      </c>
      <c r="AO35" s="114">
        <f>IFERROR(VLOOKUP($AJ35,HomeBroker!$A$22:$F$100,5,0),0)</f>
        <v>0</v>
      </c>
      <c r="AP35" s="115">
        <f>IFERROR(VLOOKUP($AJ35,HomeBroker!$A$22:$N$100,14,0),0)</f>
        <v>0</v>
      </c>
      <c r="AQ35" s="62"/>
      <c r="AR35" s="109" t="str">
        <f t="shared" si="67"/>
        <v>-</v>
      </c>
      <c r="AS35" s="109" t="str">
        <f t="shared" si="68"/>
        <v>-</v>
      </c>
      <c r="AT35" s="109" t="str">
        <f t="shared" si="69"/>
        <v>-</v>
      </c>
      <c r="AU35" s="62"/>
      <c r="AV35" s="116"/>
      <c r="AW35" s="136" t="s">
        <v>354</v>
      </c>
      <c r="AX35" s="118"/>
      <c r="AY35" s="140"/>
      <c r="AZ35" s="141"/>
      <c r="BA35" s="290">
        <f t="shared" si="10"/>
        <v>0</v>
      </c>
      <c r="BB35" s="291">
        <f t="shared" si="11"/>
        <v>0</v>
      </c>
      <c r="BC35" s="120" t="s">
        <v>408</v>
      </c>
      <c r="BD35" s="118"/>
      <c r="BE35" s="143"/>
      <c r="BF35" s="121"/>
      <c r="BG35" s="293">
        <f t="shared" si="12"/>
        <v>0</v>
      </c>
      <c r="BH35" s="295">
        <f t="shared" si="13"/>
        <v>0</v>
      </c>
      <c r="BI35" s="122" t="s">
        <v>409</v>
      </c>
      <c r="BJ35" s="118"/>
      <c r="BK35" s="121"/>
      <c r="BL35" s="296">
        <f t="shared" si="14"/>
        <v>0</v>
      </c>
      <c r="BM35" s="297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4"/>
      <c r="C36" s="247"/>
      <c r="D36" s="248"/>
      <c r="E36" s="255">
        <f t="shared" si="0"/>
        <v>0</v>
      </c>
      <c r="F36" s="256">
        <f t="shared" si="1"/>
        <v>0</v>
      </c>
      <c r="G36" s="251" t="str">
        <f t="shared" si="57"/>
        <v/>
      </c>
      <c r="H36" s="257">
        <f t="shared" si="58"/>
        <v>0</v>
      </c>
      <c r="I36" s="258">
        <f t="shared" si="2"/>
        <v>0</v>
      </c>
      <c r="J36" s="69"/>
      <c r="K36" s="69"/>
      <c r="L36" s="69"/>
      <c r="M36" s="69"/>
      <c r="N36" s="812" t="s">
        <v>450</v>
      </c>
      <c r="O36" s="789"/>
      <c r="P36" s="790"/>
      <c r="Q36" s="165">
        <f>SUM(BB:BB)+SUM(BH:BH)+SUM(BM:BM)+$F$76</f>
        <v>0</v>
      </c>
      <c r="R36" s="62"/>
      <c r="S36" s="245" t="str">
        <f t="shared" si="71"/>
        <v/>
      </c>
      <c r="T36" s="110">
        <f t="shared" si="73"/>
        <v>0</v>
      </c>
      <c r="U36" s="111"/>
      <c r="V36" s="112">
        <f t="shared" ca="1" si="59"/>
        <v>0</v>
      </c>
      <c r="W36" s="113" t="str">
        <f t="shared" si="77"/>
        <v/>
      </c>
      <c r="X36" s="113" t="str">
        <f t="shared" si="78"/>
        <v/>
      </c>
      <c r="Y36" s="241">
        <f>IFERROR(VLOOKUP($X36,HomeBroker!$A$22:$F$100,2,0),0)</f>
        <v>0</v>
      </c>
      <c r="Z36" s="241">
        <f>IFERROR(VLOOKUP($X36,HomeBroker!$A$22:$F$100,3,0),0)</f>
        <v>0</v>
      </c>
      <c r="AA36" s="242">
        <f>IFERROR(VLOOKUP($X36,HomeBroker!$A$22:$F$100,6,0),0)</f>
        <v>0</v>
      </c>
      <c r="AB36" s="241">
        <f>IFERROR(VLOOKUP($X36,HomeBroker!$A$22:$F$100,4,0),0)</f>
        <v>0</v>
      </c>
      <c r="AC36" s="241">
        <f>IFERROR(VLOOKUP($X36,HomeBroker!$A$22:$F$100,5,0),0)</f>
        <v>0</v>
      </c>
      <c r="AD36" s="292">
        <f>IFERROR(VLOOKUP($X36,HomeBroker!$A$22:$N$100,14,0),0)</f>
        <v>0</v>
      </c>
      <c r="AE36" s="246" t="str">
        <f t="shared" si="62"/>
        <v/>
      </c>
      <c r="AF36" s="110">
        <f t="shared" si="74"/>
        <v>0</v>
      </c>
      <c r="AG36" s="111"/>
      <c r="AH36" s="112">
        <f t="shared" ca="1" si="64"/>
        <v>0</v>
      </c>
      <c r="AI36" s="113" t="str">
        <f t="shared" si="79"/>
        <v/>
      </c>
      <c r="AJ36" s="113" t="str">
        <f t="shared" si="80"/>
        <v/>
      </c>
      <c r="AK36" s="114">
        <f>IFERROR(VLOOKUP($AJ36,HomeBroker!$A$22:$F$100,2,0),0)</f>
        <v>0</v>
      </c>
      <c r="AL36" s="241">
        <f>IFERROR(VLOOKUP($AJ36,HomeBroker!$A$22:$F$100,3,0),0)</f>
        <v>0</v>
      </c>
      <c r="AM36" s="242">
        <f>IFERROR(VLOOKUP($AJ36,HomeBroker!$A$22:$F$100,6,0),0)</f>
        <v>0</v>
      </c>
      <c r="AN36" s="241">
        <f>IFERROR(VLOOKUP($AJ36,HomeBroker!$A$22:$F$100,4,0),0)</f>
        <v>0</v>
      </c>
      <c r="AO36" s="114">
        <f>IFERROR(VLOOKUP($AJ36,HomeBroker!$A$22:$F$100,5,0),0)</f>
        <v>0</v>
      </c>
      <c r="AP36" s="115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6"/>
      <c r="AW36" s="136" t="s">
        <v>354</v>
      </c>
      <c r="AX36" s="118"/>
      <c r="AY36" s="140"/>
      <c r="AZ36" s="141"/>
      <c r="BA36" s="290">
        <f t="shared" si="10"/>
        <v>0</v>
      </c>
      <c r="BB36" s="291">
        <f t="shared" si="11"/>
        <v>0</v>
      </c>
      <c r="BC36" s="120" t="s">
        <v>408</v>
      </c>
      <c r="BD36" s="118"/>
      <c r="BE36" s="143"/>
      <c r="BF36" s="121"/>
      <c r="BG36" s="293">
        <f t="shared" si="12"/>
        <v>0</v>
      </c>
      <c r="BH36" s="295">
        <f t="shared" si="13"/>
        <v>0</v>
      </c>
      <c r="BI36" s="122" t="s">
        <v>409</v>
      </c>
      <c r="BJ36" s="118"/>
      <c r="BK36" s="121"/>
      <c r="BL36" s="296">
        <f t="shared" si="14"/>
        <v>0</v>
      </c>
      <c r="BM36" s="297">
        <f t="shared" si="15"/>
        <v>0</v>
      </c>
      <c r="DH36" s="123">
        <f t="shared" ref="DH36:DH67" si="81">DH3</f>
        <v>1064.1799556769529</v>
      </c>
      <c r="DI36" s="124">
        <f t="shared" ref="DI36:DI67" si="82">IF($DH36&lt;$C$38,$B$38*100*($C$38-$DH36),0)</f>
        <v>0</v>
      </c>
      <c r="DJ36" s="124">
        <f t="shared" ref="DJ36:DJ67" si="83">IF($DH36&lt;$C$39,$B$39*100*($C$39-$DH36),0)</f>
        <v>0</v>
      </c>
      <c r="DK36" s="124">
        <f t="shared" ref="DK36:DK67" si="84">IF($DH36&lt;$C$40,$B$40*100*($C$40-$DH36),0)</f>
        <v>0</v>
      </c>
      <c r="DL36" s="124">
        <f t="shared" ref="DL36:DL67" si="85">IF($DH36&lt;$C$41,$B$41*100*($C$41-$DH36),0)</f>
        <v>0</v>
      </c>
      <c r="DM36" s="124">
        <f t="shared" ref="DM36:DM67" si="86">IF($DH36&lt;$C$42,$B$42*100*($C$42-$DH36),0)</f>
        <v>0</v>
      </c>
      <c r="DN36" s="124">
        <f t="shared" ref="DN36:DN67" si="87">IF($DH36&lt;$C$43,$B$43*100*($C$43-$DH36),0)</f>
        <v>0</v>
      </c>
      <c r="DO36" s="124">
        <f t="shared" ref="DO36:DO67" si="88">IF($DH36&lt;$C$44,$B$44*100*($C$44-$DH36),0)</f>
        <v>0</v>
      </c>
      <c r="DP36" s="124">
        <f t="shared" ref="DP36:DP67" si="89">IF($DH36&lt;$C$45,$B$45*100*($C$45-$DH36),0)</f>
        <v>0</v>
      </c>
      <c r="DQ36" s="124">
        <f t="shared" ref="DQ36:DQ67" si="90">IF($DH36&lt;$C$46,$B$46*100*($C$46-$DH36),0)</f>
        <v>0</v>
      </c>
      <c r="DR36" s="124">
        <f t="shared" ref="DR36:DR67" si="91">IF($DH36&lt;$C$47,$B$47*100*($C$47-$DH36),0)</f>
        <v>0</v>
      </c>
      <c r="DS36" s="124">
        <f t="shared" ref="DS36:DS67" si="92">IF($DH36&lt;$C$48,$B$48*100*($C$48-$DH36),0)</f>
        <v>0</v>
      </c>
      <c r="DT36" s="124">
        <f t="shared" ref="DT36:DT67" si="93">IF($DH36&lt;$C$49,$B$49*100*($C$49-$DH36),0)</f>
        <v>0</v>
      </c>
      <c r="DU36" s="124">
        <f t="shared" ref="DU36:DU67" si="94">IF($DH36&lt;$C$50,$B$50*100*($C$50-$DH36),0)</f>
        <v>0</v>
      </c>
      <c r="DV36" s="124">
        <f t="shared" ref="DV36:DV67" si="95">IF($DH36&lt;$C$51,$B$51*100*($C$51-$DH36),0)</f>
        <v>0</v>
      </c>
      <c r="DW36" s="124">
        <f t="shared" ref="DW36:DW67" si="96">IF($DH36&lt;$C$52,$B$52*100*($C$52-$DH36),0)</f>
        <v>0</v>
      </c>
      <c r="DX36" s="124">
        <f t="shared" ref="DX36:DX67" si="97">IF($DH36&lt;$C$53,$B$53*100*($C$53-$DH36),0)</f>
        <v>0</v>
      </c>
      <c r="DY36" s="124">
        <f t="shared" ref="DY36:DY67" si="98">IF($DH36&lt;$C$54,$B$54*100*($C$54-$DH36),0)</f>
        <v>0</v>
      </c>
      <c r="DZ36" s="124">
        <f t="shared" ref="DZ36:DZ67" si="99">IF($DH36&lt;$C$55,$B$55*100*($C$55-$DH36),0)</f>
        <v>0</v>
      </c>
      <c r="EA36" s="124">
        <f t="shared" ref="EA36:EA67" si="100">IF($DH36&lt;$C$56,$B$56*100*($C$56-$DH36),0)</f>
        <v>0</v>
      </c>
      <c r="EB36" s="124">
        <f t="shared" ref="EB36:EB67" si="101">IF($DH36&lt;$C$57,$B$57*100*($C$57-$DH36),0)</f>
        <v>0</v>
      </c>
      <c r="EC36" s="124">
        <f t="shared" ref="EC36:EC67" si="102">IF($DH36&lt;$C$58,$B$58*100*($C$58-$DH36),0)</f>
        <v>0</v>
      </c>
      <c r="ED36" s="124">
        <f t="shared" ref="ED36:ED67" si="103">IF($DH36&lt;$C$59,$B$59*100*($C$59-$DH36),0)</f>
        <v>0</v>
      </c>
      <c r="EE36" s="124">
        <f t="shared" ref="EE36:EE67" si="104">IF($DH36&lt;$C$60,$B$60*100*($C$60-$DH36),0)</f>
        <v>0</v>
      </c>
      <c r="EF36" s="124">
        <f t="shared" ref="EF36:EF67" si="105">IF($DH36&lt;$C$61,$B$61*100*($C$61-$DH36),0)</f>
        <v>0</v>
      </c>
      <c r="EG36" s="124">
        <f t="shared" ref="EG36:EG67" si="106">IF($DH36&lt;$C$62,$B$62*100*($C$62-$DH36),0)</f>
        <v>0</v>
      </c>
      <c r="EH36" s="124">
        <f t="shared" ref="EH36:EH67" si="107">IF($DH36&lt;$C$63,$B$63*100*($C$63-$DH36),0)</f>
        <v>0</v>
      </c>
      <c r="EI36" s="124">
        <f t="shared" ref="EI36:EI67" si="108">IF($DH36&lt;$C$64,$B$64*100*($C$64-$DH36),0)</f>
        <v>0</v>
      </c>
      <c r="EJ36" s="124">
        <f t="shared" ref="EJ36:EJ67" si="109">IF($DH36&lt;$C$65,$B$65*100*($C$65-$DH36),0)</f>
        <v>0</v>
      </c>
      <c r="EK36" s="124">
        <f t="shared" ref="EK36:EK67" si="110">IF($DH36&lt;$C$66,$B$66*100*($C$66-$DH36),0)</f>
        <v>0</v>
      </c>
      <c r="EL36" s="124">
        <f t="shared" ref="EL36:EL67" si="111">IF($DH36&lt;$C$67,$B$67*100*($C$67-$DH36),0)</f>
        <v>0</v>
      </c>
      <c r="EM36" s="124">
        <f t="shared" ref="EM36:EM67" si="112">IF($DH36&lt;$C$68,$B$68*100*($C$68-$DH36),0)</f>
        <v>0</v>
      </c>
      <c r="EN36" s="124">
        <f t="shared" ref="EN36:EN67" si="113">IF($DH36&lt;$C$69,$B$69*100*($C$69-$DH36),0)</f>
        <v>0</v>
      </c>
      <c r="EO36" s="124">
        <f t="shared" ref="EO36:EO67" si="114">IF($DH36&lt;$C$70,$B$70*100*($C$70-$DH36),0)</f>
        <v>0</v>
      </c>
      <c r="EP36" s="124">
        <f t="shared" ref="EP36:EP67" si="115">IF($DH36&lt;$C$71,$B$71*100*($C$71-$DH36),0)</f>
        <v>0</v>
      </c>
      <c r="EQ36" s="124">
        <f t="shared" ref="EQ36:EQ67" si="116">IF($DH36&lt;$C$72,$B$72*100*($C$72-$DH36),0)</f>
        <v>0</v>
      </c>
      <c r="ER36" s="124">
        <f t="shared" ref="ER36:ER67" si="117">$DH36*$B$73</f>
        <v>0</v>
      </c>
      <c r="ES36" s="124">
        <f t="shared" ref="ES36:ES67" si="118">$DH36*$B$74</f>
        <v>0</v>
      </c>
      <c r="ET36" s="124">
        <f t="shared" ref="ET36:ET67" si="119">$DH36*$B$75</f>
        <v>0</v>
      </c>
      <c r="EU36" s="124">
        <f t="shared" ref="EU36:EU67" si="120">$DH36*$AE$43</f>
        <v>0</v>
      </c>
      <c r="EV36" s="125"/>
      <c r="EW36" s="166">
        <f t="shared" ref="EW36:EW67" si="121">SUM(DI36:EU36)</f>
        <v>0</v>
      </c>
      <c r="EX36" s="72"/>
      <c r="EY36" s="123">
        <f t="shared" ref="EY36:EY67" si="122">EY3</f>
        <v>1064.1799556769529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3">$EY36*$B$73</f>
        <v>0</v>
      </c>
      <c r="GJ36" s="124">
        <f t="shared" ref="GJ36:GJ67" si="124">$EY36*$B$74</f>
        <v>0</v>
      </c>
      <c r="GK36" s="124">
        <f t="shared" ref="GK36:GK67" si="125">$EY36*$B$75</f>
        <v>0</v>
      </c>
      <c r="GL36" s="124">
        <f t="shared" ref="GL36:GL67" si="126">$EY36*$AE$43</f>
        <v>0</v>
      </c>
      <c r="GM36" s="125"/>
      <c r="GN36" s="166">
        <f t="shared" ref="GN36:GN67" ca="1" si="127">SUM(EZ36:GL36)</f>
        <v>0</v>
      </c>
    </row>
    <row r="37" spans="1:196" ht="15.75" thickBot="1">
      <c r="A37" s="167"/>
      <c r="B37" s="261"/>
      <c r="C37" s="262"/>
      <c r="D37" s="263"/>
      <c r="E37" s="264">
        <f t="shared" si="0"/>
        <v>0</v>
      </c>
      <c r="F37" s="265">
        <f t="shared" si="1"/>
        <v>0</v>
      </c>
      <c r="G37" s="266" t="str">
        <f t="shared" si="57"/>
        <v/>
      </c>
      <c r="H37" s="267">
        <f t="shared" si="58"/>
        <v>0</v>
      </c>
      <c r="I37" s="265">
        <f t="shared" si="2"/>
        <v>0</v>
      </c>
      <c r="J37" s="168"/>
      <c r="K37" s="169"/>
      <c r="L37" s="169"/>
      <c r="M37" s="170"/>
      <c r="N37" s="812" t="s">
        <v>451</v>
      </c>
      <c r="O37" s="789"/>
      <c r="P37" s="790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5" t="str">
        <f t="shared" si="71"/>
        <v/>
      </c>
      <c r="T37" s="110">
        <f t="shared" si="73"/>
        <v>0</v>
      </c>
      <c r="U37" s="111"/>
      <c r="V37" s="112">
        <f t="shared" ca="1" si="59"/>
        <v>0</v>
      </c>
      <c r="W37" s="113" t="str">
        <f t="shared" si="77"/>
        <v/>
      </c>
      <c r="X37" s="113" t="str">
        <f t="shared" si="78"/>
        <v/>
      </c>
      <c r="Y37" s="241">
        <f>IFERROR(VLOOKUP($X37,HomeBroker!$A$22:$F$100,2,0),0)</f>
        <v>0</v>
      </c>
      <c r="Z37" s="241">
        <f>IFERROR(VLOOKUP($X37,HomeBroker!$A$22:$F$100,3,0),0)</f>
        <v>0</v>
      </c>
      <c r="AA37" s="242">
        <f>IFERROR(VLOOKUP($X37,HomeBroker!$A$22:$F$100,6,0),0)</f>
        <v>0</v>
      </c>
      <c r="AB37" s="241">
        <f>IFERROR(VLOOKUP($X37,HomeBroker!$A$22:$F$100,4,0),0)</f>
        <v>0</v>
      </c>
      <c r="AC37" s="241">
        <f>IFERROR(VLOOKUP($X37,HomeBroker!$A$22:$F$100,5,0),0)</f>
        <v>0</v>
      </c>
      <c r="AD37" s="292">
        <f>IFERROR(VLOOKUP($X37,HomeBroker!$A$22:$N$100,14,0),0)</f>
        <v>0</v>
      </c>
      <c r="AE37" s="246" t="str">
        <f t="shared" si="62"/>
        <v/>
      </c>
      <c r="AF37" s="110">
        <f t="shared" si="74"/>
        <v>0</v>
      </c>
      <c r="AG37" s="111"/>
      <c r="AH37" s="112">
        <f t="shared" ca="1" si="64"/>
        <v>0</v>
      </c>
      <c r="AI37" s="113" t="str">
        <f t="shared" si="79"/>
        <v/>
      </c>
      <c r="AJ37" s="113" t="str">
        <f t="shared" si="80"/>
        <v/>
      </c>
      <c r="AK37" s="114">
        <f>IFERROR(VLOOKUP($AJ37,HomeBroker!$A$22:$F$100,2,0),0)</f>
        <v>0</v>
      </c>
      <c r="AL37" s="241">
        <f>IFERROR(VLOOKUP($AJ37,HomeBroker!$A$22:$F$100,3,0),0)</f>
        <v>0</v>
      </c>
      <c r="AM37" s="242">
        <f>IFERROR(VLOOKUP($AJ37,HomeBroker!$A$22:$F$100,6,0),0)</f>
        <v>0</v>
      </c>
      <c r="AN37" s="241">
        <f>IFERROR(VLOOKUP($AJ37,HomeBroker!$A$22:$F$100,4,0),0)</f>
        <v>0</v>
      </c>
      <c r="AO37" s="114">
        <f>IFERROR(VLOOKUP($AJ37,HomeBroker!$A$22:$F$100,5,0),0)</f>
        <v>0</v>
      </c>
      <c r="AP37" s="115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6"/>
      <c r="AW37" s="136" t="s">
        <v>354</v>
      </c>
      <c r="AX37" s="118"/>
      <c r="AY37" s="140"/>
      <c r="AZ37" s="141"/>
      <c r="BA37" s="290">
        <f t="shared" si="10"/>
        <v>0</v>
      </c>
      <c r="BB37" s="291">
        <f t="shared" si="11"/>
        <v>0</v>
      </c>
      <c r="BC37" s="120" t="s">
        <v>408</v>
      </c>
      <c r="BD37" s="118"/>
      <c r="BE37" s="143"/>
      <c r="BF37" s="121"/>
      <c r="BG37" s="293">
        <f t="shared" si="12"/>
        <v>0</v>
      </c>
      <c r="BH37" s="295">
        <f t="shared" si="13"/>
        <v>0</v>
      </c>
      <c r="BI37" s="122" t="s">
        <v>409</v>
      </c>
      <c r="BJ37" s="118"/>
      <c r="BK37" s="121"/>
      <c r="BL37" s="296">
        <f t="shared" si="14"/>
        <v>0</v>
      </c>
      <c r="BM37" s="297">
        <f t="shared" si="15"/>
        <v>0</v>
      </c>
      <c r="DH37" s="123">
        <f t="shared" si="81"/>
        <v>1120.1894270283715</v>
      </c>
      <c r="DI37" s="124">
        <f t="shared" si="82"/>
        <v>0</v>
      </c>
      <c r="DJ37" s="124">
        <f t="shared" si="83"/>
        <v>0</v>
      </c>
      <c r="DK37" s="124">
        <f t="shared" si="84"/>
        <v>0</v>
      </c>
      <c r="DL37" s="124">
        <f t="shared" si="85"/>
        <v>0</v>
      </c>
      <c r="DM37" s="124">
        <f t="shared" si="86"/>
        <v>0</v>
      </c>
      <c r="DN37" s="124">
        <f t="shared" si="87"/>
        <v>0</v>
      </c>
      <c r="DO37" s="124">
        <f t="shared" si="88"/>
        <v>0</v>
      </c>
      <c r="DP37" s="124">
        <f t="shared" si="89"/>
        <v>0</v>
      </c>
      <c r="DQ37" s="124">
        <f t="shared" si="90"/>
        <v>0</v>
      </c>
      <c r="DR37" s="124">
        <f t="shared" si="91"/>
        <v>0</v>
      </c>
      <c r="DS37" s="124">
        <f t="shared" si="92"/>
        <v>0</v>
      </c>
      <c r="DT37" s="124">
        <f t="shared" si="93"/>
        <v>0</v>
      </c>
      <c r="DU37" s="124">
        <f t="shared" si="94"/>
        <v>0</v>
      </c>
      <c r="DV37" s="124">
        <f t="shared" si="95"/>
        <v>0</v>
      </c>
      <c r="DW37" s="124">
        <f t="shared" si="96"/>
        <v>0</v>
      </c>
      <c r="DX37" s="124">
        <f t="shared" si="97"/>
        <v>0</v>
      </c>
      <c r="DY37" s="124">
        <f t="shared" si="98"/>
        <v>0</v>
      </c>
      <c r="DZ37" s="124">
        <f t="shared" si="99"/>
        <v>0</v>
      </c>
      <c r="EA37" s="124">
        <f t="shared" si="100"/>
        <v>0</v>
      </c>
      <c r="EB37" s="124">
        <f t="shared" si="101"/>
        <v>0</v>
      </c>
      <c r="EC37" s="124">
        <f t="shared" si="102"/>
        <v>0</v>
      </c>
      <c r="ED37" s="124">
        <f t="shared" si="103"/>
        <v>0</v>
      </c>
      <c r="EE37" s="124">
        <f t="shared" si="104"/>
        <v>0</v>
      </c>
      <c r="EF37" s="124">
        <f t="shared" si="105"/>
        <v>0</v>
      </c>
      <c r="EG37" s="124">
        <f t="shared" si="106"/>
        <v>0</v>
      </c>
      <c r="EH37" s="124">
        <f t="shared" si="107"/>
        <v>0</v>
      </c>
      <c r="EI37" s="124">
        <f t="shared" si="108"/>
        <v>0</v>
      </c>
      <c r="EJ37" s="124">
        <f t="shared" si="109"/>
        <v>0</v>
      </c>
      <c r="EK37" s="124">
        <f t="shared" si="110"/>
        <v>0</v>
      </c>
      <c r="EL37" s="124">
        <f t="shared" si="111"/>
        <v>0</v>
      </c>
      <c r="EM37" s="124">
        <f t="shared" si="112"/>
        <v>0</v>
      </c>
      <c r="EN37" s="124">
        <f t="shared" si="113"/>
        <v>0</v>
      </c>
      <c r="EO37" s="124">
        <f t="shared" si="114"/>
        <v>0</v>
      </c>
      <c r="EP37" s="124">
        <f t="shared" si="115"/>
        <v>0</v>
      </c>
      <c r="EQ37" s="124">
        <f t="shared" si="116"/>
        <v>0</v>
      </c>
      <c r="ER37" s="124">
        <f t="shared" si="117"/>
        <v>0</v>
      </c>
      <c r="ES37" s="124">
        <f t="shared" si="118"/>
        <v>0</v>
      </c>
      <c r="ET37" s="124">
        <f t="shared" si="119"/>
        <v>0</v>
      </c>
      <c r="EU37" s="124">
        <f t="shared" si="120"/>
        <v>0</v>
      </c>
      <c r="EV37" s="125"/>
      <c r="EW37" s="166">
        <f t="shared" si="121"/>
        <v>0</v>
      </c>
      <c r="EX37" s="72"/>
      <c r="EY37" s="123">
        <f t="shared" si="122"/>
        <v>1120.1894270283715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3"/>
        <v>0</v>
      </c>
      <c r="GJ37" s="124">
        <f t="shared" si="124"/>
        <v>0</v>
      </c>
      <c r="GK37" s="124">
        <f t="shared" si="125"/>
        <v>0</v>
      </c>
      <c r="GL37" s="124">
        <f t="shared" si="126"/>
        <v>0</v>
      </c>
      <c r="GM37" s="125"/>
      <c r="GN37" s="166">
        <f t="shared" ca="1" si="127"/>
        <v>0</v>
      </c>
    </row>
    <row r="38" spans="1:196">
      <c r="A38" s="172" t="s">
        <v>407</v>
      </c>
      <c r="B38" s="173"/>
      <c r="C38" s="247"/>
      <c r="D38" s="248"/>
      <c r="E38" s="249">
        <f t="shared" si="0"/>
        <v>0</v>
      </c>
      <c r="F38" s="250">
        <f t="shared" si="1"/>
        <v>0</v>
      </c>
      <c r="G38" s="251" t="str">
        <f>IFERROR(VLOOKUP(C38,$AG$3:$AP$50,7,0),"")</f>
        <v/>
      </c>
      <c r="H38" s="252">
        <f t="shared" si="58"/>
        <v>0</v>
      </c>
      <c r="I38" s="253">
        <f t="shared" si="2"/>
        <v>0</v>
      </c>
      <c r="J38" s="69"/>
      <c r="K38" s="69"/>
      <c r="L38" s="69"/>
      <c r="M38" s="69"/>
      <c r="N38" s="813" t="s">
        <v>452</v>
      </c>
      <c r="O38" s="789"/>
      <c r="P38" s="790"/>
      <c r="Q38" s="174">
        <f>SUM(T3:T42)</f>
        <v>0</v>
      </c>
      <c r="R38" s="62"/>
      <c r="S38" s="245" t="str">
        <f t="shared" si="71"/>
        <v/>
      </c>
      <c r="T38" s="110">
        <f t="shared" si="73"/>
        <v>0</v>
      </c>
      <c r="U38" s="111"/>
      <c r="V38" s="112">
        <f t="shared" ca="1" si="59"/>
        <v>0</v>
      </c>
      <c r="W38" s="113" t="str">
        <f t="shared" si="77"/>
        <v/>
      </c>
      <c r="X38" s="113" t="str">
        <f t="shared" si="78"/>
        <v/>
      </c>
      <c r="Y38" s="241">
        <f>IFERROR(VLOOKUP($X38,HomeBroker!$A$22:$F$100,2,0),0)</f>
        <v>0</v>
      </c>
      <c r="Z38" s="241">
        <f>IFERROR(VLOOKUP($X38,HomeBroker!$A$22:$F$100,3,0),0)</f>
        <v>0</v>
      </c>
      <c r="AA38" s="242">
        <f>IFERROR(VLOOKUP($X38,HomeBroker!$A$22:$F$100,6,0),0)</f>
        <v>0</v>
      </c>
      <c r="AB38" s="241">
        <f>IFERROR(VLOOKUP($X38,HomeBroker!$A$22:$F$100,4,0),0)</f>
        <v>0</v>
      </c>
      <c r="AC38" s="241">
        <f>IFERROR(VLOOKUP($X38,HomeBroker!$A$22:$F$100,5,0),0)</f>
        <v>0</v>
      </c>
      <c r="AD38" s="292">
        <f>IFERROR(VLOOKUP($X38,HomeBroker!$A$22:$N$100,14,0),0)</f>
        <v>0</v>
      </c>
      <c r="AE38" s="246" t="str">
        <f t="shared" si="62"/>
        <v/>
      </c>
      <c r="AF38" s="110">
        <f t="shared" si="74"/>
        <v>0</v>
      </c>
      <c r="AG38" s="111"/>
      <c r="AH38" s="112">
        <f t="shared" ca="1" si="64"/>
        <v>0</v>
      </c>
      <c r="AI38" s="113" t="str">
        <f t="shared" si="79"/>
        <v/>
      </c>
      <c r="AJ38" s="113" t="str">
        <f t="shared" si="80"/>
        <v/>
      </c>
      <c r="AK38" s="114">
        <f>IFERROR(VLOOKUP($AJ38,HomeBroker!$A$22:$F$100,2,0),0)</f>
        <v>0</v>
      </c>
      <c r="AL38" s="241">
        <f>IFERROR(VLOOKUP($AJ38,HomeBroker!$A$22:$F$100,3,0),0)</f>
        <v>0</v>
      </c>
      <c r="AM38" s="242">
        <f>IFERROR(VLOOKUP($AJ38,HomeBroker!$A$22:$F$100,6,0),0)</f>
        <v>0</v>
      </c>
      <c r="AN38" s="241">
        <f>IFERROR(VLOOKUP($AJ38,HomeBroker!$A$22:$F$100,4,0),0)</f>
        <v>0</v>
      </c>
      <c r="AO38" s="114">
        <f>IFERROR(VLOOKUP($AJ38,HomeBroker!$A$22:$F$100,5,0),0)</f>
        <v>0</v>
      </c>
      <c r="AP38" s="115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5"/>
      <c r="AW38" s="176" t="s">
        <v>354</v>
      </c>
      <c r="AX38" s="118"/>
      <c r="AY38" s="140"/>
      <c r="AZ38" s="141"/>
      <c r="BA38" s="290">
        <f t="shared" si="10"/>
        <v>0</v>
      </c>
      <c r="BB38" s="291">
        <f t="shared" si="11"/>
        <v>0</v>
      </c>
      <c r="BC38" s="177" t="s">
        <v>408</v>
      </c>
      <c r="BD38" s="118"/>
      <c r="BE38" s="143"/>
      <c r="BF38" s="121"/>
      <c r="BG38" s="293">
        <f t="shared" si="12"/>
        <v>0</v>
      </c>
      <c r="BH38" s="295">
        <f t="shared" si="13"/>
        <v>0</v>
      </c>
      <c r="BI38" s="178" t="s">
        <v>409</v>
      </c>
      <c r="BJ38" s="118"/>
      <c r="BK38" s="121"/>
      <c r="BL38" s="296">
        <f t="shared" si="14"/>
        <v>0</v>
      </c>
      <c r="BM38" s="297">
        <f t="shared" si="15"/>
        <v>0</v>
      </c>
      <c r="DH38" s="123">
        <f t="shared" si="81"/>
        <v>1179.1467652930228</v>
      </c>
      <c r="DI38" s="124">
        <f t="shared" si="82"/>
        <v>0</v>
      </c>
      <c r="DJ38" s="124">
        <f t="shared" si="83"/>
        <v>0</v>
      </c>
      <c r="DK38" s="124">
        <f t="shared" si="84"/>
        <v>0</v>
      </c>
      <c r="DL38" s="124">
        <f t="shared" si="85"/>
        <v>0</v>
      </c>
      <c r="DM38" s="124">
        <f t="shared" si="86"/>
        <v>0</v>
      </c>
      <c r="DN38" s="124">
        <f t="shared" si="87"/>
        <v>0</v>
      </c>
      <c r="DO38" s="124">
        <f t="shared" si="88"/>
        <v>0</v>
      </c>
      <c r="DP38" s="124">
        <f t="shared" si="89"/>
        <v>0</v>
      </c>
      <c r="DQ38" s="124">
        <f t="shared" si="90"/>
        <v>0</v>
      </c>
      <c r="DR38" s="124">
        <f t="shared" si="91"/>
        <v>0</v>
      </c>
      <c r="DS38" s="124">
        <f t="shared" si="92"/>
        <v>0</v>
      </c>
      <c r="DT38" s="124">
        <f t="shared" si="93"/>
        <v>0</v>
      </c>
      <c r="DU38" s="124">
        <f t="shared" si="94"/>
        <v>0</v>
      </c>
      <c r="DV38" s="124">
        <f t="shared" si="95"/>
        <v>0</v>
      </c>
      <c r="DW38" s="124">
        <f t="shared" si="96"/>
        <v>0</v>
      </c>
      <c r="DX38" s="124">
        <f t="shared" si="97"/>
        <v>0</v>
      </c>
      <c r="DY38" s="124">
        <f t="shared" si="98"/>
        <v>0</v>
      </c>
      <c r="DZ38" s="124">
        <f t="shared" si="99"/>
        <v>0</v>
      </c>
      <c r="EA38" s="124">
        <f t="shared" si="100"/>
        <v>0</v>
      </c>
      <c r="EB38" s="124">
        <f t="shared" si="101"/>
        <v>0</v>
      </c>
      <c r="EC38" s="124">
        <f t="shared" si="102"/>
        <v>0</v>
      </c>
      <c r="ED38" s="124">
        <f t="shared" si="103"/>
        <v>0</v>
      </c>
      <c r="EE38" s="124">
        <f t="shared" si="104"/>
        <v>0</v>
      </c>
      <c r="EF38" s="124">
        <f t="shared" si="105"/>
        <v>0</v>
      </c>
      <c r="EG38" s="124">
        <f t="shared" si="106"/>
        <v>0</v>
      </c>
      <c r="EH38" s="124">
        <f t="shared" si="107"/>
        <v>0</v>
      </c>
      <c r="EI38" s="124">
        <f t="shared" si="108"/>
        <v>0</v>
      </c>
      <c r="EJ38" s="124">
        <f t="shared" si="109"/>
        <v>0</v>
      </c>
      <c r="EK38" s="124">
        <f t="shared" si="110"/>
        <v>0</v>
      </c>
      <c r="EL38" s="124">
        <f t="shared" si="111"/>
        <v>0</v>
      </c>
      <c r="EM38" s="124">
        <f t="shared" si="112"/>
        <v>0</v>
      </c>
      <c r="EN38" s="124">
        <f t="shared" si="113"/>
        <v>0</v>
      </c>
      <c r="EO38" s="124">
        <f t="shared" si="114"/>
        <v>0</v>
      </c>
      <c r="EP38" s="124">
        <f t="shared" si="115"/>
        <v>0</v>
      </c>
      <c r="EQ38" s="124">
        <f t="shared" si="116"/>
        <v>0</v>
      </c>
      <c r="ER38" s="124">
        <f t="shared" si="117"/>
        <v>0</v>
      </c>
      <c r="ES38" s="124">
        <f t="shared" si="118"/>
        <v>0</v>
      </c>
      <c r="ET38" s="124">
        <f t="shared" si="119"/>
        <v>0</v>
      </c>
      <c r="EU38" s="124">
        <f t="shared" si="120"/>
        <v>0</v>
      </c>
      <c r="EV38" s="125"/>
      <c r="EW38" s="166">
        <f t="shared" si="121"/>
        <v>0</v>
      </c>
      <c r="EX38" s="72"/>
      <c r="EY38" s="123">
        <f t="shared" si="122"/>
        <v>1179.1467652930228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3"/>
        <v>0</v>
      </c>
      <c r="GJ38" s="124">
        <f t="shared" si="124"/>
        <v>0</v>
      </c>
      <c r="GK38" s="124">
        <f t="shared" si="125"/>
        <v>0</v>
      </c>
      <c r="GL38" s="124">
        <f t="shared" si="126"/>
        <v>0</v>
      </c>
      <c r="GM38" s="125"/>
      <c r="GN38" s="166">
        <f t="shared" ca="1" si="127"/>
        <v>0</v>
      </c>
    </row>
    <row r="39" spans="1:196">
      <c r="A39" s="179" t="s">
        <v>410</v>
      </c>
      <c r="B39" s="173"/>
      <c r="C39" s="247"/>
      <c r="D39" s="248"/>
      <c r="E39" s="249">
        <f t="shared" si="0"/>
        <v>0</v>
      </c>
      <c r="F39" s="250">
        <f t="shared" si="1"/>
        <v>0</v>
      </c>
      <c r="G39" s="251" t="str">
        <f>IFERROR(VLOOKUP(C39,$AG$3:$AP$50,7,0),"")</f>
        <v/>
      </c>
      <c r="H39" s="252">
        <f t="shared" si="58"/>
        <v>0</v>
      </c>
      <c r="I39" s="253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8">IFERROR(K39/J39-1,"")</f>
        <v/>
      </c>
      <c r="M39" s="134">
        <f>I39+I38</f>
        <v>0</v>
      </c>
      <c r="N39" s="814" t="s">
        <v>453</v>
      </c>
      <c r="O39" s="789"/>
      <c r="P39" s="790"/>
      <c r="Q39" s="180">
        <f>SUM(AF3:AF42)</f>
        <v>0</v>
      </c>
      <c r="R39" s="62"/>
      <c r="S39" s="245" t="str">
        <f t="shared" si="71"/>
        <v/>
      </c>
      <c r="T39" s="110">
        <f t="shared" si="73"/>
        <v>0</v>
      </c>
      <c r="U39" s="111"/>
      <c r="V39" s="112">
        <f t="shared" ca="1" si="59"/>
        <v>0</v>
      </c>
      <c r="W39" s="113" t="str">
        <f t="shared" si="77"/>
        <v/>
      </c>
      <c r="X39" s="113" t="str">
        <f t="shared" si="78"/>
        <v/>
      </c>
      <c r="Y39" s="241">
        <f>IFERROR(VLOOKUP($X39,HomeBroker!$A$22:$F$100,2,0),0)</f>
        <v>0</v>
      </c>
      <c r="Z39" s="241">
        <f>IFERROR(VLOOKUP($X39,HomeBroker!$A$22:$F$100,3,0),0)</f>
        <v>0</v>
      </c>
      <c r="AA39" s="242">
        <f>IFERROR(VLOOKUP($X39,HomeBroker!$A$22:$F$100,6,0),0)</f>
        <v>0</v>
      </c>
      <c r="AB39" s="241">
        <f>IFERROR(VLOOKUP($X39,HomeBroker!$A$22:$F$100,4,0),0)</f>
        <v>0</v>
      </c>
      <c r="AC39" s="241">
        <f>IFERROR(VLOOKUP($X39,HomeBroker!$A$22:$F$100,5,0),0)</f>
        <v>0</v>
      </c>
      <c r="AD39" s="292">
        <f>IFERROR(VLOOKUP($X39,HomeBroker!$A$22:$N$100,14,0),0)</f>
        <v>0</v>
      </c>
      <c r="AE39" s="246" t="str">
        <f t="shared" si="62"/>
        <v/>
      </c>
      <c r="AF39" s="110">
        <f t="shared" si="74"/>
        <v>0</v>
      </c>
      <c r="AG39" s="111"/>
      <c r="AH39" s="112">
        <f t="shared" ca="1" si="64"/>
        <v>0</v>
      </c>
      <c r="AI39" s="113" t="str">
        <f t="shared" si="79"/>
        <v/>
      </c>
      <c r="AJ39" s="113" t="str">
        <f t="shared" si="80"/>
        <v/>
      </c>
      <c r="AK39" s="114">
        <f>IFERROR(VLOOKUP($AJ39,HomeBroker!$A$22:$F$100,2,0),0)</f>
        <v>0</v>
      </c>
      <c r="AL39" s="241">
        <f>IFERROR(VLOOKUP($AJ39,HomeBroker!$A$22:$F$100,3,0),0)</f>
        <v>0</v>
      </c>
      <c r="AM39" s="242">
        <f>IFERROR(VLOOKUP($AJ39,HomeBroker!$A$22:$F$100,6,0),0)</f>
        <v>0</v>
      </c>
      <c r="AN39" s="241">
        <f>IFERROR(VLOOKUP($AJ39,HomeBroker!$A$22:$F$100,4,0),0)</f>
        <v>0</v>
      </c>
      <c r="AO39" s="114">
        <f>IFERROR(VLOOKUP($AJ39,HomeBroker!$A$22:$F$100,5,0),0)</f>
        <v>0</v>
      </c>
      <c r="AP39" s="115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5"/>
      <c r="AW39" s="176" t="s">
        <v>354</v>
      </c>
      <c r="AX39" s="118"/>
      <c r="AY39" s="140"/>
      <c r="AZ39" s="141"/>
      <c r="BA39" s="290">
        <f t="shared" si="10"/>
        <v>0</v>
      </c>
      <c r="BB39" s="291">
        <f t="shared" si="11"/>
        <v>0</v>
      </c>
      <c r="BC39" s="177" t="s">
        <v>408</v>
      </c>
      <c r="BD39" s="118"/>
      <c r="BE39" s="143"/>
      <c r="BF39" s="121"/>
      <c r="BG39" s="293">
        <f t="shared" si="12"/>
        <v>0</v>
      </c>
      <c r="BH39" s="295">
        <f t="shared" si="13"/>
        <v>0</v>
      </c>
      <c r="BI39" s="178" t="s">
        <v>409</v>
      </c>
      <c r="BJ39" s="118"/>
      <c r="BK39" s="121"/>
      <c r="BL39" s="296">
        <f t="shared" si="14"/>
        <v>0</v>
      </c>
      <c r="BM39" s="297">
        <f t="shared" si="15"/>
        <v>0</v>
      </c>
      <c r="DH39" s="123">
        <f t="shared" si="81"/>
        <v>1241.2071213610766</v>
      </c>
      <c r="DI39" s="124">
        <f t="shared" si="82"/>
        <v>0</v>
      </c>
      <c r="DJ39" s="124">
        <f t="shared" si="83"/>
        <v>0</v>
      </c>
      <c r="DK39" s="124">
        <f t="shared" si="84"/>
        <v>0</v>
      </c>
      <c r="DL39" s="124">
        <f t="shared" si="85"/>
        <v>0</v>
      </c>
      <c r="DM39" s="124">
        <f t="shared" si="86"/>
        <v>0</v>
      </c>
      <c r="DN39" s="124">
        <f t="shared" si="87"/>
        <v>0</v>
      </c>
      <c r="DO39" s="124">
        <f t="shared" si="88"/>
        <v>0</v>
      </c>
      <c r="DP39" s="124">
        <f t="shared" si="89"/>
        <v>0</v>
      </c>
      <c r="DQ39" s="124">
        <f t="shared" si="90"/>
        <v>0</v>
      </c>
      <c r="DR39" s="124">
        <f t="shared" si="91"/>
        <v>0</v>
      </c>
      <c r="DS39" s="124">
        <f t="shared" si="92"/>
        <v>0</v>
      </c>
      <c r="DT39" s="124">
        <f t="shared" si="93"/>
        <v>0</v>
      </c>
      <c r="DU39" s="124">
        <f t="shared" si="94"/>
        <v>0</v>
      </c>
      <c r="DV39" s="124">
        <f t="shared" si="95"/>
        <v>0</v>
      </c>
      <c r="DW39" s="124">
        <f t="shared" si="96"/>
        <v>0</v>
      </c>
      <c r="DX39" s="124">
        <f t="shared" si="97"/>
        <v>0</v>
      </c>
      <c r="DY39" s="124">
        <f t="shared" si="98"/>
        <v>0</v>
      </c>
      <c r="DZ39" s="124">
        <f t="shared" si="99"/>
        <v>0</v>
      </c>
      <c r="EA39" s="124">
        <f t="shared" si="100"/>
        <v>0</v>
      </c>
      <c r="EB39" s="124">
        <f t="shared" si="101"/>
        <v>0</v>
      </c>
      <c r="EC39" s="124">
        <f t="shared" si="102"/>
        <v>0</v>
      </c>
      <c r="ED39" s="124">
        <f t="shared" si="103"/>
        <v>0</v>
      </c>
      <c r="EE39" s="124">
        <f t="shared" si="104"/>
        <v>0</v>
      </c>
      <c r="EF39" s="124">
        <f t="shared" si="105"/>
        <v>0</v>
      </c>
      <c r="EG39" s="124">
        <f t="shared" si="106"/>
        <v>0</v>
      </c>
      <c r="EH39" s="124">
        <f t="shared" si="107"/>
        <v>0</v>
      </c>
      <c r="EI39" s="124">
        <f t="shared" si="108"/>
        <v>0</v>
      </c>
      <c r="EJ39" s="124">
        <f t="shared" si="109"/>
        <v>0</v>
      </c>
      <c r="EK39" s="124">
        <f t="shared" si="110"/>
        <v>0</v>
      </c>
      <c r="EL39" s="124">
        <f t="shared" si="111"/>
        <v>0</v>
      </c>
      <c r="EM39" s="124">
        <f t="shared" si="112"/>
        <v>0</v>
      </c>
      <c r="EN39" s="124">
        <f t="shared" si="113"/>
        <v>0</v>
      </c>
      <c r="EO39" s="124">
        <f t="shared" si="114"/>
        <v>0</v>
      </c>
      <c r="EP39" s="124">
        <f t="shared" si="115"/>
        <v>0</v>
      </c>
      <c r="EQ39" s="124">
        <f t="shared" si="116"/>
        <v>0</v>
      </c>
      <c r="ER39" s="124">
        <f t="shared" si="117"/>
        <v>0</v>
      </c>
      <c r="ES39" s="124">
        <f t="shared" si="118"/>
        <v>0</v>
      </c>
      <c r="ET39" s="124">
        <f t="shared" si="119"/>
        <v>0</v>
      </c>
      <c r="EU39" s="124">
        <f t="shared" si="120"/>
        <v>0</v>
      </c>
      <c r="EV39" s="125"/>
      <c r="EW39" s="166">
        <f t="shared" si="121"/>
        <v>0</v>
      </c>
      <c r="EX39" s="72"/>
      <c r="EY39" s="123">
        <f t="shared" si="122"/>
        <v>1241.2071213610766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3"/>
        <v>0</v>
      </c>
      <c r="GJ39" s="124">
        <f t="shared" si="124"/>
        <v>0</v>
      </c>
      <c r="GK39" s="124">
        <f t="shared" si="125"/>
        <v>0</v>
      </c>
      <c r="GL39" s="124">
        <f t="shared" si="126"/>
        <v>0</v>
      </c>
      <c r="GM39" s="125"/>
      <c r="GN39" s="166">
        <f t="shared" ca="1" si="127"/>
        <v>0</v>
      </c>
    </row>
    <row r="40" spans="1:196">
      <c r="A40" s="181" t="s">
        <v>411</v>
      </c>
      <c r="B40" s="173"/>
      <c r="C40" s="247"/>
      <c r="D40" s="248"/>
      <c r="E40" s="249">
        <f t="shared" si="0"/>
        <v>0</v>
      </c>
      <c r="F40" s="250">
        <f t="shared" si="1"/>
        <v>0</v>
      </c>
      <c r="G40" s="251" t="str">
        <f t="shared" ref="G40:G72" si="129">IFERROR(VLOOKUP(C40,$AG$3:$AP$42,7,0),"")</f>
        <v/>
      </c>
      <c r="H40" s="252">
        <f t="shared" si="58"/>
        <v>0</v>
      </c>
      <c r="I40" s="253">
        <f t="shared" si="2"/>
        <v>0</v>
      </c>
      <c r="J40" s="69"/>
      <c r="K40" s="69"/>
      <c r="L40" s="69"/>
      <c r="M40" s="69"/>
      <c r="N40" s="809" t="s">
        <v>0</v>
      </c>
      <c r="O40" s="789"/>
      <c r="P40" s="790"/>
      <c r="Q40" s="182">
        <f>AE43+SUM(B73:B75)</f>
        <v>0</v>
      </c>
      <c r="R40" s="62"/>
      <c r="S40" s="245" t="str">
        <f t="shared" si="71"/>
        <v/>
      </c>
      <c r="T40" s="110">
        <f t="shared" si="73"/>
        <v>0</v>
      </c>
      <c r="U40" s="111"/>
      <c r="V40" s="112">
        <f t="shared" ca="1" si="59"/>
        <v>0</v>
      </c>
      <c r="W40" s="113" t="str">
        <f t="shared" si="77"/>
        <v/>
      </c>
      <c r="X40" s="113" t="str">
        <f t="shared" si="78"/>
        <v/>
      </c>
      <c r="Y40" s="241">
        <f>IFERROR(VLOOKUP($X40,HomeBroker!$A$22:$F$100,2,0),0)</f>
        <v>0</v>
      </c>
      <c r="Z40" s="241">
        <f>IFERROR(VLOOKUP($X40,HomeBroker!$A$22:$F$100,3,0),0)</f>
        <v>0</v>
      </c>
      <c r="AA40" s="242">
        <f>IFERROR(VLOOKUP($X40,HomeBroker!$A$22:$F$100,6,0),0)</f>
        <v>0</v>
      </c>
      <c r="AB40" s="241">
        <f>IFERROR(VLOOKUP($X40,HomeBroker!$A$22:$F$100,4,0),0)</f>
        <v>0</v>
      </c>
      <c r="AC40" s="241">
        <f>IFERROR(VLOOKUP($X40,HomeBroker!$A$22:$F$100,5,0),0)</f>
        <v>0</v>
      </c>
      <c r="AD40" s="292">
        <f>IFERROR(VLOOKUP($X40,HomeBroker!$A$22:$N$100,14,0),0)</f>
        <v>0</v>
      </c>
      <c r="AE40" s="246" t="str">
        <f t="shared" si="62"/>
        <v/>
      </c>
      <c r="AF40" s="110">
        <f t="shared" si="74"/>
        <v>0</v>
      </c>
      <c r="AG40" s="111"/>
      <c r="AH40" s="112">
        <f t="shared" ca="1" si="64"/>
        <v>0</v>
      </c>
      <c r="AI40" s="113" t="str">
        <f t="shared" si="79"/>
        <v/>
      </c>
      <c r="AJ40" s="113" t="str">
        <f t="shared" si="80"/>
        <v/>
      </c>
      <c r="AK40" s="114">
        <f>IFERROR(VLOOKUP($AJ40,HomeBroker!$A$22:$F$100,2,0),0)</f>
        <v>0</v>
      </c>
      <c r="AL40" s="241">
        <f>IFERROR(VLOOKUP($AJ40,HomeBroker!$A$22:$F$100,3,0),0)</f>
        <v>0</v>
      </c>
      <c r="AM40" s="242">
        <f>IFERROR(VLOOKUP($AJ40,HomeBroker!$A$22:$F$100,6,0),0)</f>
        <v>0</v>
      </c>
      <c r="AN40" s="241">
        <f>IFERROR(VLOOKUP($AJ40,HomeBroker!$A$22:$F$100,4,0),0)</f>
        <v>0</v>
      </c>
      <c r="AO40" s="114">
        <f>IFERROR(VLOOKUP($AJ40,HomeBroker!$A$22:$F$100,5,0),0)</f>
        <v>0</v>
      </c>
      <c r="AP40" s="115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5"/>
      <c r="AW40" s="176" t="s">
        <v>354</v>
      </c>
      <c r="AX40" s="118"/>
      <c r="AY40" s="140"/>
      <c r="AZ40" s="141"/>
      <c r="BA40" s="290">
        <f t="shared" si="10"/>
        <v>0</v>
      </c>
      <c r="BB40" s="291">
        <f t="shared" si="11"/>
        <v>0</v>
      </c>
      <c r="BC40" s="177" t="s">
        <v>408</v>
      </c>
      <c r="BD40" s="118"/>
      <c r="BE40" s="143"/>
      <c r="BF40" s="121"/>
      <c r="BG40" s="293">
        <f t="shared" si="12"/>
        <v>0</v>
      </c>
      <c r="BH40" s="295">
        <f t="shared" si="13"/>
        <v>0</v>
      </c>
      <c r="BI40" s="178" t="s">
        <v>409</v>
      </c>
      <c r="BJ40" s="118"/>
      <c r="BK40" s="121"/>
      <c r="BL40" s="296">
        <f t="shared" si="14"/>
        <v>0</v>
      </c>
      <c r="BM40" s="297">
        <f t="shared" si="15"/>
        <v>0</v>
      </c>
      <c r="DH40" s="123">
        <f t="shared" si="81"/>
        <v>1306.5338119590281</v>
      </c>
      <c r="DI40" s="124">
        <f t="shared" si="82"/>
        <v>0</v>
      </c>
      <c r="DJ40" s="124">
        <f t="shared" si="83"/>
        <v>0</v>
      </c>
      <c r="DK40" s="124">
        <f t="shared" si="84"/>
        <v>0</v>
      </c>
      <c r="DL40" s="124">
        <f t="shared" si="85"/>
        <v>0</v>
      </c>
      <c r="DM40" s="124">
        <f t="shared" si="86"/>
        <v>0</v>
      </c>
      <c r="DN40" s="124">
        <f t="shared" si="87"/>
        <v>0</v>
      </c>
      <c r="DO40" s="124">
        <f t="shared" si="88"/>
        <v>0</v>
      </c>
      <c r="DP40" s="124">
        <f t="shared" si="89"/>
        <v>0</v>
      </c>
      <c r="DQ40" s="124">
        <f t="shared" si="90"/>
        <v>0</v>
      </c>
      <c r="DR40" s="124">
        <f t="shared" si="91"/>
        <v>0</v>
      </c>
      <c r="DS40" s="124">
        <f t="shared" si="92"/>
        <v>0</v>
      </c>
      <c r="DT40" s="124">
        <f t="shared" si="93"/>
        <v>0</v>
      </c>
      <c r="DU40" s="124">
        <f t="shared" si="94"/>
        <v>0</v>
      </c>
      <c r="DV40" s="124">
        <f t="shared" si="95"/>
        <v>0</v>
      </c>
      <c r="DW40" s="124">
        <f t="shared" si="96"/>
        <v>0</v>
      </c>
      <c r="DX40" s="124">
        <f t="shared" si="97"/>
        <v>0</v>
      </c>
      <c r="DY40" s="124">
        <f t="shared" si="98"/>
        <v>0</v>
      </c>
      <c r="DZ40" s="124">
        <f t="shared" si="99"/>
        <v>0</v>
      </c>
      <c r="EA40" s="124">
        <f t="shared" si="100"/>
        <v>0</v>
      </c>
      <c r="EB40" s="124">
        <f t="shared" si="101"/>
        <v>0</v>
      </c>
      <c r="EC40" s="124">
        <f t="shared" si="102"/>
        <v>0</v>
      </c>
      <c r="ED40" s="124">
        <f t="shared" si="103"/>
        <v>0</v>
      </c>
      <c r="EE40" s="124">
        <f t="shared" si="104"/>
        <v>0</v>
      </c>
      <c r="EF40" s="124">
        <f t="shared" si="105"/>
        <v>0</v>
      </c>
      <c r="EG40" s="124">
        <f t="shared" si="106"/>
        <v>0</v>
      </c>
      <c r="EH40" s="124">
        <f t="shared" si="107"/>
        <v>0</v>
      </c>
      <c r="EI40" s="124">
        <f t="shared" si="108"/>
        <v>0</v>
      </c>
      <c r="EJ40" s="124">
        <f t="shared" si="109"/>
        <v>0</v>
      </c>
      <c r="EK40" s="124">
        <f t="shared" si="110"/>
        <v>0</v>
      </c>
      <c r="EL40" s="124">
        <f t="shared" si="111"/>
        <v>0</v>
      </c>
      <c r="EM40" s="124">
        <f t="shared" si="112"/>
        <v>0</v>
      </c>
      <c r="EN40" s="124">
        <f t="shared" si="113"/>
        <v>0</v>
      </c>
      <c r="EO40" s="124">
        <f t="shared" si="114"/>
        <v>0</v>
      </c>
      <c r="EP40" s="124">
        <f t="shared" si="115"/>
        <v>0</v>
      </c>
      <c r="EQ40" s="124">
        <f t="shared" si="116"/>
        <v>0</v>
      </c>
      <c r="ER40" s="124">
        <f t="shared" si="117"/>
        <v>0</v>
      </c>
      <c r="ES40" s="124">
        <f t="shared" si="118"/>
        <v>0</v>
      </c>
      <c r="ET40" s="124">
        <f t="shared" si="119"/>
        <v>0</v>
      </c>
      <c r="EU40" s="124">
        <f t="shared" si="120"/>
        <v>0</v>
      </c>
      <c r="EV40" s="125"/>
      <c r="EW40" s="166">
        <f t="shared" si="121"/>
        <v>0</v>
      </c>
      <c r="EX40" s="72"/>
      <c r="EY40" s="123">
        <f t="shared" si="122"/>
        <v>1306.5338119590281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3"/>
        <v>0</v>
      </c>
      <c r="GJ40" s="124">
        <f t="shared" si="124"/>
        <v>0</v>
      </c>
      <c r="GK40" s="124">
        <f t="shared" si="125"/>
        <v>0</v>
      </c>
      <c r="GL40" s="124">
        <f t="shared" si="126"/>
        <v>0</v>
      </c>
      <c r="GM40" s="125"/>
      <c r="GN40" s="166">
        <f t="shared" ca="1" si="127"/>
        <v>0</v>
      </c>
    </row>
    <row r="41" spans="1:196">
      <c r="A41" s="172" t="s">
        <v>407</v>
      </c>
      <c r="B41" s="173"/>
      <c r="C41" s="247"/>
      <c r="D41" s="248"/>
      <c r="E41" s="249">
        <f t="shared" si="0"/>
        <v>0</v>
      </c>
      <c r="F41" s="250">
        <f t="shared" si="1"/>
        <v>0</v>
      </c>
      <c r="G41" s="251" t="str">
        <f t="shared" si="129"/>
        <v/>
      </c>
      <c r="H41" s="252">
        <f t="shared" si="58"/>
        <v>0</v>
      </c>
      <c r="I41" s="253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8"/>
        <v/>
      </c>
      <c r="M41" s="134">
        <f>I41+I40</f>
        <v>0</v>
      </c>
      <c r="N41" s="183"/>
      <c r="O41" s="183"/>
      <c r="P41" s="183"/>
      <c r="Q41" s="183"/>
      <c r="R41" s="62"/>
      <c r="S41" s="245" t="str">
        <f t="shared" si="71"/>
        <v/>
      </c>
      <c r="T41" s="110">
        <f t="shared" si="73"/>
        <v>0</v>
      </c>
      <c r="U41" s="111"/>
      <c r="V41" s="112">
        <f t="shared" ca="1" si="59"/>
        <v>0</v>
      </c>
      <c r="W41" s="113" t="str">
        <f t="shared" si="77"/>
        <v/>
      </c>
      <c r="X41" s="113" t="str">
        <f t="shared" si="78"/>
        <v/>
      </c>
      <c r="Y41" s="241">
        <f>IFERROR(VLOOKUP($X41,HomeBroker!$A$22:$F$100,2,0),0)</f>
        <v>0</v>
      </c>
      <c r="Z41" s="241">
        <f>IFERROR(VLOOKUP($X41,HomeBroker!$A$22:$F$100,3,0),0)</f>
        <v>0</v>
      </c>
      <c r="AA41" s="242">
        <f>IFERROR(VLOOKUP($X41,HomeBroker!$A$22:$F$100,6,0),0)</f>
        <v>0</v>
      </c>
      <c r="AB41" s="241">
        <f>IFERROR(VLOOKUP($X41,HomeBroker!$A$22:$F$100,4,0),0)</f>
        <v>0</v>
      </c>
      <c r="AC41" s="241">
        <f>IFERROR(VLOOKUP($X41,HomeBroker!$A$22:$F$100,5,0),0)</f>
        <v>0</v>
      </c>
      <c r="AD41" s="292">
        <f>IFERROR(VLOOKUP($X41,HomeBroker!$A$22:$N$100,14,0),0)</f>
        <v>0</v>
      </c>
      <c r="AE41" s="246" t="str">
        <f t="shared" si="62"/>
        <v/>
      </c>
      <c r="AF41" s="110">
        <f t="shared" si="74"/>
        <v>0</v>
      </c>
      <c r="AG41" s="111"/>
      <c r="AH41" s="112">
        <f t="shared" ca="1" si="64"/>
        <v>0</v>
      </c>
      <c r="AI41" s="113" t="str">
        <f t="shared" si="79"/>
        <v/>
      </c>
      <c r="AJ41" s="113" t="str">
        <f t="shared" si="80"/>
        <v/>
      </c>
      <c r="AK41" s="114">
        <f>IFERROR(VLOOKUP($AJ41,HomeBroker!$A$22:$F$100,2,0),0)</f>
        <v>0</v>
      </c>
      <c r="AL41" s="241">
        <f>IFERROR(VLOOKUP($AJ41,HomeBroker!$A$22:$F$100,3,0),0)</f>
        <v>0</v>
      </c>
      <c r="AM41" s="242">
        <f>IFERROR(VLOOKUP($AJ41,HomeBroker!$A$22:$F$100,6,0),0)</f>
        <v>0</v>
      </c>
      <c r="AN41" s="241">
        <f>IFERROR(VLOOKUP($AJ41,HomeBroker!$A$22:$F$100,4,0),0)</f>
        <v>0</v>
      </c>
      <c r="AO41" s="114">
        <f>IFERROR(VLOOKUP($AJ41,HomeBroker!$A$22:$F$100,5,0),0)</f>
        <v>0</v>
      </c>
      <c r="AP41" s="115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5"/>
      <c r="AW41" s="176" t="s">
        <v>354</v>
      </c>
      <c r="AX41" s="118"/>
      <c r="AY41" s="140"/>
      <c r="AZ41" s="141"/>
      <c r="BA41" s="290">
        <f t="shared" si="10"/>
        <v>0</v>
      </c>
      <c r="BB41" s="291">
        <f t="shared" si="11"/>
        <v>0</v>
      </c>
      <c r="BC41" s="177" t="s">
        <v>408</v>
      </c>
      <c r="BD41" s="118"/>
      <c r="BE41" s="143"/>
      <c r="BF41" s="121"/>
      <c r="BG41" s="293">
        <f t="shared" si="12"/>
        <v>0</v>
      </c>
      <c r="BH41" s="295">
        <f t="shared" si="13"/>
        <v>0</v>
      </c>
      <c r="BI41" s="178" t="s">
        <v>409</v>
      </c>
      <c r="BJ41" s="118"/>
      <c r="BK41" s="121"/>
      <c r="BL41" s="296">
        <f t="shared" si="14"/>
        <v>0</v>
      </c>
      <c r="BM41" s="297">
        <f t="shared" si="15"/>
        <v>0</v>
      </c>
      <c r="DH41" s="123">
        <f t="shared" si="81"/>
        <v>1375.298749430556</v>
      </c>
      <c r="DI41" s="124">
        <f t="shared" si="82"/>
        <v>0</v>
      </c>
      <c r="DJ41" s="124">
        <f t="shared" si="83"/>
        <v>0</v>
      </c>
      <c r="DK41" s="124">
        <f t="shared" si="84"/>
        <v>0</v>
      </c>
      <c r="DL41" s="124">
        <f t="shared" si="85"/>
        <v>0</v>
      </c>
      <c r="DM41" s="124">
        <f t="shared" si="86"/>
        <v>0</v>
      </c>
      <c r="DN41" s="124">
        <f t="shared" si="87"/>
        <v>0</v>
      </c>
      <c r="DO41" s="124">
        <f t="shared" si="88"/>
        <v>0</v>
      </c>
      <c r="DP41" s="124">
        <f t="shared" si="89"/>
        <v>0</v>
      </c>
      <c r="DQ41" s="124">
        <f t="shared" si="90"/>
        <v>0</v>
      </c>
      <c r="DR41" s="124">
        <f t="shared" si="91"/>
        <v>0</v>
      </c>
      <c r="DS41" s="124">
        <f t="shared" si="92"/>
        <v>0</v>
      </c>
      <c r="DT41" s="124">
        <f t="shared" si="93"/>
        <v>0</v>
      </c>
      <c r="DU41" s="124">
        <f t="shared" si="94"/>
        <v>0</v>
      </c>
      <c r="DV41" s="124">
        <f t="shared" si="95"/>
        <v>0</v>
      </c>
      <c r="DW41" s="124">
        <f t="shared" si="96"/>
        <v>0</v>
      </c>
      <c r="DX41" s="124">
        <f t="shared" si="97"/>
        <v>0</v>
      </c>
      <c r="DY41" s="124">
        <f t="shared" si="98"/>
        <v>0</v>
      </c>
      <c r="DZ41" s="124">
        <f t="shared" si="99"/>
        <v>0</v>
      </c>
      <c r="EA41" s="124">
        <f t="shared" si="100"/>
        <v>0</v>
      </c>
      <c r="EB41" s="124">
        <f t="shared" si="101"/>
        <v>0</v>
      </c>
      <c r="EC41" s="124">
        <f t="shared" si="102"/>
        <v>0</v>
      </c>
      <c r="ED41" s="124">
        <f t="shared" si="103"/>
        <v>0</v>
      </c>
      <c r="EE41" s="124">
        <f t="shared" si="104"/>
        <v>0</v>
      </c>
      <c r="EF41" s="124">
        <f t="shared" si="105"/>
        <v>0</v>
      </c>
      <c r="EG41" s="124">
        <f t="shared" si="106"/>
        <v>0</v>
      </c>
      <c r="EH41" s="124">
        <f t="shared" si="107"/>
        <v>0</v>
      </c>
      <c r="EI41" s="124">
        <f t="shared" si="108"/>
        <v>0</v>
      </c>
      <c r="EJ41" s="124">
        <f t="shared" si="109"/>
        <v>0</v>
      </c>
      <c r="EK41" s="124">
        <f t="shared" si="110"/>
        <v>0</v>
      </c>
      <c r="EL41" s="124">
        <f t="shared" si="111"/>
        <v>0</v>
      </c>
      <c r="EM41" s="124">
        <f t="shared" si="112"/>
        <v>0</v>
      </c>
      <c r="EN41" s="124">
        <f t="shared" si="113"/>
        <v>0</v>
      </c>
      <c r="EO41" s="124">
        <f t="shared" si="114"/>
        <v>0</v>
      </c>
      <c r="EP41" s="124">
        <f t="shared" si="115"/>
        <v>0</v>
      </c>
      <c r="EQ41" s="124">
        <f t="shared" si="116"/>
        <v>0</v>
      </c>
      <c r="ER41" s="124">
        <f t="shared" si="117"/>
        <v>0</v>
      </c>
      <c r="ES41" s="124">
        <f t="shared" si="118"/>
        <v>0</v>
      </c>
      <c r="ET41" s="124">
        <f t="shared" si="119"/>
        <v>0</v>
      </c>
      <c r="EU41" s="124">
        <f t="shared" si="120"/>
        <v>0</v>
      </c>
      <c r="EV41" s="125"/>
      <c r="EW41" s="166">
        <f t="shared" si="121"/>
        <v>0</v>
      </c>
      <c r="EX41" s="72"/>
      <c r="EY41" s="123">
        <f t="shared" si="122"/>
        <v>1375.298749430556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3"/>
        <v>0</v>
      </c>
      <c r="GJ41" s="124">
        <f t="shared" si="124"/>
        <v>0</v>
      </c>
      <c r="GK41" s="124">
        <f t="shared" si="125"/>
        <v>0</v>
      </c>
      <c r="GL41" s="124">
        <f t="shared" si="126"/>
        <v>0</v>
      </c>
      <c r="GM41" s="125"/>
      <c r="GN41" s="166">
        <f t="shared" ca="1" si="127"/>
        <v>0</v>
      </c>
    </row>
    <row r="42" spans="1:196">
      <c r="A42" s="179" t="s">
        <v>410</v>
      </c>
      <c r="B42" s="173"/>
      <c r="C42" s="247"/>
      <c r="D42" s="248"/>
      <c r="E42" s="249">
        <f t="shared" si="0"/>
        <v>0</v>
      </c>
      <c r="F42" s="250">
        <f t="shared" si="1"/>
        <v>0</v>
      </c>
      <c r="G42" s="251" t="str">
        <f t="shared" si="129"/>
        <v/>
      </c>
      <c r="H42" s="252">
        <f t="shared" si="58"/>
        <v>0</v>
      </c>
      <c r="I42" s="253">
        <f t="shared" si="2"/>
        <v>0</v>
      </c>
      <c r="J42" s="69"/>
      <c r="K42" s="69"/>
      <c r="L42" s="69"/>
      <c r="M42" s="69"/>
      <c r="N42" s="793" t="s">
        <v>454</v>
      </c>
      <c r="O42" s="789"/>
      <c r="P42" s="790"/>
      <c r="Q42" s="184">
        <v>0.05</v>
      </c>
      <c r="R42" s="62"/>
      <c r="S42" s="245" t="str">
        <f t="shared" si="71"/>
        <v/>
      </c>
      <c r="T42" s="110">
        <f t="shared" si="73"/>
        <v>0</v>
      </c>
      <c r="U42" s="111"/>
      <c r="V42" s="112">
        <f t="shared" ca="1" si="59"/>
        <v>0</v>
      </c>
      <c r="W42" s="113" t="str">
        <f t="shared" si="77"/>
        <v/>
      </c>
      <c r="X42" s="113" t="str">
        <f t="shared" si="78"/>
        <v/>
      </c>
      <c r="Y42" s="241">
        <f>IFERROR(VLOOKUP($X42,HomeBroker!$A$22:$F$100,2,0),0)</f>
        <v>0</v>
      </c>
      <c r="Z42" s="241">
        <f>IFERROR(VLOOKUP($X42,HomeBroker!$A$22:$F$100,3,0),0)</f>
        <v>0</v>
      </c>
      <c r="AA42" s="242">
        <f>IFERROR(VLOOKUP($X42,HomeBroker!$A$22:$F$100,6,0),0)</f>
        <v>0</v>
      </c>
      <c r="AB42" s="241">
        <f>IFERROR(VLOOKUP($X42,HomeBroker!$A$22:$F$100,4,0),0)</f>
        <v>0</v>
      </c>
      <c r="AC42" s="241">
        <f>IFERROR(VLOOKUP($X42,HomeBroker!$A$22:$F$100,5,0),0)</f>
        <v>0</v>
      </c>
      <c r="AD42" s="292">
        <f>IFERROR(VLOOKUP($X42,HomeBroker!$A$22:$N$100,14,0),0)</f>
        <v>0</v>
      </c>
      <c r="AE42" s="246" t="str">
        <f t="shared" si="62"/>
        <v/>
      </c>
      <c r="AF42" s="110">
        <f t="shared" si="74"/>
        <v>0</v>
      </c>
      <c r="AG42" s="111"/>
      <c r="AH42" s="112">
        <f t="shared" ca="1" si="64"/>
        <v>0</v>
      </c>
      <c r="AI42" s="113" t="str">
        <f t="shared" si="79"/>
        <v/>
      </c>
      <c r="AJ42" s="113" t="str">
        <f t="shared" si="80"/>
        <v/>
      </c>
      <c r="AK42" s="114">
        <f>IFERROR(VLOOKUP($AJ42,HomeBroker!$A$22:$F$100,2,0),0)</f>
        <v>0</v>
      </c>
      <c r="AL42" s="241">
        <f>IFERROR(VLOOKUP($AJ42,HomeBroker!$A$22:$F$100,3,0),0)</f>
        <v>0</v>
      </c>
      <c r="AM42" s="242">
        <f>IFERROR(VLOOKUP($AJ42,HomeBroker!$A$22:$F$100,6,0),0)</f>
        <v>0</v>
      </c>
      <c r="AN42" s="241">
        <f>IFERROR(VLOOKUP($AJ42,HomeBroker!$A$22:$F$100,4,0),0)</f>
        <v>0</v>
      </c>
      <c r="AO42" s="114">
        <f>IFERROR(VLOOKUP($AJ42,HomeBroker!$A$22:$F$100,5,0),0)</f>
        <v>0</v>
      </c>
      <c r="AP42" s="115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5"/>
      <c r="AW42" s="176" t="s">
        <v>354</v>
      </c>
      <c r="AX42" s="118"/>
      <c r="AY42" s="140"/>
      <c r="AZ42" s="141"/>
      <c r="BA42" s="290">
        <f t="shared" si="10"/>
        <v>0</v>
      </c>
      <c r="BB42" s="291">
        <f t="shared" si="11"/>
        <v>0</v>
      </c>
      <c r="BC42" s="177" t="s">
        <v>408</v>
      </c>
      <c r="BD42" s="118"/>
      <c r="BE42" s="143"/>
      <c r="BF42" s="121"/>
      <c r="BG42" s="293">
        <f t="shared" si="12"/>
        <v>0</v>
      </c>
      <c r="BH42" s="295">
        <f t="shared" si="13"/>
        <v>0</v>
      </c>
      <c r="BI42" s="178" t="s">
        <v>409</v>
      </c>
      <c r="BJ42" s="118"/>
      <c r="BK42" s="121"/>
      <c r="BL42" s="296">
        <f t="shared" si="14"/>
        <v>0</v>
      </c>
      <c r="BM42" s="297">
        <f t="shared" si="15"/>
        <v>0</v>
      </c>
      <c r="DH42" s="123">
        <f t="shared" si="81"/>
        <v>1447.6828941374274</v>
      </c>
      <c r="DI42" s="124">
        <f t="shared" si="82"/>
        <v>0</v>
      </c>
      <c r="DJ42" s="124">
        <f t="shared" si="83"/>
        <v>0</v>
      </c>
      <c r="DK42" s="124">
        <f t="shared" si="84"/>
        <v>0</v>
      </c>
      <c r="DL42" s="124">
        <f t="shared" si="85"/>
        <v>0</v>
      </c>
      <c r="DM42" s="124">
        <f t="shared" si="86"/>
        <v>0</v>
      </c>
      <c r="DN42" s="124">
        <f t="shared" si="87"/>
        <v>0</v>
      </c>
      <c r="DO42" s="124">
        <f t="shared" si="88"/>
        <v>0</v>
      </c>
      <c r="DP42" s="124">
        <f t="shared" si="89"/>
        <v>0</v>
      </c>
      <c r="DQ42" s="124">
        <f t="shared" si="90"/>
        <v>0</v>
      </c>
      <c r="DR42" s="124">
        <f t="shared" si="91"/>
        <v>0</v>
      </c>
      <c r="DS42" s="124">
        <f t="shared" si="92"/>
        <v>0</v>
      </c>
      <c r="DT42" s="124">
        <f t="shared" si="93"/>
        <v>0</v>
      </c>
      <c r="DU42" s="124">
        <f t="shared" si="94"/>
        <v>0</v>
      </c>
      <c r="DV42" s="124">
        <f t="shared" si="95"/>
        <v>0</v>
      </c>
      <c r="DW42" s="124">
        <f t="shared" si="96"/>
        <v>0</v>
      </c>
      <c r="DX42" s="124">
        <f t="shared" si="97"/>
        <v>0</v>
      </c>
      <c r="DY42" s="124">
        <f t="shared" si="98"/>
        <v>0</v>
      </c>
      <c r="DZ42" s="124">
        <f t="shared" si="99"/>
        <v>0</v>
      </c>
      <c r="EA42" s="124">
        <f t="shared" si="100"/>
        <v>0</v>
      </c>
      <c r="EB42" s="124">
        <f t="shared" si="101"/>
        <v>0</v>
      </c>
      <c r="EC42" s="124">
        <f t="shared" si="102"/>
        <v>0</v>
      </c>
      <c r="ED42" s="124">
        <f t="shared" si="103"/>
        <v>0</v>
      </c>
      <c r="EE42" s="124">
        <f t="shared" si="104"/>
        <v>0</v>
      </c>
      <c r="EF42" s="124">
        <f t="shared" si="105"/>
        <v>0</v>
      </c>
      <c r="EG42" s="124">
        <f t="shared" si="106"/>
        <v>0</v>
      </c>
      <c r="EH42" s="124">
        <f t="shared" si="107"/>
        <v>0</v>
      </c>
      <c r="EI42" s="124">
        <f t="shared" si="108"/>
        <v>0</v>
      </c>
      <c r="EJ42" s="124">
        <f t="shared" si="109"/>
        <v>0</v>
      </c>
      <c r="EK42" s="124">
        <f t="shared" si="110"/>
        <v>0</v>
      </c>
      <c r="EL42" s="124">
        <f t="shared" si="111"/>
        <v>0</v>
      </c>
      <c r="EM42" s="124">
        <f t="shared" si="112"/>
        <v>0</v>
      </c>
      <c r="EN42" s="124">
        <f t="shared" si="113"/>
        <v>0</v>
      </c>
      <c r="EO42" s="124">
        <f t="shared" si="114"/>
        <v>0</v>
      </c>
      <c r="EP42" s="124">
        <f t="shared" si="115"/>
        <v>0</v>
      </c>
      <c r="EQ42" s="124">
        <f t="shared" si="116"/>
        <v>0</v>
      </c>
      <c r="ER42" s="124">
        <f t="shared" si="117"/>
        <v>0</v>
      </c>
      <c r="ES42" s="124">
        <f t="shared" si="118"/>
        <v>0</v>
      </c>
      <c r="ET42" s="124">
        <f t="shared" si="119"/>
        <v>0</v>
      </c>
      <c r="EU42" s="124">
        <f t="shared" si="120"/>
        <v>0</v>
      </c>
      <c r="EV42" s="125"/>
      <c r="EW42" s="166">
        <f t="shared" si="121"/>
        <v>0</v>
      </c>
      <c r="EX42" s="72"/>
      <c r="EY42" s="123">
        <f t="shared" si="122"/>
        <v>1447.6828941374274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3"/>
        <v>0</v>
      </c>
      <c r="GJ42" s="124">
        <f t="shared" si="124"/>
        <v>0</v>
      </c>
      <c r="GK42" s="124">
        <f t="shared" si="125"/>
        <v>0</v>
      </c>
      <c r="GL42" s="124">
        <f t="shared" si="126"/>
        <v>0</v>
      </c>
      <c r="GM42" s="125"/>
      <c r="GN42" s="166">
        <f t="shared" ca="1" si="127"/>
        <v>0</v>
      </c>
    </row>
    <row r="43" spans="1:196">
      <c r="A43" s="181" t="s">
        <v>411</v>
      </c>
      <c r="B43" s="173"/>
      <c r="C43" s="247"/>
      <c r="D43" s="248"/>
      <c r="E43" s="249">
        <f t="shared" si="0"/>
        <v>0</v>
      </c>
      <c r="F43" s="250">
        <f t="shared" si="1"/>
        <v>0</v>
      </c>
      <c r="G43" s="251" t="str">
        <f t="shared" si="129"/>
        <v/>
      </c>
      <c r="H43" s="252">
        <f t="shared" si="58"/>
        <v>0</v>
      </c>
      <c r="I43" s="253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8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608</v>
      </c>
      <c r="R43" s="62"/>
      <c r="S43" s="794" t="s">
        <v>409</v>
      </c>
      <c r="T43" s="795"/>
      <c r="U43" s="795"/>
      <c r="V43" s="795"/>
      <c r="W43" s="795"/>
      <c r="X43" s="795"/>
      <c r="Y43" s="795"/>
      <c r="Z43" s="795"/>
      <c r="AA43" s="795"/>
      <c r="AB43" s="795"/>
      <c r="AC43" s="795"/>
      <c r="AD43" s="796"/>
      <c r="AE43" s="800">
        <f>SUMIFS(BJ:BJ,BI:BI,S43)</f>
        <v>0</v>
      </c>
      <c r="AF43" s="800"/>
      <c r="AG43" s="800"/>
      <c r="AH43" s="800"/>
      <c r="AI43" s="800"/>
      <c r="AJ43" s="800"/>
      <c r="AK43" s="800"/>
      <c r="AL43" s="800"/>
      <c r="AM43" s="800"/>
      <c r="AN43" s="800"/>
      <c r="AO43" s="800"/>
      <c r="AP43" s="801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0">
        <f t="shared" si="10"/>
        <v>0</v>
      </c>
      <c r="BB43" s="291">
        <f t="shared" si="11"/>
        <v>0</v>
      </c>
      <c r="BC43" s="177" t="s">
        <v>408</v>
      </c>
      <c r="BD43" s="118"/>
      <c r="BE43" s="143"/>
      <c r="BF43" s="121"/>
      <c r="BG43" s="293">
        <f t="shared" si="12"/>
        <v>0</v>
      </c>
      <c r="BH43" s="295">
        <f t="shared" si="13"/>
        <v>0</v>
      </c>
      <c r="BI43" s="178" t="s">
        <v>409</v>
      </c>
      <c r="BJ43" s="118"/>
      <c r="BK43" s="121"/>
      <c r="BL43" s="296">
        <f t="shared" si="14"/>
        <v>0</v>
      </c>
      <c r="BM43" s="297">
        <f t="shared" si="15"/>
        <v>0</v>
      </c>
      <c r="DH43" s="123">
        <f t="shared" si="81"/>
        <v>1523.8767306709763</v>
      </c>
      <c r="DI43" s="124">
        <f t="shared" si="82"/>
        <v>0</v>
      </c>
      <c r="DJ43" s="124">
        <f t="shared" si="83"/>
        <v>0</v>
      </c>
      <c r="DK43" s="124">
        <f t="shared" si="84"/>
        <v>0</v>
      </c>
      <c r="DL43" s="124">
        <f t="shared" si="85"/>
        <v>0</v>
      </c>
      <c r="DM43" s="124">
        <f t="shared" si="86"/>
        <v>0</v>
      </c>
      <c r="DN43" s="124">
        <f t="shared" si="87"/>
        <v>0</v>
      </c>
      <c r="DO43" s="124">
        <f t="shared" si="88"/>
        <v>0</v>
      </c>
      <c r="DP43" s="124">
        <f t="shared" si="89"/>
        <v>0</v>
      </c>
      <c r="DQ43" s="124">
        <f t="shared" si="90"/>
        <v>0</v>
      </c>
      <c r="DR43" s="124">
        <f t="shared" si="91"/>
        <v>0</v>
      </c>
      <c r="DS43" s="124">
        <f t="shared" si="92"/>
        <v>0</v>
      </c>
      <c r="DT43" s="124">
        <f t="shared" si="93"/>
        <v>0</v>
      </c>
      <c r="DU43" s="124">
        <f t="shared" si="94"/>
        <v>0</v>
      </c>
      <c r="DV43" s="124">
        <f t="shared" si="95"/>
        <v>0</v>
      </c>
      <c r="DW43" s="124">
        <f t="shared" si="96"/>
        <v>0</v>
      </c>
      <c r="DX43" s="124">
        <f t="shared" si="97"/>
        <v>0</v>
      </c>
      <c r="DY43" s="124">
        <f t="shared" si="98"/>
        <v>0</v>
      </c>
      <c r="DZ43" s="124">
        <f t="shared" si="99"/>
        <v>0</v>
      </c>
      <c r="EA43" s="124">
        <f t="shared" si="100"/>
        <v>0</v>
      </c>
      <c r="EB43" s="124">
        <f t="shared" si="101"/>
        <v>0</v>
      </c>
      <c r="EC43" s="124">
        <f t="shared" si="102"/>
        <v>0</v>
      </c>
      <c r="ED43" s="124">
        <f t="shared" si="103"/>
        <v>0</v>
      </c>
      <c r="EE43" s="124">
        <f t="shared" si="104"/>
        <v>0</v>
      </c>
      <c r="EF43" s="124">
        <f t="shared" si="105"/>
        <v>0</v>
      </c>
      <c r="EG43" s="124">
        <f t="shared" si="106"/>
        <v>0</v>
      </c>
      <c r="EH43" s="124">
        <f t="shared" si="107"/>
        <v>0</v>
      </c>
      <c r="EI43" s="124">
        <f t="shared" si="108"/>
        <v>0</v>
      </c>
      <c r="EJ43" s="124">
        <f t="shared" si="109"/>
        <v>0</v>
      </c>
      <c r="EK43" s="124">
        <f t="shared" si="110"/>
        <v>0</v>
      </c>
      <c r="EL43" s="124">
        <f t="shared" si="111"/>
        <v>0</v>
      </c>
      <c r="EM43" s="124">
        <f t="shared" si="112"/>
        <v>0</v>
      </c>
      <c r="EN43" s="124">
        <f t="shared" si="113"/>
        <v>0</v>
      </c>
      <c r="EO43" s="124">
        <f t="shared" si="114"/>
        <v>0</v>
      </c>
      <c r="EP43" s="124">
        <f t="shared" si="115"/>
        <v>0</v>
      </c>
      <c r="EQ43" s="124">
        <f t="shared" si="116"/>
        <v>0</v>
      </c>
      <c r="ER43" s="124">
        <f t="shared" si="117"/>
        <v>0</v>
      </c>
      <c r="ES43" s="124">
        <f t="shared" si="118"/>
        <v>0</v>
      </c>
      <c r="ET43" s="124">
        <f t="shared" si="119"/>
        <v>0</v>
      </c>
      <c r="EU43" s="124">
        <f t="shared" si="120"/>
        <v>0</v>
      </c>
      <c r="EV43" s="125"/>
      <c r="EW43" s="166">
        <f t="shared" si="121"/>
        <v>0</v>
      </c>
      <c r="EX43" s="72"/>
      <c r="EY43" s="123">
        <f t="shared" si="122"/>
        <v>1523.8767306709763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3"/>
        <v>0</v>
      </c>
      <c r="GJ43" s="124">
        <f t="shared" si="124"/>
        <v>0</v>
      </c>
      <c r="GK43" s="124">
        <f t="shared" si="125"/>
        <v>0</v>
      </c>
      <c r="GL43" s="124">
        <f t="shared" si="126"/>
        <v>0</v>
      </c>
      <c r="GM43" s="125"/>
      <c r="GN43" s="166">
        <f t="shared" ca="1" si="127"/>
        <v>0</v>
      </c>
    </row>
    <row r="44" spans="1:196">
      <c r="A44" s="172" t="s">
        <v>407</v>
      </c>
      <c r="B44" s="173"/>
      <c r="C44" s="247"/>
      <c r="D44" s="248"/>
      <c r="E44" s="249">
        <f t="shared" si="0"/>
        <v>0</v>
      </c>
      <c r="F44" s="250">
        <f t="shared" si="1"/>
        <v>0</v>
      </c>
      <c r="G44" s="251" t="str">
        <f t="shared" si="129"/>
        <v/>
      </c>
      <c r="H44" s="252">
        <f t="shared" si="58"/>
        <v>0</v>
      </c>
      <c r="I44" s="253">
        <f t="shared" si="2"/>
        <v>0</v>
      </c>
      <c r="J44" s="69"/>
      <c r="K44" s="69"/>
      <c r="L44" s="69"/>
      <c r="M44" s="69"/>
      <c r="N44" s="791" t="s">
        <v>458</v>
      </c>
      <c r="O44" s="789"/>
      <c r="P44" s="790"/>
      <c r="Q44" s="188"/>
      <c r="R44" s="62"/>
      <c r="S44" s="797"/>
      <c r="T44" s="798"/>
      <c r="U44" s="798"/>
      <c r="V44" s="798"/>
      <c r="W44" s="798"/>
      <c r="X44" s="798"/>
      <c r="Y44" s="798"/>
      <c r="Z44" s="798"/>
      <c r="AA44" s="798"/>
      <c r="AB44" s="798"/>
      <c r="AC44" s="798"/>
      <c r="AD44" s="799"/>
      <c r="AE44" s="802"/>
      <c r="AF44" s="802"/>
      <c r="AG44" s="802"/>
      <c r="AH44" s="802"/>
      <c r="AI44" s="802"/>
      <c r="AJ44" s="802"/>
      <c r="AK44" s="802"/>
      <c r="AL44" s="802"/>
      <c r="AM44" s="802"/>
      <c r="AN44" s="802"/>
      <c r="AO44" s="802"/>
      <c r="AP44" s="803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0">
        <f t="shared" si="10"/>
        <v>0</v>
      </c>
      <c r="BB44" s="291">
        <f t="shared" si="11"/>
        <v>0</v>
      </c>
      <c r="BC44" s="177" t="s">
        <v>408</v>
      </c>
      <c r="BD44" s="118"/>
      <c r="BE44" s="143"/>
      <c r="BF44" s="121"/>
      <c r="BG44" s="293">
        <f t="shared" si="12"/>
        <v>0</v>
      </c>
      <c r="BH44" s="295">
        <f t="shared" si="13"/>
        <v>0</v>
      </c>
      <c r="BI44" s="178" t="s">
        <v>409</v>
      </c>
      <c r="BJ44" s="118"/>
      <c r="BK44" s="121"/>
      <c r="BL44" s="296">
        <f t="shared" si="14"/>
        <v>0</v>
      </c>
      <c r="BM44" s="297">
        <f t="shared" si="15"/>
        <v>0</v>
      </c>
      <c r="DH44" s="123">
        <f t="shared" si="81"/>
        <v>1604.0807691273435</v>
      </c>
      <c r="DI44" s="124">
        <f t="shared" si="82"/>
        <v>0</v>
      </c>
      <c r="DJ44" s="124">
        <f t="shared" si="83"/>
        <v>0</v>
      </c>
      <c r="DK44" s="124">
        <f t="shared" si="84"/>
        <v>0</v>
      </c>
      <c r="DL44" s="124">
        <f t="shared" si="85"/>
        <v>0</v>
      </c>
      <c r="DM44" s="124">
        <f t="shared" si="86"/>
        <v>0</v>
      </c>
      <c r="DN44" s="124">
        <f t="shared" si="87"/>
        <v>0</v>
      </c>
      <c r="DO44" s="124">
        <f t="shared" si="88"/>
        <v>0</v>
      </c>
      <c r="DP44" s="124">
        <f t="shared" si="89"/>
        <v>0</v>
      </c>
      <c r="DQ44" s="124">
        <f t="shared" si="90"/>
        <v>0</v>
      </c>
      <c r="DR44" s="124">
        <f t="shared" si="91"/>
        <v>0</v>
      </c>
      <c r="DS44" s="124">
        <f t="shared" si="92"/>
        <v>0</v>
      </c>
      <c r="DT44" s="124">
        <f t="shared" si="93"/>
        <v>0</v>
      </c>
      <c r="DU44" s="124">
        <f t="shared" si="94"/>
        <v>0</v>
      </c>
      <c r="DV44" s="124">
        <f t="shared" si="95"/>
        <v>0</v>
      </c>
      <c r="DW44" s="124">
        <f t="shared" si="96"/>
        <v>0</v>
      </c>
      <c r="DX44" s="124">
        <f t="shared" si="97"/>
        <v>0</v>
      </c>
      <c r="DY44" s="124">
        <f t="shared" si="98"/>
        <v>0</v>
      </c>
      <c r="DZ44" s="124">
        <f t="shared" si="99"/>
        <v>0</v>
      </c>
      <c r="EA44" s="124">
        <f t="shared" si="100"/>
        <v>0</v>
      </c>
      <c r="EB44" s="124">
        <f t="shared" si="101"/>
        <v>0</v>
      </c>
      <c r="EC44" s="124">
        <f t="shared" si="102"/>
        <v>0</v>
      </c>
      <c r="ED44" s="124">
        <f t="shared" si="103"/>
        <v>0</v>
      </c>
      <c r="EE44" s="124">
        <f t="shared" si="104"/>
        <v>0</v>
      </c>
      <c r="EF44" s="124">
        <f t="shared" si="105"/>
        <v>0</v>
      </c>
      <c r="EG44" s="124">
        <f t="shared" si="106"/>
        <v>0</v>
      </c>
      <c r="EH44" s="124">
        <f t="shared" si="107"/>
        <v>0</v>
      </c>
      <c r="EI44" s="124">
        <f t="shared" si="108"/>
        <v>0</v>
      </c>
      <c r="EJ44" s="124">
        <f t="shared" si="109"/>
        <v>0</v>
      </c>
      <c r="EK44" s="124">
        <f t="shared" si="110"/>
        <v>0</v>
      </c>
      <c r="EL44" s="124">
        <f t="shared" si="111"/>
        <v>0</v>
      </c>
      <c r="EM44" s="124">
        <f t="shared" si="112"/>
        <v>0</v>
      </c>
      <c r="EN44" s="124">
        <f t="shared" si="113"/>
        <v>0</v>
      </c>
      <c r="EO44" s="124">
        <f t="shared" si="114"/>
        <v>0</v>
      </c>
      <c r="EP44" s="124">
        <f t="shared" si="115"/>
        <v>0</v>
      </c>
      <c r="EQ44" s="124">
        <f t="shared" si="116"/>
        <v>0</v>
      </c>
      <c r="ER44" s="124">
        <f t="shared" si="117"/>
        <v>0</v>
      </c>
      <c r="ES44" s="124">
        <f t="shared" si="118"/>
        <v>0</v>
      </c>
      <c r="ET44" s="124">
        <f t="shared" si="119"/>
        <v>0</v>
      </c>
      <c r="EU44" s="124">
        <f t="shared" si="120"/>
        <v>0</v>
      </c>
      <c r="EV44" s="125"/>
      <c r="EW44" s="166">
        <f t="shared" si="121"/>
        <v>0</v>
      </c>
      <c r="EX44" s="72"/>
      <c r="EY44" s="123">
        <f t="shared" si="122"/>
        <v>1604.0807691273435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3"/>
        <v>0</v>
      </c>
      <c r="GJ44" s="124">
        <f t="shared" si="124"/>
        <v>0</v>
      </c>
      <c r="GK44" s="124">
        <f t="shared" si="125"/>
        <v>0</v>
      </c>
      <c r="GL44" s="124">
        <f t="shared" si="126"/>
        <v>0</v>
      </c>
      <c r="GM44" s="125"/>
      <c r="GN44" s="166">
        <f t="shared" ca="1" si="127"/>
        <v>0</v>
      </c>
    </row>
    <row r="45" spans="1:196">
      <c r="A45" s="179" t="s">
        <v>410</v>
      </c>
      <c r="B45" s="173"/>
      <c r="C45" s="247"/>
      <c r="D45" s="248"/>
      <c r="E45" s="249">
        <f t="shared" si="0"/>
        <v>0</v>
      </c>
      <c r="F45" s="250">
        <f t="shared" si="1"/>
        <v>0</v>
      </c>
      <c r="G45" s="251" t="str">
        <f t="shared" si="129"/>
        <v/>
      </c>
      <c r="H45" s="252">
        <f t="shared" si="58"/>
        <v>0</v>
      </c>
      <c r="I45" s="253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8"/>
        <v/>
      </c>
      <c r="M45" s="134">
        <f>I45+I44</f>
        <v>0</v>
      </c>
      <c r="N45" s="804" t="s">
        <v>459</v>
      </c>
      <c r="O45" s="789"/>
      <c r="P45" s="790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0">
        <f t="shared" si="10"/>
        <v>0</v>
      </c>
      <c r="BB45" s="291">
        <f t="shared" si="11"/>
        <v>0</v>
      </c>
      <c r="BC45" s="177" t="s">
        <v>408</v>
      </c>
      <c r="BD45" s="118"/>
      <c r="BE45" s="143"/>
      <c r="BF45" s="121"/>
      <c r="BG45" s="293">
        <f t="shared" si="12"/>
        <v>0</v>
      </c>
      <c r="BH45" s="295">
        <f t="shared" si="13"/>
        <v>0</v>
      </c>
      <c r="BI45" s="178" t="s">
        <v>409</v>
      </c>
      <c r="BJ45" s="118"/>
      <c r="BK45" s="121"/>
      <c r="BL45" s="296">
        <f t="shared" si="14"/>
        <v>0</v>
      </c>
      <c r="BM45" s="297">
        <f t="shared" si="15"/>
        <v>0</v>
      </c>
      <c r="DH45" s="123">
        <f t="shared" si="81"/>
        <v>1688.5060727656248</v>
      </c>
      <c r="DI45" s="124">
        <f t="shared" si="82"/>
        <v>0</v>
      </c>
      <c r="DJ45" s="124">
        <f t="shared" si="83"/>
        <v>0</v>
      </c>
      <c r="DK45" s="124">
        <f t="shared" si="84"/>
        <v>0</v>
      </c>
      <c r="DL45" s="124">
        <f t="shared" si="85"/>
        <v>0</v>
      </c>
      <c r="DM45" s="124">
        <f t="shared" si="86"/>
        <v>0</v>
      </c>
      <c r="DN45" s="124">
        <f t="shared" si="87"/>
        <v>0</v>
      </c>
      <c r="DO45" s="124">
        <f t="shared" si="88"/>
        <v>0</v>
      </c>
      <c r="DP45" s="124">
        <f t="shared" si="89"/>
        <v>0</v>
      </c>
      <c r="DQ45" s="124">
        <f t="shared" si="90"/>
        <v>0</v>
      </c>
      <c r="DR45" s="124">
        <f t="shared" si="91"/>
        <v>0</v>
      </c>
      <c r="DS45" s="124">
        <f t="shared" si="92"/>
        <v>0</v>
      </c>
      <c r="DT45" s="124">
        <f t="shared" si="93"/>
        <v>0</v>
      </c>
      <c r="DU45" s="124">
        <f t="shared" si="94"/>
        <v>0</v>
      </c>
      <c r="DV45" s="124">
        <f t="shared" si="95"/>
        <v>0</v>
      </c>
      <c r="DW45" s="124">
        <f t="shared" si="96"/>
        <v>0</v>
      </c>
      <c r="DX45" s="124">
        <f t="shared" si="97"/>
        <v>0</v>
      </c>
      <c r="DY45" s="124">
        <f t="shared" si="98"/>
        <v>0</v>
      </c>
      <c r="DZ45" s="124">
        <f t="shared" si="99"/>
        <v>0</v>
      </c>
      <c r="EA45" s="124">
        <f t="shared" si="100"/>
        <v>0</v>
      </c>
      <c r="EB45" s="124">
        <f t="shared" si="101"/>
        <v>0</v>
      </c>
      <c r="EC45" s="124">
        <f t="shared" si="102"/>
        <v>0</v>
      </c>
      <c r="ED45" s="124">
        <f t="shared" si="103"/>
        <v>0</v>
      </c>
      <c r="EE45" s="124">
        <f t="shared" si="104"/>
        <v>0</v>
      </c>
      <c r="EF45" s="124">
        <f t="shared" si="105"/>
        <v>0</v>
      </c>
      <c r="EG45" s="124">
        <f t="shared" si="106"/>
        <v>0</v>
      </c>
      <c r="EH45" s="124">
        <f t="shared" si="107"/>
        <v>0</v>
      </c>
      <c r="EI45" s="124">
        <f t="shared" si="108"/>
        <v>0</v>
      </c>
      <c r="EJ45" s="124">
        <f t="shared" si="109"/>
        <v>0</v>
      </c>
      <c r="EK45" s="124">
        <f t="shared" si="110"/>
        <v>0</v>
      </c>
      <c r="EL45" s="124">
        <f t="shared" si="111"/>
        <v>0</v>
      </c>
      <c r="EM45" s="124">
        <f t="shared" si="112"/>
        <v>0</v>
      </c>
      <c r="EN45" s="124">
        <f t="shared" si="113"/>
        <v>0</v>
      </c>
      <c r="EO45" s="124">
        <f t="shared" si="114"/>
        <v>0</v>
      </c>
      <c r="EP45" s="124">
        <f t="shared" si="115"/>
        <v>0</v>
      </c>
      <c r="EQ45" s="124">
        <f t="shared" si="116"/>
        <v>0</v>
      </c>
      <c r="ER45" s="124">
        <f t="shared" si="117"/>
        <v>0</v>
      </c>
      <c r="ES45" s="124">
        <f t="shared" si="118"/>
        <v>0</v>
      </c>
      <c r="ET45" s="124">
        <f t="shared" si="119"/>
        <v>0</v>
      </c>
      <c r="EU45" s="124">
        <f t="shared" si="120"/>
        <v>0</v>
      </c>
      <c r="EV45" s="125"/>
      <c r="EW45" s="166">
        <f t="shared" si="121"/>
        <v>0</v>
      </c>
      <c r="EX45" s="72"/>
      <c r="EY45" s="123">
        <f t="shared" si="122"/>
        <v>1688.5060727656248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3"/>
        <v>0</v>
      </c>
      <c r="GJ45" s="124">
        <f t="shared" si="124"/>
        <v>0</v>
      </c>
      <c r="GK45" s="124">
        <f t="shared" si="125"/>
        <v>0</v>
      </c>
      <c r="GL45" s="124">
        <f t="shared" si="126"/>
        <v>0</v>
      </c>
      <c r="GM45" s="125"/>
      <c r="GN45" s="166">
        <f t="shared" ca="1" si="127"/>
        <v>0</v>
      </c>
    </row>
    <row r="46" spans="1:196">
      <c r="A46" s="181" t="s">
        <v>411</v>
      </c>
      <c r="B46" s="173"/>
      <c r="C46" s="247"/>
      <c r="D46" s="248"/>
      <c r="E46" s="249">
        <f t="shared" si="0"/>
        <v>0</v>
      </c>
      <c r="F46" s="250">
        <f t="shared" si="1"/>
        <v>0</v>
      </c>
      <c r="G46" s="251" t="str">
        <f t="shared" si="129"/>
        <v/>
      </c>
      <c r="H46" s="252">
        <f t="shared" si="58"/>
        <v>0</v>
      </c>
      <c r="I46" s="253">
        <f t="shared" si="2"/>
        <v>0</v>
      </c>
      <c r="J46" s="69"/>
      <c r="K46" s="69"/>
      <c r="L46" s="69"/>
      <c r="M46" s="69"/>
      <c r="N46" s="808" t="s">
        <v>460</v>
      </c>
      <c r="O46" s="789"/>
      <c r="P46" s="790"/>
      <c r="Q46" s="193">
        <f>Q48</f>
        <v>0.94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0">
        <f t="shared" si="10"/>
        <v>0</v>
      </c>
      <c r="BB46" s="291">
        <f t="shared" si="11"/>
        <v>0</v>
      </c>
      <c r="BC46" s="177" t="s">
        <v>408</v>
      </c>
      <c r="BD46" s="118"/>
      <c r="BE46" s="143"/>
      <c r="BF46" s="121"/>
      <c r="BG46" s="293">
        <f t="shared" si="12"/>
        <v>0</v>
      </c>
      <c r="BH46" s="295">
        <f t="shared" si="13"/>
        <v>0</v>
      </c>
      <c r="BI46" s="178" t="s">
        <v>409</v>
      </c>
      <c r="BJ46" s="118"/>
      <c r="BK46" s="121"/>
      <c r="BL46" s="296">
        <f t="shared" si="14"/>
        <v>0</v>
      </c>
      <c r="BM46" s="297">
        <f t="shared" si="15"/>
        <v>0</v>
      </c>
      <c r="DH46" s="123">
        <f t="shared" si="81"/>
        <v>1777.3748134374998</v>
      </c>
      <c r="DI46" s="124">
        <f t="shared" si="82"/>
        <v>0</v>
      </c>
      <c r="DJ46" s="124">
        <f t="shared" si="83"/>
        <v>0</v>
      </c>
      <c r="DK46" s="124">
        <f t="shared" si="84"/>
        <v>0</v>
      </c>
      <c r="DL46" s="124">
        <f t="shared" si="85"/>
        <v>0</v>
      </c>
      <c r="DM46" s="124">
        <f t="shared" si="86"/>
        <v>0</v>
      </c>
      <c r="DN46" s="124">
        <f t="shared" si="87"/>
        <v>0</v>
      </c>
      <c r="DO46" s="124">
        <f t="shared" si="88"/>
        <v>0</v>
      </c>
      <c r="DP46" s="124">
        <f t="shared" si="89"/>
        <v>0</v>
      </c>
      <c r="DQ46" s="124">
        <f t="shared" si="90"/>
        <v>0</v>
      </c>
      <c r="DR46" s="124">
        <f t="shared" si="91"/>
        <v>0</v>
      </c>
      <c r="DS46" s="124">
        <f t="shared" si="92"/>
        <v>0</v>
      </c>
      <c r="DT46" s="124">
        <f t="shared" si="93"/>
        <v>0</v>
      </c>
      <c r="DU46" s="124">
        <f t="shared" si="94"/>
        <v>0</v>
      </c>
      <c r="DV46" s="124">
        <f t="shared" si="95"/>
        <v>0</v>
      </c>
      <c r="DW46" s="124">
        <f t="shared" si="96"/>
        <v>0</v>
      </c>
      <c r="DX46" s="124">
        <f t="shared" si="97"/>
        <v>0</v>
      </c>
      <c r="DY46" s="124">
        <f t="shared" si="98"/>
        <v>0</v>
      </c>
      <c r="DZ46" s="124">
        <f t="shared" si="99"/>
        <v>0</v>
      </c>
      <c r="EA46" s="124">
        <f t="shared" si="100"/>
        <v>0</v>
      </c>
      <c r="EB46" s="124">
        <f t="shared" si="101"/>
        <v>0</v>
      </c>
      <c r="EC46" s="124">
        <f t="shared" si="102"/>
        <v>0</v>
      </c>
      <c r="ED46" s="124">
        <f t="shared" si="103"/>
        <v>0</v>
      </c>
      <c r="EE46" s="124">
        <f t="shared" si="104"/>
        <v>0</v>
      </c>
      <c r="EF46" s="124">
        <f t="shared" si="105"/>
        <v>0</v>
      </c>
      <c r="EG46" s="124">
        <f t="shared" si="106"/>
        <v>0</v>
      </c>
      <c r="EH46" s="124">
        <f t="shared" si="107"/>
        <v>0</v>
      </c>
      <c r="EI46" s="124">
        <f t="shared" si="108"/>
        <v>0</v>
      </c>
      <c r="EJ46" s="124">
        <f t="shared" si="109"/>
        <v>0</v>
      </c>
      <c r="EK46" s="124">
        <f t="shared" si="110"/>
        <v>0</v>
      </c>
      <c r="EL46" s="124">
        <f t="shared" si="111"/>
        <v>0</v>
      </c>
      <c r="EM46" s="124">
        <f t="shared" si="112"/>
        <v>0</v>
      </c>
      <c r="EN46" s="124">
        <f t="shared" si="113"/>
        <v>0</v>
      </c>
      <c r="EO46" s="124">
        <f t="shared" si="114"/>
        <v>0</v>
      </c>
      <c r="EP46" s="124">
        <f t="shared" si="115"/>
        <v>0</v>
      </c>
      <c r="EQ46" s="124">
        <f t="shared" si="116"/>
        <v>0</v>
      </c>
      <c r="ER46" s="124">
        <f t="shared" si="117"/>
        <v>0</v>
      </c>
      <c r="ES46" s="124">
        <f t="shared" si="118"/>
        <v>0</v>
      </c>
      <c r="ET46" s="124">
        <f t="shared" si="119"/>
        <v>0</v>
      </c>
      <c r="EU46" s="124">
        <f t="shared" si="120"/>
        <v>0</v>
      </c>
      <c r="EV46" s="125"/>
      <c r="EW46" s="166">
        <f t="shared" si="121"/>
        <v>0</v>
      </c>
      <c r="EX46" s="72"/>
      <c r="EY46" s="123">
        <f t="shared" si="122"/>
        <v>1777.3748134374998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3"/>
        <v>0</v>
      </c>
      <c r="GJ46" s="124">
        <f t="shared" si="124"/>
        <v>0</v>
      </c>
      <c r="GK46" s="124">
        <f t="shared" si="125"/>
        <v>0</v>
      </c>
      <c r="GL46" s="124">
        <f t="shared" si="126"/>
        <v>0</v>
      </c>
      <c r="GM46" s="125"/>
      <c r="GN46" s="166">
        <f t="shared" ca="1" si="127"/>
        <v>0</v>
      </c>
    </row>
    <row r="47" spans="1:196">
      <c r="A47" s="172" t="s">
        <v>407</v>
      </c>
      <c r="B47" s="173"/>
      <c r="C47" s="247"/>
      <c r="D47" s="248"/>
      <c r="E47" s="249">
        <f t="shared" si="0"/>
        <v>0</v>
      </c>
      <c r="F47" s="250">
        <f t="shared" si="1"/>
        <v>0</v>
      </c>
      <c r="G47" s="251" t="str">
        <f t="shared" si="129"/>
        <v/>
      </c>
      <c r="H47" s="252">
        <f t="shared" si="58"/>
        <v>0</v>
      </c>
      <c r="I47" s="253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8"/>
        <v/>
      </c>
      <c r="M47" s="134">
        <f>I47+I46</f>
        <v>0</v>
      </c>
      <c r="N47" s="788" t="s">
        <v>461</v>
      </c>
      <c r="O47" s="789"/>
      <c r="P47" s="790"/>
      <c r="Q47" s="193">
        <f>Q46</f>
        <v>0.94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0">
        <f t="shared" si="10"/>
        <v>0</v>
      </c>
      <c r="BB47" s="291">
        <f t="shared" si="11"/>
        <v>0</v>
      </c>
      <c r="BC47" s="177" t="s">
        <v>408</v>
      </c>
      <c r="BD47" s="118"/>
      <c r="BE47" s="143"/>
      <c r="BF47" s="121"/>
      <c r="BG47" s="293">
        <f t="shared" si="12"/>
        <v>0</v>
      </c>
      <c r="BH47" s="295">
        <f t="shared" si="13"/>
        <v>0</v>
      </c>
      <c r="BI47" s="178" t="s">
        <v>409</v>
      </c>
      <c r="BJ47" s="118"/>
      <c r="BK47" s="121"/>
      <c r="BL47" s="296">
        <f t="shared" si="14"/>
        <v>0</v>
      </c>
      <c r="BM47" s="297">
        <f t="shared" si="15"/>
        <v>0</v>
      </c>
      <c r="DH47" s="123">
        <f t="shared" si="81"/>
        <v>1870.9208562499998</v>
      </c>
      <c r="DI47" s="124">
        <f t="shared" si="82"/>
        <v>0</v>
      </c>
      <c r="DJ47" s="124">
        <f t="shared" si="83"/>
        <v>0</v>
      </c>
      <c r="DK47" s="124">
        <f t="shared" si="84"/>
        <v>0</v>
      </c>
      <c r="DL47" s="124">
        <f t="shared" si="85"/>
        <v>0</v>
      </c>
      <c r="DM47" s="124">
        <f t="shared" si="86"/>
        <v>0</v>
      </c>
      <c r="DN47" s="124">
        <f t="shared" si="87"/>
        <v>0</v>
      </c>
      <c r="DO47" s="124">
        <f t="shared" si="88"/>
        <v>0</v>
      </c>
      <c r="DP47" s="124">
        <f t="shared" si="89"/>
        <v>0</v>
      </c>
      <c r="DQ47" s="124">
        <f t="shared" si="90"/>
        <v>0</v>
      </c>
      <c r="DR47" s="124">
        <f t="shared" si="91"/>
        <v>0</v>
      </c>
      <c r="DS47" s="124">
        <f t="shared" si="92"/>
        <v>0</v>
      </c>
      <c r="DT47" s="124">
        <f t="shared" si="93"/>
        <v>0</v>
      </c>
      <c r="DU47" s="124">
        <f t="shared" si="94"/>
        <v>0</v>
      </c>
      <c r="DV47" s="124">
        <f t="shared" si="95"/>
        <v>0</v>
      </c>
      <c r="DW47" s="124">
        <f t="shared" si="96"/>
        <v>0</v>
      </c>
      <c r="DX47" s="124">
        <f t="shared" si="97"/>
        <v>0</v>
      </c>
      <c r="DY47" s="124">
        <f t="shared" si="98"/>
        <v>0</v>
      </c>
      <c r="DZ47" s="124">
        <f t="shared" si="99"/>
        <v>0</v>
      </c>
      <c r="EA47" s="124">
        <f t="shared" si="100"/>
        <v>0</v>
      </c>
      <c r="EB47" s="124">
        <f t="shared" si="101"/>
        <v>0</v>
      </c>
      <c r="EC47" s="124">
        <f t="shared" si="102"/>
        <v>0</v>
      </c>
      <c r="ED47" s="124">
        <f t="shared" si="103"/>
        <v>0</v>
      </c>
      <c r="EE47" s="124">
        <f t="shared" si="104"/>
        <v>0</v>
      </c>
      <c r="EF47" s="124">
        <f t="shared" si="105"/>
        <v>0</v>
      </c>
      <c r="EG47" s="124">
        <f t="shared" si="106"/>
        <v>0</v>
      </c>
      <c r="EH47" s="124">
        <f t="shared" si="107"/>
        <v>0</v>
      </c>
      <c r="EI47" s="124">
        <f t="shared" si="108"/>
        <v>0</v>
      </c>
      <c r="EJ47" s="124">
        <f t="shared" si="109"/>
        <v>0</v>
      </c>
      <c r="EK47" s="124">
        <f t="shared" si="110"/>
        <v>0</v>
      </c>
      <c r="EL47" s="124">
        <f t="shared" si="111"/>
        <v>0</v>
      </c>
      <c r="EM47" s="124">
        <f t="shared" si="112"/>
        <v>0</v>
      </c>
      <c r="EN47" s="124">
        <f t="shared" si="113"/>
        <v>0</v>
      </c>
      <c r="EO47" s="124">
        <f t="shared" si="114"/>
        <v>0</v>
      </c>
      <c r="EP47" s="124">
        <f t="shared" si="115"/>
        <v>0</v>
      </c>
      <c r="EQ47" s="124">
        <f t="shared" si="116"/>
        <v>0</v>
      </c>
      <c r="ER47" s="124">
        <f t="shared" si="117"/>
        <v>0</v>
      </c>
      <c r="ES47" s="124">
        <f t="shared" si="118"/>
        <v>0</v>
      </c>
      <c r="ET47" s="124">
        <f t="shared" si="119"/>
        <v>0</v>
      </c>
      <c r="EU47" s="124">
        <f t="shared" si="120"/>
        <v>0</v>
      </c>
      <c r="EV47" s="125"/>
      <c r="EW47" s="166">
        <f t="shared" si="121"/>
        <v>0</v>
      </c>
      <c r="EX47" s="72"/>
      <c r="EY47" s="123">
        <f t="shared" si="122"/>
        <v>1870.9208562499998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3"/>
        <v>0</v>
      </c>
      <c r="GJ47" s="124">
        <f t="shared" si="124"/>
        <v>0</v>
      </c>
      <c r="GK47" s="124">
        <f t="shared" si="125"/>
        <v>0</v>
      </c>
      <c r="GL47" s="124">
        <f t="shared" si="126"/>
        <v>0</v>
      </c>
      <c r="GM47" s="125"/>
      <c r="GN47" s="166">
        <f t="shared" ca="1" si="127"/>
        <v>0</v>
      </c>
    </row>
    <row r="48" spans="1:196">
      <c r="A48" s="179" t="s">
        <v>410</v>
      </c>
      <c r="B48" s="173"/>
      <c r="C48" s="247"/>
      <c r="D48" s="248"/>
      <c r="E48" s="249">
        <f t="shared" si="0"/>
        <v>0</v>
      </c>
      <c r="F48" s="250">
        <f t="shared" si="1"/>
        <v>0</v>
      </c>
      <c r="G48" s="251" t="str">
        <f t="shared" si="129"/>
        <v/>
      </c>
      <c r="H48" s="252">
        <f t="shared" si="58"/>
        <v>0</v>
      </c>
      <c r="I48" s="253">
        <f t="shared" si="2"/>
        <v>0</v>
      </c>
      <c r="J48" s="69"/>
      <c r="K48" s="69"/>
      <c r="L48" s="69"/>
      <c r="M48" s="69"/>
      <c r="N48" s="791" t="s">
        <v>462</v>
      </c>
      <c r="O48" s="789"/>
      <c r="P48" s="790"/>
      <c r="Q48" s="193">
        <f>HomeBroker!AE1*365</f>
        <v>0.94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0">
        <f t="shared" si="10"/>
        <v>0</v>
      </c>
      <c r="BB48" s="291">
        <f t="shared" si="11"/>
        <v>0</v>
      </c>
      <c r="BC48" s="177" t="s">
        <v>408</v>
      </c>
      <c r="BD48" s="118"/>
      <c r="BE48" s="143"/>
      <c r="BF48" s="121"/>
      <c r="BG48" s="293">
        <f t="shared" si="12"/>
        <v>0</v>
      </c>
      <c r="BH48" s="295">
        <f t="shared" si="13"/>
        <v>0</v>
      </c>
      <c r="BI48" s="178" t="s">
        <v>409</v>
      </c>
      <c r="BJ48" s="118"/>
      <c r="BK48" s="121"/>
      <c r="BL48" s="296">
        <f t="shared" si="14"/>
        <v>0</v>
      </c>
      <c r="BM48" s="297">
        <f t="shared" si="15"/>
        <v>0</v>
      </c>
      <c r="DH48" s="123">
        <f t="shared" si="81"/>
        <v>1969.3903749999999</v>
      </c>
      <c r="DI48" s="124">
        <f t="shared" si="82"/>
        <v>0</v>
      </c>
      <c r="DJ48" s="124">
        <f t="shared" si="83"/>
        <v>0</v>
      </c>
      <c r="DK48" s="124">
        <f t="shared" si="84"/>
        <v>0</v>
      </c>
      <c r="DL48" s="124">
        <f t="shared" si="85"/>
        <v>0</v>
      </c>
      <c r="DM48" s="124">
        <f t="shared" si="86"/>
        <v>0</v>
      </c>
      <c r="DN48" s="124">
        <f t="shared" si="87"/>
        <v>0</v>
      </c>
      <c r="DO48" s="124">
        <f t="shared" si="88"/>
        <v>0</v>
      </c>
      <c r="DP48" s="124">
        <f t="shared" si="89"/>
        <v>0</v>
      </c>
      <c r="DQ48" s="124">
        <f t="shared" si="90"/>
        <v>0</v>
      </c>
      <c r="DR48" s="124">
        <f t="shared" si="91"/>
        <v>0</v>
      </c>
      <c r="DS48" s="124">
        <f t="shared" si="92"/>
        <v>0</v>
      </c>
      <c r="DT48" s="124">
        <f t="shared" si="93"/>
        <v>0</v>
      </c>
      <c r="DU48" s="124">
        <f t="shared" si="94"/>
        <v>0</v>
      </c>
      <c r="DV48" s="124">
        <f t="shared" si="95"/>
        <v>0</v>
      </c>
      <c r="DW48" s="124">
        <f t="shared" si="96"/>
        <v>0</v>
      </c>
      <c r="DX48" s="124">
        <f t="shared" si="97"/>
        <v>0</v>
      </c>
      <c r="DY48" s="124">
        <f t="shared" si="98"/>
        <v>0</v>
      </c>
      <c r="DZ48" s="124">
        <f t="shared" si="99"/>
        <v>0</v>
      </c>
      <c r="EA48" s="124">
        <f t="shared" si="100"/>
        <v>0</v>
      </c>
      <c r="EB48" s="124">
        <f t="shared" si="101"/>
        <v>0</v>
      </c>
      <c r="EC48" s="124">
        <f t="shared" si="102"/>
        <v>0</v>
      </c>
      <c r="ED48" s="124">
        <f t="shared" si="103"/>
        <v>0</v>
      </c>
      <c r="EE48" s="124">
        <f t="shared" si="104"/>
        <v>0</v>
      </c>
      <c r="EF48" s="124">
        <f t="shared" si="105"/>
        <v>0</v>
      </c>
      <c r="EG48" s="124">
        <f t="shared" si="106"/>
        <v>0</v>
      </c>
      <c r="EH48" s="124">
        <f t="shared" si="107"/>
        <v>0</v>
      </c>
      <c r="EI48" s="124">
        <f t="shared" si="108"/>
        <v>0</v>
      </c>
      <c r="EJ48" s="124">
        <f t="shared" si="109"/>
        <v>0</v>
      </c>
      <c r="EK48" s="124">
        <f t="shared" si="110"/>
        <v>0</v>
      </c>
      <c r="EL48" s="124">
        <f t="shared" si="111"/>
        <v>0</v>
      </c>
      <c r="EM48" s="124">
        <f t="shared" si="112"/>
        <v>0</v>
      </c>
      <c r="EN48" s="124">
        <f t="shared" si="113"/>
        <v>0</v>
      </c>
      <c r="EO48" s="124">
        <f t="shared" si="114"/>
        <v>0</v>
      </c>
      <c r="EP48" s="124">
        <f t="shared" si="115"/>
        <v>0</v>
      </c>
      <c r="EQ48" s="124">
        <f t="shared" si="116"/>
        <v>0</v>
      </c>
      <c r="ER48" s="124">
        <f t="shared" si="117"/>
        <v>0</v>
      </c>
      <c r="ES48" s="124">
        <f t="shared" si="118"/>
        <v>0</v>
      </c>
      <c r="ET48" s="124">
        <f t="shared" si="119"/>
        <v>0</v>
      </c>
      <c r="EU48" s="124">
        <f t="shared" si="120"/>
        <v>0</v>
      </c>
      <c r="EV48" s="125"/>
      <c r="EW48" s="166">
        <f t="shared" si="121"/>
        <v>0</v>
      </c>
      <c r="EX48" s="72"/>
      <c r="EY48" s="123">
        <f t="shared" si="122"/>
        <v>1969.3903749999999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3"/>
        <v>0</v>
      </c>
      <c r="GJ48" s="124">
        <f t="shared" si="124"/>
        <v>0</v>
      </c>
      <c r="GK48" s="124">
        <f t="shared" si="125"/>
        <v>0</v>
      </c>
      <c r="GL48" s="124">
        <f t="shared" si="126"/>
        <v>0</v>
      </c>
      <c r="GM48" s="125"/>
      <c r="GN48" s="166">
        <f t="shared" ca="1" si="127"/>
        <v>0</v>
      </c>
    </row>
    <row r="49" spans="1:196">
      <c r="A49" s="181" t="s">
        <v>411</v>
      </c>
      <c r="B49" s="173"/>
      <c r="C49" s="247"/>
      <c r="D49" s="248"/>
      <c r="E49" s="249">
        <f t="shared" si="0"/>
        <v>0</v>
      </c>
      <c r="F49" s="250">
        <f t="shared" si="1"/>
        <v>0</v>
      </c>
      <c r="G49" s="251" t="str">
        <f t="shared" si="129"/>
        <v/>
      </c>
      <c r="H49" s="252">
        <f t="shared" si="58"/>
        <v>0</v>
      </c>
      <c r="I49" s="253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8"/>
        <v/>
      </c>
      <c r="M49" s="134">
        <f>I49+I48</f>
        <v>0</v>
      </c>
      <c r="N49" s="792" t="s">
        <v>463</v>
      </c>
      <c r="O49" s="789"/>
      <c r="P49" s="790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0">
        <f t="shared" si="10"/>
        <v>0</v>
      </c>
      <c r="BB49" s="291">
        <f t="shared" si="11"/>
        <v>0</v>
      </c>
      <c r="BC49" s="177" t="s">
        <v>408</v>
      </c>
      <c r="BD49" s="118"/>
      <c r="BE49" s="143"/>
      <c r="BF49" s="121"/>
      <c r="BG49" s="293">
        <f t="shared" si="12"/>
        <v>0</v>
      </c>
      <c r="BH49" s="295">
        <f t="shared" si="13"/>
        <v>0</v>
      </c>
      <c r="BI49" s="178" t="s">
        <v>409</v>
      </c>
      <c r="BJ49" s="118"/>
      <c r="BK49" s="121"/>
      <c r="BL49" s="296">
        <f t="shared" si="14"/>
        <v>0</v>
      </c>
      <c r="BM49" s="297">
        <f t="shared" si="15"/>
        <v>0</v>
      </c>
      <c r="DH49" s="123">
        <f t="shared" si="81"/>
        <v>2073.0425</v>
      </c>
      <c r="DI49" s="124">
        <f t="shared" si="82"/>
        <v>0</v>
      </c>
      <c r="DJ49" s="124">
        <f t="shared" si="83"/>
        <v>0</v>
      </c>
      <c r="DK49" s="124">
        <f t="shared" si="84"/>
        <v>0</v>
      </c>
      <c r="DL49" s="124">
        <f t="shared" si="85"/>
        <v>0</v>
      </c>
      <c r="DM49" s="124">
        <f t="shared" si="86"/>
        <v>0</v>
      </c>
      <c r="DN49" s="124">
        <f t="shared" si="87"/>
        <v>0</v>
      </c>
      <c r="DO49" s="124">
        <f t="shared" si="88"/>
        <v>0</v>
      </c>
      <c r="DP49" s="124">
        <f t="shared" si="89"/>
        <v>0</v>
      </c>
      <c r="DQ49" s="124">
        <f t="shared" si="90"/>
        <v>0</v>
      </c>
      <c r="DR49" s="124">
        <f t="shared" si="91"/>
        <v>0</v>
      </c>
      <c r="DS49" s="124">
        <f t="shared" si="92"/>
        <v>0</v>
      </c>
      <c r="DT49" s="124">
        <f t="shared" si="93"/>
        <v>0</v>
      </c>
      <c r="DU49" s="124">
        <f t="shared" si="94"/>
        <v>0</v>
      </c>
      <c r="DV49" s="124">
        <f t="shared" si="95"/>
        <v>0</v>
      </c>
      <c r="DW49" s="124">
        <f t="shared" si="96"/>
        <v>0</v>
      </c>
      <c r="DX49" s="124">
        <f t="shared" si="97"/>
        <v>0</v>
      </c>
      <c r="DY49" s="124">
        <f t="shared" si="98"/>
        <v>0</v>
      </c>
      <c r="DZ49" s="124">
        <f t="shared" si="99"/>
        <v>0</v>
      </c>
      <c r="EA49" s="124">
        <f t="shared" si="100"/>
        <v>0</v>
      </c>
      <c r="EB49" s="124">
        <f t="shared" si="101"/>
        <v>0</v>
      </c>
      <c r="EC49" s="124">
        <f t="shared" si="102"/>
        <v>0</v>
      </c>
      <c r="ED49" s="124">
        <f t="shared" si="103"/>
        <v>0</v>
      </c>
      <c r="EE49" s="124">
        <f t="shared" si="104"/>
        <v>0</v>
      </c>
      <c r="EF49" s="124">
        <f t="shared" si="105"/>
        <v>0</v>
      </c>
      <c r="EG49" s="124">
        <f t="shared" si="106"/>
        <v>0</v>
      </c>
      <c r="EH49" s="124">
        <f t="shared" si="107"/>
        <v>0</v>
      </c>
      <c r="EI49" s="124">
        <f t="shared" si="108"/>
        <v>0</v>
      </c>
      <c r="EJ49" s="124">
        <f t="shared" si="109"/>
        <v>0</v>
      </c>
      <c r="EK49" s="124">
        <f t="shared" si="110"/>
        <v>0</v>
      </c>
      <c r="EL49" s="124">
        <f t="shared" si="111"/>
        <v>0</v>
      </c>
      <c r="EM49" s="124">
        <f t="shared" si="112"/>
        <v>0</v>
      </c>
      <c r="EN49" s="124">
        <f t="shared" si="113"/>
        <v>0</v>
      </c>
      <c r="EO49" s="124">
        <f t="shared" si="114"/>
        <v>0</v>
      </c>
      <c r="EP49" s="124">
        <f t="shared" si="115"/>
        <v>0</v>
      </c>
      <c r="EQ49" s="124">
        <f t="shared" si="116"/>
        <v>0</v>
      </c>
      <c r="ER49" s="124">
        <f t="shared" si="117"/>
        <v>0</v>
      </c>
      <c r="ES49" s="124">
        <f t="shared" si="118"/>
        <v>0</v>
      </c>
      <c r="ET49" s="124">
        <f t="shared" si="119"/>
        <v>0</v>
      </c>
      <c r="EU49" s="124">
        <f t="shared" si="120"/>
        <v>0</v>
      </c>
      <c r="EV49" s="125"/>
      <c r="EW49" s="166">
        <f t="shared" si="121"/>
        <v>0</v>
      </c>
      <c r="EX49" s="72"/>
      <c r="EY49" s="123">
        <f t="shared" si="122"/>
        <v>2073.0425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3"/>
        <v>0</v>
      </c>
      <c r="GJ49" s="124">
        <f t="shared" si="124"/>
        <v>0</v>
      </c>
      <c r="GK49" s="124">
        <f t="shared" si="125"/>
        <v>0</v>
      </c>
      <c r="GL49" s="124">
        <f t="shared" si="126"/>
        <v>0</v>
      </c>
      <c r="GM49" s="125"/>
      <c r="GN49" s="166">
        <f t="shared" ca="1" si="127"/>
        <v>0</v>
      </c>
    </row>
    <row r="50" spans="1:196">
      <c r="A50" s="172" t="s">
        <v>407</v>
      </c>
      <c r="B50" s="173"/>
      <c r="C50" s="247"/>
      <c r="D50" s="248"/>
      <c r="E50" s="249">
        <f t="shared" si="0"/>
        <v>0</v>
      </c>
      <c r="F50" s="250">
        <f t="shared" si="1"/>
        <v>0</v>
      </c>
      <c r="G50" s="251" t="str">
        <f t="shared" si="129"/>
        <v/>
      </c>
      <c r="H50" s="252">
        <f t="shared" si="58"/>
        <v>0</v>
      </c>
      <c r="I50" s="253">
        <f t="shared" si="2"/>
        <v>0</v>
      </c>
      <c r="J50" s="69"/>
      <c r="K50" s="69"/>
      <c r="L50" s="69"/>
      <c r="M50" s="69"/>
      <c r="N50" s="792" t="s">
        <v>464</v>
      </c>
      <c r="O50" s="789"/>
      <c r="P50" s="790"/>
      <c r="Q50" s="195">
        <f ca="1">Q49-TODAY()-Q44</f>
        <v>8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0">
        <f t="shared" si="10"/>
        <v>0</v>
      </c>
      <c r="BB50" s="291">
        <f t="shared" si="11"/>
        <v>0</v>
      </c>
      <c r="BC50" s="177" t="s">
        <v>408</v>
      </c>
      <c r="BD50" s="118"/>
      <c r="BE50" s="143"/>
      <c r="BF50" s="121"/>
      <c r="BG50" s="293">
        <f t="shared" si="12"/>
        <v>0</v>
      </c>
      <c r="BH50" s="295">
        <f t="shared" si="13"/>
        <v>0</v>
      </c>
      <c r="BI50" s="178" t="s">
        <v>409</v>
      </c>
      <c r="BJ50" s="118"/>
      <c r="BK50" s="121"/>
      <c r="BL50" s="296">
        <f t="shared" si="14"/>
        <v>0</v>
      </c>
      <c r="BM50" s="297">
        <f t="shared" si="15"/>
        <v>0</v>
      </c>
      <c r="DH50" s="123">
        <f t="shared" si="81"/>
        <v>2182.15</v>
      </c>
      <c r="DI50" s="124">
        <f t="shared" si="82"/>
        <v>0</v>
      </c>
      <c r="DJ50" s="124">
        <f t="shared" si="83"/>
        <v>0</v>
      </c>
      <c r="DK50" s="124">
        <f t="shared" si="84"/>
        <v>0</v>
      </c>
      <c r="DL50" s="124">
        <f t="shared" si="85"/>
        <v>0</v>
      </c>
      <c r="DM50" s="124">
        <f t="shared" si="86"/>
        <v>0</v>
      </c>
      <c r="DN50" s="124">
        <f t="shared" si="87"/>
        <v>0</v>
      </c>
      <c r="DO50" s="124">
        <f t="shared" si="88"/>
        <v>0</v>
      </c>
      <c r="DP50" s="124">
        <f t="shared" si="89"/>
        <v>0</v>
      </c>
      <c r="DQ50" s="124">
        <f t="shared" si="90"/>
        <v>0</v>
      </c>
      <c r="DR50" s="124">
        <f t="shared" si="91"/>
        <v>0</v>
      </c>
      <c r="DS50" s="124">
        <f t="shared" si="92"/>
        <v>0</v>
      </c>
      <c r="DT50" s="124">
        <f t="shared" si="93"/>
        <v>0</v>
      </c>
      <c r="DU50" s="124">
        <f t="shared" si="94"/>
        <v>0</v>
      </c>
      <c r="DV50" s="124">
        <f t="shared" si="95"/>
        <v>0</v>
      </c>
      <c r="DW50" s="124">
        <f t="shared" si="96"/>
        <v>0</v>
      </c>
      <c r="DX50" s="124">
        <f t="shared" si="97"/>
        <v>0</v>
      </c>
      <c r="DY50" s="124">
        <f t="shared" si="98"/>
        <v>0</v>
      </c>
      <c r="DZ50" s="124">
        <f t="shared" si="99"/>
        <v>0</v>
      </c>
      <c r="EA50" s="124">
        <f t="shared" si="100"/>
        <v>0</v>
      </c>
      <c r="EB50" s="124">
        <f t="shared" si="101"/>
        <v>0</v>
      </c>
      <c r="EC50" s="124">
        <f t="shared" si="102"/>
        <v>0</v>
      </c>
      <c r="ED50" s="124">
        <f t="shared" si="103"/>
        <v>0</v>
      </c>
      <c r="EE50" s="124">
        <f t="shared" si="104"/>
        <v>0</v>
      </c>
      <c r="EF50" s="124">
        <f t="shared" si="105"/>
        <v>0</v>
      </c>
      <c r="EG50" s="124">
        <f t="shared" si="106"/>
        <v>0</v>
      </c>
      <c r="EH50" s="124">
        <f t="shared" si="107"/>
        <v>0</v>
      </c>
      <c r="EI50" s="124">
        <f t="shared" si="108"/>
        <v>0</v>
      </c>
      <c r="EJ50" s="124">
        <f t="shared" si="109"/>
        <v>0</v>
      </c>
      <c r="EK50" s="124">
        <f t="shared" si="110"/>
        <v>0</v>
      </c>
      <c r="EL50" s="124">
        <f t="shared" si="111"/>
        <v>0</v>
      </c>
      <c r="EM50" s="124">
        <f t="shared" si="112"/>
        <v>0</v>
      </c>
      <c r="EN50" s="124">
        <f t="shared" si="113"/>
        <v>0</v>
      </c>
      <c r="EO50" s="124">
        <f t="shared" si="114"/>
        <v>0</v>
      </c>
      <c r="EP50" s="124">
        <f t="shared" si="115"/>
        <v>0</v>
      </c>
      <c r="EQ50" s="124">
        <f t="shared" si="116"/>
        <v>0</v>
      </c>
      <c r="ER50" s="124">
        <f t="shared" si="117"/>
        <v>0</v>
      </c>
      <c r="ES50" s="124">
        <f t="shared" si="118"/>
        <v>0</v>
      </c>
      <c r="ET50" s="124">
        <f t="shared" si="119"/>
        <v>0</v>
      </c>
      <c r="EU50" s="124">
        <f t="shared" si="120"/>
        <v>0</v>
      </c>
      <c r="EV50" s="125"/>
      <c r="EW50" s="166">
        <f t="shared" si="121"/>
        <v>0</v>
      </c>
      <c r="EX50" s="72"/>
      <c r="EY50" s="123">
        <f t="shared" si="122"/>
        <v>2182.15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3"/>
        <v>0</v>
      </c>
      <c r="GJ50" s="124">
        <f t="shared" si="124"/>
        <v>0</v>
      </c>
      <c r="GK50" s="124">
        <f t="shared" si="125"/>
        <v>0</v>
      </c>
      <c r="GL50" s="124">
        <f t="shared" si="126"/>
        <v>0</v>
      </c>
      <c r="GM50" s="125"/>
      <c r="GN50" s="166">
        <f t="shared" ca="1" si="127"/>
        <v>0</v>
      </c>
    </row>
    <row r="51" spans="1:196">
      <c r="A51" s="179" t="s">
        <v>410</v>
      </c>
      <c r="B51" s="173"/>
      <c r="C51" s="247"/>
      <c r="D51" s="248"/>
      <c r="E51" s="249">
        <f t="shared" si="0"/>
        <v>0</v>
      </c>
      <c r="F51" s="250">
        <f t="shared" si="1"/>
        <v>0</v>
      </c>
      <c r="G51" s="251" t="str">
        <f t="shared" si="129"/>
        <v/>
      </c>
      <c r="H51" s="252">
        <f t="shared" si="58"/>
        <v>0</v>
      </c>
      <c r="I51" s="253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8"/>
        <v/>
      </c>
      <c r="M51" s="134">
        <f>I51+I50</f>
        <v>0</v>
      </c>
      <c r="N51" s="792" t="s">
        <v>465</v>
      </c>
      <c r="O51" s="789"/>
      <c r="P51" s="790"/>
      <c r="Q51" s="196">
        <f ca="1">Q50/365</f>
        <v>2.1917808219178082E-2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0">
        <f t="shared" si="10"/>
        <v>0</v>
      </c>
      <c r="BB51" s="291">
        <f t="shared" si="11"/>
        <v>0</v>
      </c>
      <c r="BC51" s="177" t="s">
        <v>408</v>
      </c>
      <c r="BD51" s="118"/>
      <c r="BE51" s="143"/>
      <c r="BF51" s="121"/>
      <c r="BG51" s="293">
        <f t="shared" si="12"/>
        <v>0</v>
      </c>
      <c r="BH51" s="295">
        <f t="shared" si="13"/>
        <v>0</v>
      </c>
      <c r="BI51" s="178" t="s">
        <v>409</v>
      </c>
      <c r="BJ51" s="118"/>
      <c r="BK51" s="121"/>
      <c r="BL51" s="296">
        <f t="shared" si="14"/>
        <v>0</v>
      </c>
      <c r="BM51" s="297">
        <f t="shared" si="15"/>
        <v>0</v>
      </c>
      <c r="DH51" s="123">
        <f t="shared" si="81"/>
        <v>2297</v>
      </c>
      <c r="DI51" s="124">
        <f t="shared" si="82"/>
        <v>0</v>
      </c>
      <c r="DJ51" s="124">
        <f t="shared" si="83"/>
        <v>0</v>
      </c>
      <c r="DK51" s="124">
        <f t="shared" si="84"/>
        <v>0</v>
      </c>
      <c r="DL51" s="124">
        <f t="shared" si="85"/>
        <v>0</v>
      </c>
      <c r="DM51" s="124">
        <f t="shared" si="86"/>
        <v>0</v>
      </c>
      <c r="DN51" s="124">
        <f t="shared" si="87"/>
        <v>0</v>
      </c>
      <c r="DO51" s="124">
        <f t="shared" si="88"/>
        <v>0</v>
      </c>
      <c r="DP51" s="124">
        <f t="shared" si="89"/>
        <v>0</v>
      </c>
      <c r="DQ51" s="124">
        <f t="shared" si="90"/>
        <v>0</v>
      </c>
      <c r="DR51" s="124">
        <f t="shared" si="91"/>
        <v>0</v>
      </c>
      <c r="DS51" s="124">
        <f t="shared" si="92"/>
        <v>0</v>
      </c>
      <c r="DT51" s="124">
        <f t="shared" si="93"/>
        <v>0</v>
      </c>
      <c r="DU51" s="124">
        <f t="shared" si="94"/>
        <v>0</v>
      </c>
      <c r="DV51" s="124">
        <f t="shared" si="95"/>
        <v>0</v>
      </c>
      <c r="DW51" s="124">
        <f t="shared" si="96"/>
        <v>0</v>
      </c>
      <c r="DX51" s="124">
        <f t="shared" si="97"/>
        <v>0</v>
      </c>
      <c r="DY51" s="124">
        <f t="shared" si="98"/>
        <v>0</v>
      </c>
      <c r="DZ51" s="124">
        <f t="shared" si="99"/>
        <v>0</v>
      </c>
      <c r="EA51" s="124">
        <f t="shared" si="100"/>
        <v>0</v>
      </c>
      <c r="EB51" s="124">
        <f t="shared" si="101"/>
        <v>0</v>
      </c>
      <c r="EC51" s="124">
        <f t="shared" si="102"/>
        <v>0</v>
      </c>
      <c r="ED51" s="124">
        <f t="shared" si="103"/>
        <v>0</v>
      </c>
      <c r="EE51" s="124">
        <f t="shared" si="104"/>
        <v>0</v>
      </c>
      <c r="EF51" s="124">
        <f t="shared" si="105"/>
        <v>0</v>
      </c>
      <c r="EG51" s="124">
        <f t="shared" si="106"/>
        <v>0</v>
      </c>
      <c r="EH51" s="124">
        <f t="shared" si="107"/>
        <v>0</v>
      </c>
      <c r="EI51" s="124">
        <f t="shared" si="108"/>
        <v>0</v>
      </c>
      <c r="EJ51" s="124">
        <f t="shared" si="109"/>
        <v>0</v>
      </c>
      <c r="EK51" s="124">
        <f t="shared" si="110"/>
        <v>0</v>
      </c>
      <c r="EL51" s="124">
        <f t="shared" si="111"/>
        <v>0</v>
      </c>
      <c r="EM51" s="124">
        <f t="shared" si="112"/>
        <v>0</v>
      </c>
      <c r="EN51" s="124">
        <f t="shared" si="113"/>
        <v>0</v>
      </c>
      <c r="EO51" s="124">
        <f t="shared" si="114"/>
        <v>0</v>
      </c>
      <c r="EP51" s="124">
        <f t="shared" si="115"/>
        <v>0</v>
      </c>
      <c r="EQ51" s="124">
        <f t="shared" si="116"/>
        <v>0</v>
      </c>
      <c r="ER51" s="124">
        <f t="shared" si="117"/>
        <v>0</v>
      </c>
      <c r="ES51" s="124">
        <f t="shared" si="118"/>
        <v>0</v>
      </c>
      <c r="ET51" s="124">
        <f t="shared" si="119"/>
        <v>0</v>
      </c>
      <c r="EU51" s="124">
        <f t="shared" si="120"/>
        <v>0</v>
      </c>
      <c r="EV51" s="125"/>
      <c r="EW51" s="166">
        <f t="shared" si="121"/>
        <v>0</v>
      </c>
      <c r="EX51" s="72"/>
      <c r="EY51" s="123">
        <f t="shared" si="122"/>
        <v>2297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3"/>
        <v>0</v>
      </c>
      <c r="GJ51" s="124">
        <f t="shared" si="124"/>
        <v>0</v>
      </c>
      <c r="GK51" s="124">
        <f t="shared" si="125"/>
        <v>0</v>
      </c>
      <c r="GL51" s="124">
        <f t="shared" si="126"/>
        <v>0</v>
      </c>
      <c r="GM51" s="125"/>
      <c r="GN51" s="166">
        <f t="shared" ca="1" si="127"/>
        <v>0</v>
      </c>
    </row>
    <row r="52" spans="1:196">
      <c r="A52" s="181" t="s">
        <v>411</v>
      </c>
      <c r="B52" s="173"/>
      <c r="C52" s="247"/>
      <c r="D52" s="248"/>
      <c r="E52" s="249">
        <f t="shared" si="0"/>
        <v>0</v>
      </c>
      <c r="F52" s="250">
        <f t="shared" si="1"/>
        <v>0</v>
      </c>
      <c r="G52" s="251" t="str">
        <f t="shared" si="129"/>
        <v/>
      </c>
      <c r="H52" s="252">
        <f t="shared" si="58"/>
        <v>0</v>
      </c>
      <c r="I52" s="253">
        <f t="shared" si="2"/>
        <v>0</v>
      </c>
      <c r="J52" s="69"/>
      <c r="K52" s="69"/>
      <c r="L52" s="69"/>
      <c r="M52" s="69"/>
      <c r="N52" s="793" t="s">
        <v>0</v>
      </c>
      <c r="O52" s="789"/>
      <c r="P52" s="790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0">
        <f t="shared" si="10"/>
        <v>0</v>
      </c>
      <c r="BB52" s="291">
        <f t="shared" si="11"/>
        <v>0</v>
      </c>
      <c r="BC52" s="177" t="s">
        <v>408</v>
      </c>
      <c r="BD52" s="118"/>
      <c r="BE52" s="143"/>
      <c r="BF52" s="121"/>
      <c r="BG52" s="293">
        <f t="shared" si="12"/>
        <v>0</v>
      </c>
      <c r="BH52" s="295">
        <f t="shared" si="13"/>
        <v>0</v>
      </c>
      <c r="BI52" s="178" t="s">
        <v>409</v>
      </c>
      <c r="BJ52" s="118"/>
      <c r="BK52" s="121"/>
      <c r="BL52" s="296">
        <f t="shared" si="14"/>
        <v>0</v>
      </c>
      <c r="BM52" s="297">
        <f t="shared" si="15"/>
        <v>0</v>
      </c>
      <c r="DH52" s="123">
        <f t="shared" si="81"/>
        <v>2411.85</v>
      </c>
      <c r="DI52" s="124">
        <f t="shared" si="82"/>
        <v>0</v>
      </c>
      <c r="DJ52" s="124">
        <f t="shared" si="83"/>
        <v>0</v>
      </c>
      <c r="DK52" s="124">
        <f t="shared" si="84"/>
        <v>0</v>
      </c>
      <c r="DL52" s="124">
        <f t="shared" si="85"/>
        <v>0</v>
      </c>
      <c r="DM52" s="124">
        <f t="shared" si="86"/>
        <v>0</v>
      </c>
      <c r="DN52" s="124">
        <f t="shared" si="87"/>
        <v>0</v>
      </c>
      <c r="DO52" s="124">
        <f t="shared" si="88"/>
        <v>0</v>
      </c>
      <c r="DP52" s="124">
        <f t="shared" si="89"/>
        <v>0</v>
      </c>
      <c r="DQ52" s="124">
        <f t="shared" si="90"/>
        <v>0</v>
      </c>
      <c r="DR52" s="124">
        <f t="shared" si="91"/>
        <v>0</v>
      </c>
      <c r="DS52" s="124">
        <f t="shared" si="92"/>
        <v>0</v>
      </c>
      <c r="DT52" s="124">
        <f t="shared" si="93"/>
        <v>0</v>
      </c>
      <c r="DU52" s="124">
        <f t="shared" si="94"/>
        <v>0</v>
      </c>
      <c r="DV52" s="124">
        <f t="shared" si="95"/>
        <v>0</v>
      </c>
      <c r="DW52" s="124">
        <f t="shared" si="96"/>
        <v>0</v>
      </c>
      <c r="DX52" s="124">
        <f t="shared" si="97"/>
        <v>0</v>
      </c>
      <c r="DY52" s="124">
        <f t="shared" si="98"/>
        <v>0</v>
      </c>
      <c r="DZ52" s="124">
        <f t="shared" si="99"/>
        <v>0</v>
      </c>
      <c r="EA52" s="124">
        <f t="shared" si="100"/>
        <v>0</v>
      </c>
      <c r="EB52" s="124">
        <f t="shared" si="101"/>
        <v>0</v>
      </c>
      <c r="EC52" s="124">
        <f t="shared" si="102"/>
        <v>0</v>
      </c>
      <c r="ED52" s="124">
        <f t="shared" si="103"/>
        <v>0</v>
      </c>
      <c r="EE52" s="124">
        <f t="shared" si="104"/>
        <v>0</v>
      </c>
      <c r="EF52" s="124">
        <f t="shared" si="105"/>
        <v>0</v>
      </c>
      <c r="EG52" s="124">
        <f t="shared" si="106"/>
        <v>0</v>
      </c>
      <c r="EH52" s="124">
        <f t="shared" si="107"/>
        <v>0</v>
      </c>
      <c r="EI52" s="124">
        <f t="shared" si="108"/>
        <v>0</v>
      </c>
      <c r="EJ52" s="124">
        <f t="shared" si="109"/>
        <v>0</v>
      </c>
      <c r="EK52" s="124">
        <f t="shared" si="110"/>
        <v>0</v>
      </c>
      <c r="EL52" s="124">
        <f t="shared" si="111"/>
        <v>0</v>
      </c>
      <c r="EM52" s="124">
        <f t="shared" si="112"/>
        <v>0</v>
      </c>
      <c r="EN52" s="124">
        <f t="shared" si="113"/>
        <v>0</v>
      </c>
      <c r="EO52" s="124">
        <f t="shared" si="114"/>
        <v>0</v>
      </c>
      <c r="EP52" s="124">
        <f t="shared" si="115"/>
        <v>0</v>
      </c>
      <c r="EQ52" s="124">
        <f t="shared" si="116"/>
        <v>0</v>
      </c>
      <c r="ER52" s="124">
        <f t="shared" si="117"/>
        <v>0</v>
      </c>
      <c r="ES52" s="124">
        <f t="shared" si="118"/>
        <v>0</v>
      </c>
      <c r="ET52" s="124">
        <f t="shared" si="119"/>
        <v>0</v>
      </c>
      <c r="EU52" s="124">
        <f t="shared" si="120"/>
        <v>0</v>
      </c>
      <c r="EV52" s="125"/>
      <c r="EW52" s="166">
        <f t="shared" si="121"/>
        <v>0</v>
      </c>
      <c r="EX52" s="72"/>
      <c r="EY52" s="123">
        <f t="shared" si="122"/>
        <v>2411.85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3"/>
        <v>0</v>
      </c>
      <c r="GJ52" s="124">
        <f t="shared" si="124"/>
        <v>0</v>
      </c>
      <c r="GK52" s="124">
        <f t="shared" si="125"/>
        <v>0</v>
      </c>
      <c r="GL52" s="124">
        <f t="shared" si="126"/>
        <v>0</v>
      </c>
      <c r="GM52" s="125"/>
      <c r="GN52" s="166">
        <f t="shared" ca="1" si="127"/>
        <v>0</v>
      </c>
    </row>
    <row r="53" spans="1:196">
      <c r="A53" s="172" t="s">
        <v>407</v>
      </c>
      <c r="B53" s="173"/>
      <c r="C53" s="247"/>
      <c r="D53" s="248"/>
      <c r="E53" s="249">
        <f t="shared" si="0"/>
        <v>0</v>
      </c>
      <c r="F53" s="250">
        <f t="shared" si="1"/>
        <v>0</v>
      </c>
      <c r="G53" s="251" t="str">
        <f t="shared" si="129"/>
        <v/>
      </c>
      <c r="H53" s="252">
        <f t="shared" si="58"/>
        <v>0</v>
      </c>
      <c r="I53" s="253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8"/>
        <v/>
      </c>
      <c r="M53" s="134">
        <f>I53+I52</f>
        <v>0</v>
      </c>
      <c r="N53" s="805" t="s">
        <v>1</v>
      </c>
      <c r="O53" s="806"/>
      <c r="P53" s="807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0">
        <f t="shared" si="10"/>
        <v>0</v>
      </c>
      <c r="BB53" s="291">
        <f t="shared" si="11"/>
        <v>0</v>
      </c>
      <c r="BC53" s="177" t="s">
        <v>408</v>
      </c>
      <c r="BD53" s="118"/>
      <c r="BE53" s="143"/>
      <c r="BF53" s="121"/>
      <c r="BG53" s="293">
        <f t="shared" si="12"/>
        <v>0</v>
      </c>
      <c r="BH53" s="295">
        <f t="shared" si="13"/>
        <v>0</v>
      </c>
      <c r="BI53" s="178" t="s">
        <v>409</v>
      </c>
      <c r="BJ53" s="118"/>
      <c r="BK53" s="121"/>
      <c r="BL53" s="296">
        <f t="shared" si="14"/>
        <v>0</v>
      </c>
      <c r="BM53" s="297">
        <f t="shared" si="15"/>
        <v>0</v>
      </c>
      <c r="DH53" s="123">
        <f t="shared" si="81"/>
        <v>2532.4425000000001</v>
      </c>
      <c r="DI53" s="124">
        <f t="shared" si="82"/>
        <v>0</v>
      </c>
      <c r="DJ53" s="124">
        <f t="shared" si="83"/>
        <v>0</v>
      </c>
      <c r="DK53" s="124">
        <f t="shared" si="84"/>
        <v>0</v>
      </c>
      <c r="DL53" s="124">
        <f t="shared" si="85"/>
        <v>0</v>
      </c>
      <c r="DM53" s="124">
        <f t="shared" si="86"/>
        <v>0</v>
      </c>
      <c r="DN53" s="124">
        <f t="shared" si="87"/>
        <v>0</v>
      </c>
      <c r="DO53" s="124">
        <f t="shared" si="88"/>
        <v>0</v>
      </c>
      <c r="DP53" s="124">
        <f t="shared" si="89"/>
        <v>0</v>
      </c>
      <c r="DQ53" s="124">
        <f t="shared" si="90"/>
        <v>0</v>
      </c>
      <c r="DR53" s="124">
        <f t="shared" si="91"/>
        <v>0</v>
      </c>
      <c r="DS53" s="124">
        <f t="shared" si="92"/>
        <v>0</v>
      </c>
      <c r="DT53" s="124">
        <f t="shared" si="93"/>
        <v>0</v>
      </c>
      <c r="DU53" s="124">
        <f t="shared" si="94"/>
        <v>0</v>
      </c>
      <c r="DV53" s="124">
        <f t="shared" si="95"/>
        <v>0</v>
      </c>
      <c r="DW53" s="124">
        <f t="shared" si="96"/>
        <v>0</v>
      </c>
      <c r="DX53" s="124">
        <f t="shared" si="97"/>
        <v>0</v>
      </c>
      <c r="DY53" s="124">
        <f t="shared" si="98"/>
        <v>0</v>
      </c>
      <c r="DZ53" s="124">
        <f t="shared" si="99"/>
        <v>0</v>
      </c>
      <c r="EA53" s="124">
        <f t="shared" si="100"/>
        <v>0</v>
      </c>
      <c r="EB53" s="124">
        <f t="shared" si="101"/>
        <v>0</v>
      </c>
      <c r="EC53" s="124">
        <f t="shared" si="102"/>
        <v>0</v>
      </c>
      <c r="ED53" s="124">
        <f t="shared" si="103"/>
        <v>0</v>
      </c>
      <c r="EE53" s="124">
        <f t="shared" si="104"/>
        <v>0</v>
      </c>
      <c r="EF53" s="124">
        <f t="shared" si="105"/>
        <v>0</v>
      </c>
      <c r="EG53" s="124">
        <f t="shared" si="106"/>
        <v>0</v>
      </c>
      <c r="EH53" s="124">
        <f t="shared" si="107"/>
        <v>0</v>
      </c>
      <c r="EI53" s="124">
        <f t="shared" si="108"/>
        <v>0</v>
      </c>
      <c r="EJ53" s="124">
        <f t="shared" si="109"/>
        <v>0</v>
      </c>
      <c r="EK53" s="124">
        <f t="shared" si="110"/>
        <v>0</v>
      </c>
      <c r="EL53" s="124">
        <f t="shared" si="111"/>
        <v>0</v>
      </c>
      <c r="EM53" s="124">
        <f t="shared" si="112"/>
        <v>0</v>
      </c>
      <c r="EN53" s="124">
        <f t="shared" si="113"/>
        <v>0</v>
      </c>
      <c r="EO53" s="124">
        <f t="shared" si="114"/>
        <v>0</v>
      </c>
      <c r="EP53" s="124">
        <f t="shared" si="115"/>
        <v>0</v>
      </c>
      <c r="EQ53" s="124">
        <f t="shared" si="116"/>
        <v>0</v>
      </c>
      <c r="ER53" s="124">
        <f t="shared" si="117"/>
        <v>0</v>
      </c>
      <c r="ES53" s="124">
        <f t="shared" si="118"/>
        <v>0</v>
      </c>
      <c r="ET53" s="124">
        <f t="shared" si="119"/>
        <v>0</v>
      </c>
      <c r="EU53" s="124">
        <f t="shared" si="120"/>
        <v>0</v>
      </c>
      <c r="EV53" s="125"/>
      <c r="EW53" s="166">
        <f t="shared" si="121"/>
        <v>0</v>
      </c>
      <c r="EX53" s="72"/>
      <c r="EY53" s="123">
        <f t="shared" si="122"/>
        <v>2532.4425000000001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3"/>
        <v>0</v>
      </c>
      <c r="GJ53" s="124">
        <f t="shared" si="124"/>
        <v>0</v>
      </c>
      <c r="GK53" s="124">
        <f t="shared" si="125"/>
        <v>0</v>
      </c>
      <c r="GL53" s="124">
        <f t="shared" si="126"/>
        <v>0</v>
      </c>
      <c r="GM53" s="125"/>
      <c r="GN53" s="166">
        <f t="shared" ca="1" si="127"/>
        <v>0</v>
      </c>
    </row>
    <row r="54" spans="1:196">
      <c r="A54" s="179" t="s">
        <v>410</v>
      </c>
      <c r="B54" s="173"/>
      <c r="C54" s="247"/>
      <c r="D54" s="248"/>
      <c r="E54" s="249">
        <f t="shared" si="0"/>
        <v>0</v>
      </c>
      <c r="F54" s="250">
        <f t="shared" si="1"/>
        <v>0</v>
      </c>
      <c r="G54" s="251" t="str">
        <f t="shared" si="129"/>
        <v/>
      </c>
      <c r="H54" s="252">
        <f t="shared" si="58"/>
        <v>0</v>
      </c>
      <c r="I54" s="253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0">
        <f t="shared" si="10"/>
        <v>0</v>
      </c>
      <c r="BB54" s="291">
        <f t="shared" si="11"/>
        <v>0</v>
      </c>
      <c r="BC54" s="177" t="s">
        <v>408</v>
      </c>
      <c r="BD54" s="118"/>
      <c r="BE54" s="143"/>
      <c r="BF54" s="121"/>
      <c r="BG54" s="293">
        <f t="shared" si="12"/>
        <v>0</v>
      </c>
      <c r="BH54" s="295">
        <f t="shared" si="13"/>
        <v>0</v>
      </c>
      <c r="BI54" s="178" t="s">
        <v>409</v>
      </c>
      <c r="BJ54" s="118"/>
      <c r="BK54" s="121"/>
      <c r="BL54" s="296">
        <f t="shared" si="14"/>
        <v>0</v>
      </c>
      <c r="BM54" s="297">
        <f t="shared" si="15"/>
        <v>0</v>
      </c>
      <c r="DH54" s="123">
        <f t="shared" si="81"/>
        <v>2659.0646250000004</v>
      </c>
      <c r="DI54" s="124">
        <f t="shared" si="82"/>
        <v>0</v>
      </c>
      <c r="DJ54" s="124">
        <f t="shared" si="83"/>
        <v>0</v>
      </c>
      <c r="DK54" s="124">
        <f t="shared" si="84"/>
        <v>0</v>
      </c>
      <c r="DL54" s="124">
        <f t="shared" si="85"/>
        <v>0</v>
      </c>
      <c r="DM54" s="124">
        <f t="shared" si="86"/>
        <v>0</v>
      </c>
      <c r="DN54" s="124">
        <f t="shared" si="87"/>
        <v>0</v>
      </c>
      <c r="DO54" s="124">
        <f t="shared" si="88"/>
        <v>0</v>
      </c>
      <c r="DP54" s="124">
        <f t="shared" si="89"/>
        <v>0</v>
      </c>
      <c r="DQ54" s="124">
        <f t="shared" si="90"/>
        <v>0</v>
      </c>
      <c r="DR54" s="124">
        <f t="shared" si="91"/>
        <v>0</v>
      </c>
      <c r="DS54" s="124">
        <f t="shared" si="92"/>
        <v>0</v>
      </c>
      <c r="DT54" s="124">
        <f t="shared" si="93"/>
        <v>0</v>
      </c>
      <c r="DU54" s="124">
        <f t="shared" si="94"/>
        <v>0</v>
      </c>
      <c r="DV54" s="124">
        <f t="shared" si="95"/>
        <v>0</v>
      </c>
      <c r="DW54" s="124">
        <f t="shared" si="96"/>
        <v>0</v>
      </c>
      <c r="DX54" s="124">
        <f t="shared" si="97"/>
        <v>0</v>
      </c>
      <c r="DY54" s="124">
        <f t="shared" si="98"/>
        <v>0</v>
      </c>
      <c r="DZ54" s="124">
        <f t="shared" si="99"/>
        <v>0</v>
      </c>
      <c r="EA54" s="124">
        <f t="shared" si="100"/>
        <v>0</v>
      </c>
      <c r="EB54" s="124">
        <f t="shared" si="101"/>
        <v>0</v>
      </c>
      <c r="EC54" s="124">
        <f t="shared" si="102"/>
        <v>0</v>
      </c>
      <c r="ED54" s="124">
        <f t="shared" si="103"/>
        <v>0</v>
      </c>
      <c r="EE54" s="124">
        <f t="shared" si="104"/>
        <v>0</v>
      </c>
      <c r="EF54" s="124">
        <f t="shared" si="105"/>
        <v>0</v>
      </c>
      <c r="EG54" s="124">
        <f t="shared" si="106"/>
        <v>0</v>
      </c>
      <c r="EH54" s="124">
        <f t="shared" si="107"/>
        <v>0</v>
      </c>
      <c r="EI54" s="124">
        <f t="shared" si="108"/>
        <v>0</v>
      </c>
      <c r="EJ54" s="124">
        <f t="shared" si="109"/>
        <v>0</v>
      </c>
      <c r="EK54" s="124">
        <f t="shared" si="110"/>
        <v>0</v>
      </c>
      <c r="EL54" s="124">
        <f t="shared" si="111"/>
        <v>0</v>
      </c>
      <c r="EM54" s="124">
        <f t="shared" si="112"/>
        <v>0</v>
      </c>
      <c r="EN54" s="124">
        <f t="shared" si="113"/>
        <v>0</v>
      </c>
      <c r="EO54" s="124">
        <f t="shared" si="114"/>
        <v>0</v>
      </c>
      <c r="EP54" s="124">
        <f t="shared" si="115"/>
        <v>0</v>
      </c>
      <c r="EQ54" s="124">
        <f t="shared" si="116"/>
        <v>0</v>
      </c>
      <c r="ER54" s="124">
        <f t="shared" si="117"/>
        <v>0</v>
      </c>
      <c r="ES54" s="124">
        <f t="shared" si="118"/>
        <v>0</v>
      </c>
      <c r="ET54" s="124">
        <f t="shared" si="119"/>
        <v>0</v>
      </c>
      <c r="EU54" s="124">
        <f t="shared" si="120"/>
        <v>0</v>
      </c>
      <c r="EV54" s="125"/>
      <c r="EW54" s="166">
        <f t="shared" si="121"/>
        <v>0</v>
      </c>
      <c r="EX54" s="72"/>
      <c r="EY54" s="123">
        <f t="shared" si="122"/>
        <v>2659.0646250000004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3"/>
        <v>0</v>
      </c>
      <c r="GJ54" s="124">
        <f t="shared" si="124"/>
        <v>0</v>
      </c>
      <c r="GK54" s="124">
        <f t="shared" si="125"/>
        <v>0</v>
      </c>
      <c r="GL54" s="124">
        <f t="shared" si="126"/>
        <v>0</v>
      </c>
      <c r="GM54" s="125"/>
      <c r="GN54" s="166">
        <f t="shared" ca="1" si="127"/>
        <v>0</v>
      </c>
    </row>
    <row r="55" spans="1:196">
      <c r="A55" s="181" t="s">
        <v>411</v>
      </c>
      <c r="B55" s="173"/>
      <c r="C55" s="247"/>
      <c r="D55" s="248"/>
      <c r="E55" s="249">
        <f t="shared" si="0"/>
        <v>0</v>
      </c>
      <c r="F55" s="250">
        <f t="shared" si="1"/>
        <v>0</v>
      </c>
      <c r="G55" s="251" t="str">
        <f t="shared" si="129"/>
        <v/>
      </c>
      <c r="H55" s="252">
        <f t="shared" si="58"/>
        <v>0</v>
      </c>
      <c r="I55" s="253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8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0">
        <f t="shared" si="10"/>
        <v>0</v>
      </c>
      <c r="BB55" s="291">
        <f t="shared" si="11"/>
        <v>0</v>
      </c>
      <c r="BC55" s="177" t="s">
        <v>408</v>
      </c>
      <c r="BD55" s="118"/>
      <c r="BE55" s="143"/>
      <c r="BF55" s="121"/>
      <c r="BG55" s="293">
        <f t="shared" si="12"/>
        <v>0</v>
      </c>
      <c r="BH55" s="295">
        <f t="shared" si="13"/>
        <v>0</v>
      </c>
      <c r="BI55" s="178" t="s">
        <v>409</v>
      </c>
      <c r="BJ55" s="118"/>
      <c r="BK55" s="121"/>
      <c r="BL55" s="296">
        <f t="shared" si="14"/>
        <v>0</v>
      </c>
      <c r="BM55" s="297">
        <f t="shared" si="15"/>
        <v>0</v>
      </c>
      <c r="DH55" s="123">
        <f t="shared" si="81"/>
        <v>2792.0178562500005</v>
      </c>
      <c r="DI55" s="124">
        <f t="shared" si="82"/>
        <v>0</v>
      </c>
      <c r="DJ55" s="124">
        <f t="shared" si="83"/>
        <v>0</v>
      </c>
      <c r="DK55" s="124">
        <f t="shared" si="84"/>
        <v>0</v>
      </c>
      <c r="DL55" s="124">
        <f t="shared" si="85"/>
        <v>0</v>
      </c>
      <c r="DM55" s="124">
        <f t="shared" si="86"/>
        <v>0</v>
      </c>
      <c r="DN55" s="124">
        <f t="shared" si="87"/>
        <v>0</v>
      </c>
      <c r="DO55" s="124">
        <f t="shared" si="88"/>
        <v>0</v>
      </c>
      <c r="DP55" s="124">
        <f t="shared" si="89"/>
        <v>0</v>
      </c>
      <c r="DQ55" s="124">
        <f t="shared" si="90"/>
        <v>0</v>
      </c>
      <c r="DR55" s="124">
        <f t="shared" si="91"/>
        <v>0</v>
      </c>
      <c r="DS55" s="124">
        <f t="shared" si="92"/>
        <v>0</v>
      </c>
      <c r="DT55" s="124">
        <f t="shared" si="93"/>
        <v>0</v>
      </c>
      <c r="DU55" s="124">
        <f t="shared" si="94"/>
        <v>0</v>
      </c>
      <c r="DV55" s="124">
        <f t="shared" si="95"/>
        <v>0</v>
      </c>
      <c r="DW55" s="124">
        <f t="shared" si="96"/>
        <v>0</v>
      </c>
      <c r="DX55" s="124">
        <f t="shared" si="97"/>
        <v>0</v>
      </c>
      <c r="DY55" s="124">
        <f t="shared" si="98"/>
        <v>0</v>
      </c>
      <c r="DZ55" s="124">
        <f t="shared" si="99"/>
        <v>0</v>
      </c>
      <c r="EA55" s="124">
        <f t="shared" si="100"/>
        <v>0</v>
      </c>
      <c r="EB55" s="124">
        <f t="shared" si="101"/>
        <v>0</v>
      </c>
      <c r="EC55" s="124">
        <f t="shared" si="102"/>
        <v>0</v>
      </c>
      <c r="ED55" s="124">
        <f t="shared" si="103"/>
        <v>0</v>
      </c>
      <c r="EE55" s="124">
        <f t="shared" si="104"/>
        <v>0</v>
      </c>
      <c r="EF55" s="124">
        <f t="shared" si="105"/>
        <v>0</v>
      </c>
      <c r="EG55" s="124">
        <f t="shared" si="106"/>
        <v>0</v>
      </c>
      <c r="EH55" s="124">
        <f t="shared" si="107"/>
        <v>0</v>
      </c>
      <c r="EI55" s="124">
        <f t="shared" si="108"/>
        <v>0</v>
      </c>
      <c r="EJ55" s="124">
        <f t="shared" si="109"/>
        <v>0</v>
      </c>
      <c r="EK55" s="124">
        <f t="shared" si="110"/>
        <v>0</v>
      </c>
      <c r="EL55" s="124">
        <f t="shared" si="111"/>
        <v>0</v>
      </c>
      <c r="EM55" s="124">
        <f t="shared" si="112"/>
        <v>0</v>
      </c>
      <c r="EN55" s="124">
        <f t="shared" si="113"/>
        <v>0</v>
      </c>
      <c r="EO55" s="124">
        <f t="shared" si="114"/>
        <v>0</v>
      </c>
      <c r="EP55" s="124">
        <f t="shared" si="115"/>
        <v>0</v>
      </c>
      <c r="EQ55" s="124">
        <f t="shared" si="116"/>
        <v>0</v>
      </c>
      <c r="ER55" s="124">
        <f t="shared" si="117"/>
        <v>0</v>
      </c>
      <c r="ES55" s="124">
        <f t="shared" si="118"/>
        <v>0</v>
      </c>
      <c r="ET55" s="124">
        <f t="shared" si="119"/>
        <v>0</v>
      </c>
      <c r="EU55" s="124">
        <f t="shared" si="120"/>
        <v>0</v>
      </c>
      <c r="EV55" s="125"/>
      <c r="EW55" s="166">
        <f t="shared" si="121"/>
        <v>0</v>
      </c>
      <c r="EX55" s="72"/>
      <c r="EY55" s="123">
        <f t="shared" si="122"/>
        <v>2792.0178562500005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3"/>
        <v>0</v>
      </c>
      <c r="GJ55" s="124">
        <f t="shared" si="124"/>
        <v>0</v>
      </c>
      <c r="GK55" s="124">
        <f t="shared" si="125"/>
        <v>0</v>
      </c>
      <c r="GL55" s="124">
        <f t="shared" si="126"/>
        <v>0</v>
      </c>
      <c r="GM55" s="125"/>
      <c r="GN55" s="166">
        <f t="shared" ca="1" si="127"/>
        <v>0</v>
      </c>
    </row>
    <row r="56" spans="1:196">
      <c r="A56" s="172" t="s">
        <v>407</v>
      </c>
      <c r="B56" s="173"/>
      <c r="C56" s="247"/>
      <c r="D56" s="248"/>
      <c r="E56" s="249">
        <f t="shared" si="0"/>
        <v>0</v>
      </c>
      <c r="F56" s="250">
        <f t="shared" si="1"/>
        <v>0</v>
      </c>
      <c r="G56" s="251" t="str">
        <f t="shared" si="129"/>
        <v/>
      </c>
      <c r="H56" s="252">
        <f t="shared" si="58"/>
        <v>0</v>
      </c>
      <c r="I56" s="253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0">
        <f t="shared" si="10"/>
        <v>0</v>
      </c>
      <c r="BB56" s="291">
        <f t="shared" si="11"/>
        <v>0</v>
      </c>
      <c r="BC56" s="177" t="s">
        <v>408</v>
      </c>
      <c r="BD56" s="118"/>
      <c r="BE56" s="143"/>
      <c r="BF56" s="121"/>
      <c r="BG56" s="293">
        <f t="shared" si="12"/>
        <v>0</v>
      </c>
      <c r="BH56" s="295">
        <f t="shared" si="13"/>
        <v>0</v>
      </c>
      <c r="BI56" s="178" t="s">
        <v>409</v>
      </c>
      <c r="BJ56" s="118"/>
      <c r="BK56" s="121"/>
      <c r="BL56" s="296">
        <f t="shared" si="14"/>
        <v>0</v>
      </c>
      <c r="BM56" s="297">
        <f t="shared" si="15"/>
        <v>0</v>
      </c>
      <c r="DH56" s="123">
        <f t="shared" si="81"/>
        <v>2931.6187490625007</v>
      </c>
      <c r="DI56" s="124">
        <f t="shared" si="82"/>
        <v>0</v>
      </c>
      <c r="DJ56" s="124">
        <f t="shared" si="83"/>
        <v>0</v>
      </c>
      <c r="DK56" s="124">
        <f t="shared" si="84"/>
        <v>0</v>
      </c>
      <c r="DL56" s="124">
        <f t="shared" si="85"/>
        <v>0</v>
      </c>
      <c r="DM56" s="124">
        <f t="shared" si="86"/>
        <v>0</v>
      </c>
      <c r="DN56" s="124">
        <f t="shared" si="87"/>
        <v>0</v>
      </c>
      <c r="DO56" s="124">
        <f t="shared" si="88"/>
        <v>0</v>
      </c>
      <c r="DP56" s="124">
        <f t="shared" si="89"/>
        <v>0</v>
      </c>
      <c r="DQ56" s="124">
        <f t="shared" si="90"/>
        <v>0</v>
      </c>
      <c r="DR56" s="124">
        <f t="shared" si="91"/>
        <v>0</v>
      </c>
      <c r="DS56" s="124">
        <f t="shared" si="92"/>
        <v>0</v>
      </c>
      <c r="DT56" s="124">
        <f t="shared" si="93"/>
        <v>0</v>
      </c>
      <c r="DU56" s="124">
        <f t="shared" si="94"/>
        <v>0</v>
      </c>
      <c r="DV56" s="124">
        <f t="shared" si="95"/>
        <v>0</v>
      </c>
      <c r="DW56" s="124">
        <f t="shared" si="96"/>
        <v>0</v>
      </c>
      <c r="DX56" s="124">
        <f t="shared" si="97"/>
        <v>0</v>
      </c>
      <c r="DY56" s="124">
        <f t="shared" si="98"/>
        <v>0</v>
      </c>
      <c r="DZ56" s="124">
        <f t="shared" si="99"/>
        <v>0</v>
      </c>
      <c r="EA56" s="124">
        <f t="shared" si="100"/>
        <v>0</v>
      </c>
      <c r="EB56" s="124">
        <f t="shared" si="101"/>
        <v>0</v>
      </c>
      <c r="EC56" s="124">
        <f t="shared" si="102"/>
        <v>0</v>
      </c>
      <c r="ED56" s="124">
        <f t="shared" si="103"/>
        <v>0</v>
      </c>
      <c r="EE56" s="124">
        <f t="shared" si="104"/>
        <v>0</v>
      </c>
      <c r="EF56" s="124">
        <f t="shared" si="105"/>
        <v>0</v>
      </c>
      <c r="EG56" s="124">
        <f t="shared" si="106"/>
        <v>0</v>
      </c>
      <c r="EH56" s="124">
        <f t="shared" si="107"/>
        <v>0</v>
      </c>
      <c r="EI56" s="124">
        <f t="shared" si="108"/>
        <v>0</v>
      </c>
      <c r="EJ56" s="124">
        <f t="shared" si="109"/>
        <v>0</v>
      </c>
      <c r="EK56" s="124">
        <f t="shared" si="110"/>
        <v>0</v>
      </c>
      <c r="EL56" s="124">
        <f t="shared" si="111"/>
        <v>0</v>
      </c>
      <c r="EM56" s="124">
        <f t="shared" si="112"/>
        <v>0</v>
      </c>
      <c r="EN56" s="124">
        <f t="shared" si="113"/>
        <v>0</v>
      </c>
      <c r="EO56" s="124">
        <f t="shared" si="114"/>
        <v>0</v>
      </c>
      <c r="EP56" s="124">
        <f t="shared" si="115"/>
        <v>0</v>
      </c>
      <c r="EQ56" s="124">
        <f t="shared" si="116"/>
        <v>0</v>
      </c>
      <c r="ER56" s="124">
        <f t="shared" si="117"/>
        <v>0</v>
      </c>
      <c r="ES56" s="124">
        <f t="shared" si="118"/>
        <v>0</v>
      </c>
      <c r="ET56" s="124">
        <f t="shared" si="119"/>
        <v>0</v>
      </c>
      <c r="EU56" s="124">
        <f t="shared" si="120"/>
        <v>0</v>
      </c>
      <c r="EV56" s="125"/>
      <c r="EW56" s="166">
        <f t="shared" si="121"/>
        <v>0</v>
      </c>
      <c r="EX56" s="72"/>
      <c r="EY56" s="123">
        <f t="shared" si="122"/>
        <v>2931.6187490625007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3"/>
        <v>0</v>
      </c>
      <c r="GJ56" s="124">
        <f t="shared" si="124"/>
        <v>0</v>
      </c>
      <c r="GK56" s="124">
        <f t="shared" si="125"/>
        <v>0</v>
      </c>
      <c r="GL56" s="124">
        <f t="shared" si="126"/>
        <v>0</v>
      </c>
      <c r="GM56" s="125"/>
      <c r="GN56" s="166">
        <f t="shared" ca="1" si="127"/>
        <v>0</v>
      </c>
    </row>
    <row r="57" spans="1:196">
      <c r="A57" s="179" t="s">
        <v>410</v>
      </c>
      <c r="B57" s="173"/>
      <c r="C57" s="247"/>
      <c r="D57" s="248"/>
      <c r="E57" s="249">
        <f t="shared" si="0"/>
        <v>0</v>
      </c>
      <c r="F57" s="250">
        <f t="shared" si="1"/>
        <v>0</v>
      </c>
      <c r="G57" s="251" t="str">
        <f t="shared" si="129"/>
        <v/>
      </c>
      <c r="H57" s="252">
        <f t="shared" si="58"/>
        <v>0</v>
      </c>
      <c r="I57" s="253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8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0">
        <f t="shared" si="10"/>
        <v>0</v>
      </c>
      <c r="BB57" s="291">
        <f t="shared" si="11"/>
        <v>0</v>
      </c>
      <c r="BC57" s="177" t="s">
        <v>408</v>
      </c>
      <c r="BD57" s="118"/>
      <c r="BE57" s="143"/>
      <c r="BF57" s="121"/>
      <c r="BG57" s="293">
        <f t="shared" si="12"/>
        <v>0</v>
      </c>
      <c r="BH57" s="295">
        <f t="shared" si="13"/>
        <v>0</v>
      </c>
      <c r="BI57" s="178" t="s">
        <v>409</v>
      </c>
      <c r="BJ57" s="118"/>
      <c r="BK57" s="121"/>
      <c r="BL57" s="296">
        <f t="shared" si="14"/>
        <v>0</v>
      </c>
      <c r="BM57" s="297">
        <f t="shared" si="15"/>
        <v>0</v>
      </c>
      <c r="DH57" s="123">
        <f t="shared" si="81"/>
        <v>3078.1996865156257</v>
      </c>
      <c r="DI57" s="124">
        <f t="shared" si="82"/>
        <v>0</v>
      </c>
      <c r="DJ57" s="124">
        <f t="shared" si="83"/>
        <v>0</v>
      </c>
      <c r="DK57" s="124">
        <f t="shared" si="84"/>
        <v>0</v>
      </c>
      <c r="DL57" s="124">
        <f t="shared" si="85"/>
        <v>0</v>
      </c>
      <c r="DM57" s="124">
        <f t="shared" si="86"/>
        <v>0</v>
      </c>
      <c r="DN57" s="124">
        <f t="shared" si="87"/>
        <v>0</v>
      </c>
      <c r="DO57" s="124">
        <f t="shared" si="88"/>
        <v>0</v>
      </c>
      <c r="DP57" s="124">
        <f t="shared" si="89"/>
        <v>0</v>
      </c>
      <c r="DQ57" s="124">
        <f t="shared" si="90"/>
        <v>0</v>
      </c>
      <c r="DR57" s="124">
        <f t="shared" si="91"/>
        <v>0</v>
      </c>
      <c r="DS57" s="124">
        <f t="shared" si="92"/>
        <v>0</v>
      </c>
      <c r="DT57" s="124">
        <f t="shared" si="93"/>
        <v>0</v>
      </c>
      <c r="DU57" s="124">
        <f t="shared" si="94"/>
        <v>0</v>
      </c>
      <c r="DV57" s="124">
        <f t="shared" si="95"/>
        <v>0</v>
      </c>
      <c r="DW57" s="124">
        <f t="shared" si="96"/>
        <v>0</v>
      </c>
      <c r="DX57" s="124">
        <f t="shared" si="97"/>
        <v>0</v>
      </c>
      <c r="DY57" s="124">
        <f t="shared" si="98"/>
        <v>0</v>
      </c>
      <c r="DZ57" s="124">
        <f t="shared" si="99"/>
        <v>0</v>
      </c>
      <c r="EA57" s="124">
        <f t="shared" si="100"/>
        <v>0</v>
      </c>
      <c r="EB57" s="124">
        <f t="shared" si="101"/>
        <v>0</v>
      </c>
      <c r="EC57" s="124">
        <f t="shared" si="102"/>
        <v>0</v>
      </c>
      <c r="ED57" s="124">
        <f t="shared" si="103"/>
        <v>0</v>
      </c>
      <c r="EE57" s="124">
        <f t="shared" si="104"/>
        <v>0</v>
      </c>
      <c r="EF57" s="124">
        <f t="shared" si="105"/>
        <v>0</v>
      </c>
      <c r="EG57" s="124">
        <f t="shared" si="106"/>
        <v>0</v>
      </c>
      <c r="EH57" s="124">
        <f t="shared" si="107"/>
        <v>0</v>
      </c>
      <c r="EI57" s="124">
        <f t="shared" si="108"/>
        <v>0</v>
      </c>
      <c r="EJ57" s="124">
        <f t="shared" si="109"/>
        <v>0</v>
      </c>
      <c r="EK57" s="124">
        <f t="shared" si="110"/>
        <v>0</v>
      </c>
      <c r="EL57" s="124">
        <f t="shared" si="111"/>
        <v>0</v>
      </c>
      <c r="EM57" s="124">
        <f t="shared" si="112"/>
        <v>0</v>
      </c>
      <c r="EN57" s="124">
        <f t="shared" si="113"/>
        <v>0</v>
      </c>
      <c r="EO57" s="124">
        <f t="shared" si="114"/>
        <v>0</v>
      </c>
      <c r="EP57" s="124">
        <f t="shared" si="115"/>
        <v>0</v>
      </c>
      <c r="EQ57" s="124">
        <f t="shared" si="116"/>
        <v>0</v>
      </c>
      <c r="ER57" s="124">
        <f t="shared" si="117"/>
        <v>0</v>
      </c>
      <c r="ES57" s="124">
        <f t="shared" si="118"/>
        <v>0</v>
      </c>
      <c r="ET57" s="124">
        <f t="shared" si="119"/>
        <v>0</v>
      </c>
      <c r="EU57" s="124">
        <f t="shared" si="120"/>
        <v>0</v>
      </c>
      <c r="EV57" s="125"/>
      <c r="EW57" s="166">
        <f t="shared" si="121"/>
        <v>0</v>
      </c>
      <c r="EX57" s="72"/>
      <c r="EY57" s="123">
        <f t="shared" si="122"/>
        <v>3078.1996865156257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3"/>
        <v>0</v>
      </c>
      <c r="GJ57" s="124">
        <f t="shared" si="124"/>
        <v>0</v>
      </c>
      <c r="GK57" s="124">
        <f t="shared" si="125"/>
        <v>0</v>
      </c>
      <c r="GL57" s="124">
        <f t="shared" si="126"/>
        <v>0</v>
      </c>
      <c r="GM57" s="125"/>
      <c r="GN57" s="166">
        <f t="shared" ca="1" si="127"/>
        <v>0</v>
      </c>
    </row>
    <row r="58" spans="1:196">
      <c r="A58" s="181" t="s">
        <v>411</v>
      </c>
      <c r="B58" s="173"/>
      <c r="C58" s="247"/>
      <c r="D58" s="248"/>
      <c r="E58" s="249">
        <f t="shared" si="0"/>
        <v>0</v>
      </c>
      <c r="F58" s="250">
        <f t="shared" si="1"/>
        <v>0</v>
      </c>
      <c r="G58" s="251" t="str">
        <f t="shared" si="129"/>
        <v/>
      </c>
      <c r="H58" s="252">
        <f t="shared" si="58"/>
        <v>0</v>
      </c>
      <c r="I58" s="253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0">
        <f t="shared" si="10"/>
        <v>0</v>
      </c>
      <c r="BB58" s="291">
        <f t="shared" si="11"/>
        <v>0</v>
      </c>
      <c r="BC58" s="177" t="s">
        <v>408</v>
      </c>
      <c r="BD58" s="118"/>
      <c r="BE58" s="143"/>
      <c r="BF58" s="121"/>
      <c r="BG58" s="293">
        <f t="shared" si="12"/>
        <v>0</v>
      </c>
      <c r="BH58" s="295">
        <f t="shared" si="13"/>
        <v>0</v>
      </c>
      <c r="BI58" s="178" t="s">
        <v>409</v>
      </c>
      <c r="BJ58" s="118"/>
      <c r="BK58" s="121"/>
      <c r="BL58" s="296">
        <f t="shared" si="14"/>
        <v>0</v>
      </c>
      <c r="BM58" s="297">
        <f t="shared" si="15"/>
        <v>0</v>
      </c>
      <c r="DH58" s="123">
        <f t="shared" si="81"/>
        <v>3232.109670841407</v>
      </c>
      <c r="DI58" s="124">
        <f t="shared" si="82"/>
        <v>0</v>
      </c>
      <c r="DJ58" s="124">
        <f t="shared" si="83"/>
        <v>0</v>
      </c>
      <c r="DK58" s="124">
        <f t="shared" si="84"/>
        <v>0</v>
      </c>
      <c r="DL58" s="124">
        <f t="shared" si="85"/>
        <v>0</v>
      </c>
      <c r="DM58" s="124">
        <f t="shared" si="86"/>
        <v>0</v>
      </c>
      <c r="DN58" s="124">
        <f t="shared" si="87"/>
        <v>0</v>
      </c>
      <c r="DO58" s="124">
        <f t="shared" si="88"/>
        <v>0</v>
      </c>
      <c r="DP58" s="124">
        <f t="shared" si="89"/>
        <v>0</v>
      </c>
      <c r="DQ58" s="124">
        <f t="shared" si="90"/>
        <v>0</v>
      </c>
      <c r="DR58" s="124">
        <f t="shared" si="91"/>
        <v>0</v>
      </c>
      <c r="DS58" s="124">
        <f t="shared" si="92"/>
        <v>0</v>
      </c>
      <c r="DT58" s="124">
        <f t="shared" si="93"/>
        <v>0</v>
      </c>
      <c r="DU58" s="124">
        <f t="shared" si="94"/>
        <v>0</v>
      </c>
      <c r="DV58" s="124">
        <f t="shared" si="95"/>
        <v>0</v>
      </c>
      <c r="DW58" s="124">
        <f t="shared" si="96"/>
        <v>0</v>
      </c>
      <c r="DX58" s="124">
        <f t="shared" si="97"/>
        <v>0</v>
      </c>
      <c r="DY58" s="124">
        <f t="shared" si="98"/>
        <v>0</v>
      </c>
      <c r="DZ58" s="124">
        <f t="shared" si="99"/>
        <v>0</v>
      </c>
      <c r="EA58" s="124">
        <f t="shared" si="100"/>
        <v>0</v>
      </c>
      <c r="EB58" s="124">
        <f t="shared" si="101"/>
        <v>0</v>
      </c>
      <c r="EC58" s="124">
        <f t="shared" si="102"/>
        <v>0</v>
      </c>
      <c r="ED58" s="124">
        <f t="shared" si="103"/>
        <v>0</v>
      </c>
      <c r="EE58" s="124">
        <f t="shared" si="104"/>
        <v>0</v>
      </c>
      <c r="EF58" s="124">
        <f t="shared" si="105"/>
        <v>0</v>
      </c>
      <c r="EG58" s="124">
        <f t="shared" si="106"/>
        <v>0</v>
      </c>
      <c r="EH58" s="124">
        <f t="shared" si="107"/>
        <v>0</v>
      </c>
      <c r="EI58" s="124">
        <f t="shared" si="108"/>
        <v>0</v>
      </c>
      <c r="EJ58" s="124">
        <f t="shared" si="109"/>
        <v>0</v>
      </c>
      <c r="EK58" s="124">
        <f t="shared" si="110"/>
        <v>0</v>
      </c>
      <c r="EL58" s="124">
        <f t="shared" si="111"/>
        <v>0</v>
      </c>
      <c r="EM58" s="124">
        <f t="shared" si="112"/>
        <v>0</v>
      </c>
      <c r="EN58" s="124">
        <f t="shared" si="113"/>
        <v>0</v>
      </c>
      <c r="EO58" s="124">
        <f t="shared" si="114"/>
        <v>0</v>
      </c>
      <c r="EP58" s="124">
        <f t="shared" si="115"/>
        <v>0</v>
      </c>
      <c r="EQ58" s="124">
        <f t="shared" si="116"/>
        <v>0</v>
      </c>
      <c r="ER58" s="124">
        <f t="shared" si="117"/>
        <v>0</v>
      </c>
      <c r="ES58" s="124">
        <f t="shared" si="118"/>
        <v>0</v>
      </c>
      <c r="ET58" s="124">
        <f t="shared" si="119"/>
        <v>0</v>
      </c>
      <c r="EU58" s="124">
        <f t="shared" si="120"/>
        <v>0</v>
      </c>
      <c r="EV58" s="125"/>
      <c r="EW58" s="166">
        <f t="shared" si="121"/>
        <v>0</v>
      </c>
      <c r="EX58" s="72"/>
      <c r="EY58" s="123">
        <f t="shared" si="122"/>
        <v>3232.109670841407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3"/>
        <v>0</v>
      </c>
      <c r="GJ58" s="124">
        <f t="shared" si="124"/>
        <v>0</v>
      </c>
      <c r="GK58" s="124">
        <f t="shared" si="125"/>
        <v>0</v>
      </c>
      <c r="GL58" s="124">
        <f t="shared" si="126"/>
        <v>0</v>
      </c>
      <c r="GM58" s="125"/>
      <c r="GN58" s="166">
        <f t="shared" ca="1" si="127"/>
        <v>0</v>
      </c>
    </row>
    <row r="59" spans="1:196">
      <c r="A59" s="172" t="s">
        <v>407</v>
      </c>
      <c r="B59" s="173"/>
      <c r="C59" s="247"/>
      <c r="D59" s="248"/>
      <c r="E59" s="249">
        <f t="shared" si="0"/>
        <v>0</v>
      </c>
      <c r="F59" s="250">
        <f t="shared" si="1"/>
        <v>0</v>
      </c>
      <c r="G59" s="251" t="str">
        <f t="shared" si="129"/>
        <v/>
      </c>
      <c r="H59" s="252">
        <f t="shared" si="58"/>
        <v>0</v>
      </c>
      <c r="I59" s="253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8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0">
        <f t="shared" si="10"/>
        <v>0</v>
      </c>
      <c r="BB59" s="291">
        <f t="shared" si="11"/>
        <v>0</v>
      </c>
      <c r="BC59" s="177" t="s">
        <v>408</v>
      </c>
      <c r="BD59" s="118"/>
      <c r="BE59" s="143"/>
      <c r="BF59" s="121"/>
      <c r="BG59" s="293">
        <f t="shared" si="12"/>
        <v>0</v>
      </c>
      <c r="BH59" s="295">
        <f t="shared" si="13"/>
        <v>0</v>
      </c>
      <c r="BI59" s="178" t="s">
        <v>409</v>
      </c>
      <c r="BJ59" s="118"/>
      <c r="BK59" s="121"/>
      <c r="BL59" s="296">
        <f t="shared" si="14"/>
        <v>0</v>
      </c>
      <c r="BM59" s="297">
        <f t="shared" si="15"/>
        <v>0</v>
      </c>
      <c r="DH59" s="123">
        <f t="shared" si="81"/>
        <v>3393.7151543834775</v>
      </c>
      <c r="DI59" s="124">
        <f t="shared" si="82"/>
        <v>0</v>
      </c>
      <c r="DJ59" s="124">
        <f t="shared" si="83"/>
        <v>0</v>
      </c>
      <c r="DK59" s="124">
        <f t="shared" si="84"/>
        <v>0</v>
      </c>
      <c r="DL59" s="124">
        <f t="shared" si="85"/>
        <v>0</v>
      </c>
      <c r="DM59" s="124">
        <f t="shared" si="86"/>
        <v>0</v>
      </c>
      <c r="DN59" s="124">
        <f t="shared" si="87"/>
        <v>0</v>
      </c>
      <c r="DO59" s="124">
        <f t="shared" si="88"/>
        <v>0</v>
      </c>
      <c r="DP59" s="124">
        <f t="shared" si="89"/>
        <v>0</v>
      </c>
      <c r="DQ59" s="124">
        <f t="shared" si="90"/>
        <v>0</v>
      </c>
      <c r="DR59" s="124">
        <f t="shared" si="91"/>
        <v>0</v>
      </c>
      <c r="DS59" s="124">
        <f t="shared" si="92"/>
        <v>0</v>
      </c>
      <c r="DT59" s="124">
        <f t="shared" si="93"/>
        <v>0</v>
      </c>
      <c r="DU59" s="124">
        <f t="shared" si="94"/>
        <v>0</v>
      </c>
      <c r="DV59" s="124">
        <f t="shared" si="95"/>
        <v>0</v>
      </c>
      <c r="DW59" s="124">
        <f t="shared" si="96"/>
        <v>0</v>
      </c>
      <c r="DX59" s="124">
        <f t="shared" si="97"/>
        <v>0</v>
      </c>
      <c r="DY59" s="124">
        <f t="shared" si="98"/>
        <v>0</v>
      </c>
      <c r="DZ59" s="124">
        <f t="shared" si="99"/>
        <v>0</v>
      </c>
      <c r="EA59" s="124">
        <f t="shared" si="100"/>
        <v>0</v>
      </c>
      <c r="EB59" s="124">
        <f t="shared" si="101"/>
        <v>0</v>
      </c>
      <c r="EC59" s="124">
        <f t="shared" si="102"/>
        <v>0</v>
      </c>
      <c r="ED59" s="124">
        <f t="shared" si="103"/>
        <v>0</v>
      </c>
      <c r="EE59" s="124">
        <f t="shared" si="104"/>
        <v>0</v>
      </c>
      <c r="EF59" s="124">
        <f t="shared" si="105"/>
        <v>0</v>
      </c>
      <c r="EG59" s="124">
        <f t="shared" si="106"/>
        <v>0</v>
      </c>
      <c r="EH59" s="124">
        <f t="shared" si="107"/>
        <v>0</v>
      </c>
      <c r="EI59" s="124">
        <f t="shared" si="108"/>
        <v>0</v>
      </c>
      <c r="EJ59" s="124">
        <f t="shared" si="109"/>
        <v>0</v>
      </c>
      <c r="EK59" s="124">
        <f t="shared" si="110"/>
        <v>0</v>
      </c>
      <c r="EL59" s="124">
        <f t="shared" si="111"/>
        <v>0</v>
      </c>
      <c r="EM59" s="124">
        <f t="shared" si="112"/>
        <v>0</v>
      </c>
      <c r="EN59" s="124">
        <f t="shared" si="113"/>
        <v>0</v>
      </c>
      <c r="EO59" s="124">
        <f t="shared" si="114"/>
        <v>0</v>
      </c>
      <c r="EP59" s="124">
        <f t="shared" si="115"/>
        <v>0</v>
      </c>
      <c r="EQ59" s="124">
        <f t="shared" si="116"/>
        <v>0</v>
      </c>
      <c r="ER59" s="124">
        <f t="shared" si="117"/>
        <v>0</v>
      </c>
      <c r="ES59" s="124">
        <f t="shared" si="118"/>
        <v>0</v>
      </c>
      <c r="ET59" s="124">
        <f t="shared" si="119"/>
        <v>0</v>
      </c>
      <c r="EU59" s="124">
        <f t="shared" si="120"/>
        <v>0</v>
      </c>
      <c r="EV59" s="125"/>
      <c r="EW59" s="166">
        <f t="shared" si="121"/>
        <v>0</v>
      </c>
      <c r="EX59" s="72"/>
      <c r="EY59" s="123">
        <f t="shared" si="122"/>
        <v>3393.7151543834775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3"/>
        <v>0</v>
      </c>
      <c r="GJ59" s="124">
        <f t="shared" si="124"/>
        <v>0</v>
      </c>
      <c r="GK59" s="124">
        <f t="shared" si="125"/>
        <v>0</v>
      </c>
      <c r="GL59" s="124">
        <f t="shared" si="126"/>
        <v>0</v>
      </c>
      <c r="GM59" s="125"/>
      <c r="GN59" s="166">
        <f t="shared" ca="1" si="127"/>
        <v>0</v>
      </c>
    </row>
    <row r="60" spans="1:196">
      <c r="A60" s="179" t="s">
        <v>410</v>
      </c>
      <c r="B60" s="173"/>
      <c r="C60" s="247"/>
      <c r="D60" s="248"/>
      <c r="E60" s="249">
        <f t="shared" si="0"/>
        <v>0</v>
      </c>
      <c r="F60" s="250">
        <f t="shared" si="1"/>
        <v>0</v>
      </c>
      <c r="G60" s="251" t="str">
        <f t="shared" si="129"/>
        <v/>
      </c>
      <c r="H60" s="252">
        <f t="shared" si="58"/>
        <v>0</v>
      </c>
      <c r="I60" s="253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0">
        <f t="shared" si="10"/>
        <v>0</v>
      </c>
      <c r="BB60" s="291">
        <f t="shared" si="11"/>
        <v>0</v>
      </c>
      <c r="BC60" s="177" t="s">
        <v>408</v>
      </c>
      <c r="BD60" s="118"/>
      <c r="BE60" s="143"/>
      <c r="BF60" s="121"/>
      <c r="BG60" s="293">
        <f t="shared" si="12"/>
        <v>0</v>
      </c>
      <c r="BH60" s="295">
        <f t="shared" si="13"/>
        <v>0</v>
      </c>
      <c r="BI60" s="178" t="s">
        <v>409</v>
      </c>
      <c r="BJ60" s="118"/>
      <c r="BK60" s="121"/>
      <c r="BL60" s="296">
        <f t="shared" si="14"/>
        <v>0</v>
      </c>
      <c r="BM60" s="297">
        <f t="shared" si="15"/>
        <v>0</v>
      </c>
      <c r="DH60" s="123">
        <f t="shared" si="81"/>
        <v>3563.4009121026515</v>
      </c>
      <c r="DI60" s="124">
        <f t="shared" si="82"/>
        <v>0</v>
      </c>
      <c r="DJ60" s="124">
        <f t="shared" si="83"/>
        <v>0</v>
      </c>
      <c r="DK60" s="124">
        <f t="shared" si="84"/>
        <v>0</v>
      </c>
      <c r="DL60" s="124">
        <f t="shared" si="85"/>
        <v>0</v>
      </c>
      <c r="DM60" s="124">
        <f t="shared" si="86"/>
        <v>0</v>
      </c>
      <c r="DN60" s="124">
        <f t="shared" si="87"/>
        <v>0</v>
      </c>
      <c r="DO60" s="124">
        <f t="shared" si="88"/>
        <v>0</v>
      </c>
      <c r="DP60" s="124">
        <f t="shared" si="89"/>
        <v>0</v>
      </c>
      <c r="DQ60" s="124">
        <f t="shared" si="90"/>
        <v>0</v>
      </c>
      <c r="DR60" s="124">
        <f t="shared" si="91"/>
        <v>0</v>
      </c>
      <c r="DS60" s="124">
        <f t="shared" si="92"/>
        <v>0</v>
      </c>
      <c r="DT60" s="124">
        <f t="shared" si="93"/>
        <v>0</v>
      </c>
      <c r="DU60" s="124">
        <f t="shared" si="94"/>
        <v>0</v>
      </c>
      <c r="DV60" s="124">
        <f t="shared" si="95"/>
        <v>0</v>
      </c>
      <c r="DW60" s="124">
        <f t="shared" si="96"/>
        <v>0</v>
      </c>
      <c r="DX60" s="124">
        <f t="shared" si="97"/>
        <v>0</v>
      </c>
      <c r="DY60" s="124">
        <f t="shared" si="98"/>
        <v>0</v>
      </c>
      <c r="DZ60" s="124">
        <f t="shared" si="99"/>
        <v>0</v>
      </c>
      <c r="EA60" s="124">
        <f t="shared" si="100"/>
        <v>0</v>
      </c>
      <c r="EB60" s="124">
        <f t="shared" si="101"/>
        <v>0</v>
      </c>
      <c r="EC60" s="124">
        <f t="shared" si="102"/>
        <v>0</v>
      </c>
      <c r="ED60" s="124">
        <f t="shared" si="103"/>
        <v>0</v>
      </c>
      <c r="EE60" s="124">
        <f t="shared" si="104"/>
        <v>0</v>
      </c>
      <c r="EF60" s="124">
        <f t="shared" si="105"/>
        <v>0</v>
      </c>
      <c r="EG60" s="124">
        <f t="shared" si="106"/>
        <v>0</v>
      </c>
      <c r="EH60" s="124">
        <f t="shared" si="107"/>
        <v>0</v>
      </c>
      <c r="EI60" s="124">
        <f t="shared" si="108"/>
        <v>0</v>
      </c>
      <c r="EJ60" s="124">
        <f t="shared" si="109"/>
        <v>0</v>
      </c>
      <c r="EK60" s="124">
        <f t="shared" si="110"/>
        <v>0</v>
      </c>
      <c r="EL60" s="124">
        <f t="shared" si="111"/>
        <v>0</v>
      </c>
      <c r="EM60" s="124">
        <f t="shared" si="112"/>
        <v>0</v>
      </c>
      <c r="EN60" s="124">
        <f t="shared" si="113"/>
        <v>0</v>
      </c>
      <c r="EO60" s="124">
        <f t="shared" si="114"/>
        <v>0</v>
      </c>
      <c r="EP60" s="124">
        <f t="shared" si="115"/>
        <v>0</v>
      </c>
      <c r="EQ60" s="124">
        <f t="shared" si="116"/>
        <v>0</v>
      </c>
      <c r="ER60" s="124">
        <f t="shared" si="117"/>
        <v>0</v>
      </c>
      <c r="ES60" s="124">
        <f t="shared" si="118"/>
        <v>0</v>
      </c>
      <c r="ET60" s="124">
        <f t="shared" si="119"/>
        <v>0</v>
      </c>
      <c r="EU60" s="124">
        <f t="shared" si="120"/>
        <v>0</v>
      </c>
      <c r="EV60" s="125"/>
      <c r="EW60" s="166">
        <f t="shared" si="121"/>
        <v>0</v>
      </c>
      <c r="EX60" s="72"/>
      <c r="EY60" s="123">
        <f t="shared" si="122"/>
        <v>3563.4009121026515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3"/>
        <v>0</v>
      </c>
      <c r="GJ60" s="124">
        <f t="shared" si="124"/>
        <v>0</v>
      </c>
      <c r="GK60" s="124">
        <f t="shared" si="125"/>
        <v>0</v>
      </c>
      <c r="GL60" s="124">
        <f t="shared" si="126"/>
        <v>0</v>
      </c>
      <c r="GM60" s="125"/>
      <c r="GN60" s="166">
        <f t="shared" ca="1" si="127"/>
        <v>0</v>
      </c>
    </row>
    <row r="61" spans="1:196">
      <c r="A61" s="181" t="s">
        <v>411</v>
      </c>
      <c r="B61" s="173"/>
      <c r="C61" s="247"/>
      <c r="D61" s="248"/>
      <c r="E61" s="249">
        <f t="shared" si="0"/>
        <v>0</v>
      </c>
      <c r="F61" s="250">
        <f t="shared" si="1"/>
        <v>0</v>
      </c>
      <c r="G61" s="251" t="str">
        <f t="shared" si="129"/>
        <v/>
      </c>
      <c r="H61" s="252">
        <f t="shared" si="58"/>
        <v>0</v>
      </c>
      <c r="I61" s="253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8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0">
        <f t="shared" si="10"/>
        <v>0</v>
      </c>
      <c r="BB61" s="291">
        <f t="shared" si="11"/>
        <v>0</v>
      </c>
      <c r="BC61" s="177" t="s">
        <v>408</v>
      </c>
      <c r="BD61" s="118"/>
      <c r="BE61" s="143"/>
      <c r="BF61" s="121"/>
      <c r="BG61" s="293">
        <f t="shared" si="12"/>
        <v>0</v>
      </c>
      <c r="BH61" s="295">
        <f t="shared" si="13"/>
        <v>0</v>
      </c>
      <c r="BI61" s="178" t="s">
        <v>409</v>
      </c>
      <c r="BJ61" s="118"/>
      <c r="BK61" s="121"/>
      <c r="BL61" s="296">
        <f t="shared" si="14"/>
        <v>0</v>
      </c>
      <c r="BM61" s="297">
        <f t="shared" si="15"/>
        <v>0</v>
      </c>
      <c r="DH61" s="123">
        <f t="shared" si="81"/>
        <v>3741.5709577077841</v>
      </c>
      <c r="DI61" s="124">
        <f t="shared" si="82"/>
        <v>0</v>
      </c>
      <c r="DJ61" s="124">
        <f t="shared" si="83"/>
        <v>0</v>
      </c>
      <c r="DK61" s="124">
        <f t="shared" si="84"/>
        <v>0</v>
      </c>
      <c r="DL61" s="124">
        <f t="shared" si="85"/>
        <v>0</v>
      </c>
      <c r="DM61" s="124">
        <f t="shared" si="86"/>
        <v>0</v>
      </c>
      <c r="DN61" s="124">
        <f t="shared" si="87"/>
        <v>0</v>
      </c>
      <c r="DO61" s="124">
        <f t="shared" si="88"/>
        <v>0</v>
      </c>
      <c r="DP61" s="124">
        <f t="shared" si="89"/>
        <v>0</v>
      </c>
      <c r="DQ61" s="124">
        <f t="shared" si="90"/>
        <v>0</v>
      </c>
      <c r="DR61" s="124">
        <f t="shared" si="91"/>
        <v>0</v>
      </c>
      <c r="DS61" s="124">
        <f t="shared" si="92"/>
        <v>0</v>
      </c>
      <c r="DT61" s="124">
        <f t="shared" si="93"/>
        <v>0</v>
      </c>
      <c r="DU61" s="124">
        <f t="shared" si="94"/>
        <v>0</v>
      </c>
      <c r="DV61" s="124">
        <f t="shared" si="95"/>
        <v>0</v>
      </c>
      <c r="DW61" s="124">
        <f t="shared" si="96"/>
        <v>0</v>
      </c>
      <c r="DX61" s="124">
        <f t="shared" si="97"/>
        <v>0</v>
      </c>
      <c r="DY61" s="124">
        <f t="shared" si="98"/>
        <v>0</v>
      </c>
      <c r="DZ61" s="124">
        <f t="shared" si="99"/>
        <v>0</v>
      </c>
      <c r="EA61" s="124">
        <f t="shared" si="100"/>
        <v>0</v>
      </c>
      <c r="EB61" s="124">
        <f t="shared" si="101"/>
        <v>0</v>
      </c>
      <c r="EC61" s="124">
        <f t="shared" si="102"/>
        <v>0</v>
      </c>
      <c r="ED61" s="124">
        <f t="shared" si="103"/>
        <v>0</v>
      </c>
      <c r="EE61" s="124">
        <f t="shared" si="104"/>
        <v>0</v>
      </c>
      <c r="EF61" s="124">
        <f t="shared" si="105"/>
        <v>0</v>
      </c>
      <c r="EG61" s="124">
        <f t="shared" si="106"/>
        <v>0</v>
      </c>
      <c r="EH61" s="124">
        <f t="shared" si="107"/>
        <v>0</v>
      </c>
      <c r="EI61" s="124">
        <f t="shared" si="108"/>
        <v>0</v>
      </c>
      <c r="EJ61" s="124">
        <f t="shared" si="109"/>
        <v>0</v>
      </c>
      <c r="EK61" s="124">
        <f t="shared" si="110"/>
        <v>0</v>
      </c>
      <c r="EL61" s="124">
        <f t="shared" si="111"/>
        <v>0</v>
      </c>
      <c r="EM61" s="124">
        <f t="shared" si="112"/>
        <v>0</v>
      </c>
      <c r="EN61" s="124">
        <f t="shared" si="113"/>
        <v>0</v>
      </c>
      <c r="EO61" s="124">
        <f t="shared" si="114"/>
        <v>0</v>
      </c>
      <c r="EP61" s="124">
        <f t="shared" si="115"/>
        <v>0</v>
      </c>
      <c r="EQ61" s="124">
        <f t="shared" si="116"/>
        <v>0</v>
      </c>
      <c r="ER61" s="124">
        <f t="shared" si="117"/>
        <v>0</v>
      </c>
      <c r="ES61" s="124">
        <f t="shared" si="118"/>
        <v>0</v>
      </c>
      <c r="ET61" s="124">
        <f t="shared" si="119"/>
        <v>0</v>
      </c>
      <c r="EU61" s="124">
        <f t="shared" si="120"/>
        <v>0</v>
      </c>
      <c r="EV61" s="125"/>
      <c r="EW61" s="166">
        <f t="shared" si="121"/>
        <v>0</v>
      </c>
      <c r="EX61" s="72"/>
      <c r="EY61" s="123">
        <f t="shared" si="122"/>
        <v>3741.5709577077841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3"/>
        <v>0</v>
      </c>
      <c r="GJ61" s="124">
        <f t="shared" si="124"/>
        <v>0</v>
      </c>
      <c r="GK61" s="124">
        <f t="shared" si="125"/>
        <v>0</v>
      </c>
      <c r="GL61" s="124">
        <f t="shared" si="126"/>
        <v>0</v>
      </c>
      <c r="GM61" s="125"/>
      <c r="GN61" s="166">
        <f t="shared" ca="1" si="127"/>
        <v>0</v>
      </c>
    </row>
    <row r="62" spans="1:196">
      <c r="A62" s="172" t="s">
        <v>407</v>
      </c>
      <c r="B62" s="173"/>
      <c r="C62" s="247"/>
      <c r="D62" s="248"/>
      <c r="E62" s="249">
        <f t="shared" si="0"/>
        <v>0</v>
      </c>
      <c r="F62" s="250">
        <f t="shared" si="1"/>
        <v>0</v>
      </c>
      <c r="G62" s="251" t="str">
        <f t="shared" si="129"/>
        <v/>
      </c>
      <c r="H62" s="252">
        <f t="shared" si="58"/>
        <v>0</v>
      </c>
      <c r="I62" s="253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0">
        <f t="shared" si="10"/>
        <v>0</v>
      </c>
      <c r="BB62" s="291">
        <f t="shared" si="11"/>
        <v>0</v>
      </c>
      <c r="BC62" s="177" t="s">
        <v>408</v>
      </c>
      <c r="BD62" s="118"/>
      <c r="BE62" s="143"/>
      <c r="BF62" s="121"/>
      <c r="BG62" s="293">
        <f t="shared" si="12"/>
        <v>0</v>
      </c>
      <c r="BH62" s="295">
        <f t="shared" si="13"/>
        <v>0</v>
      </c>
      <c r="BI62" s="178" t="s">
        <v>409</v>
      </c>
      <c r="BJ62" s="118"/>
      <c r="BK62" s="121"/>
      <c r="BL62" s="296">
        <f t="shared" si="14"/>
        <v>0</v>
      </c>
      <c r="BM62" s="297">
        <f t="shared" si="15"/>
        <v>0</v>
      </c>
      <c r="DH62" s="123">
        <f t="shared" si="81"/>
        <v>3928.6495055931737</v>
      </c>
      <c r="DI62" s="124">
        <f t="shared" si="82"/>
        <v>0</v>
      </c>
      <c r="DJ62" s="124">
        <f t="shared" si="83"/>
        <v>0</v>
      </c>
      <c r="DK62" s="124">
        <f t="shared" si="84"/>
        <v>0</v>
      </c>
      <c r="DL62" s="124">
        <f t="shared" si="85"/>
        <v>0</v>
      </c>
      <c r="DM62" s="124">
        <f t="shared" si="86"/>
        <v>0</v>
      </c>
      <c r="DN62" s="124">
        <f t="shared" si="87"/>
        <v>0</v>
      </c>
      <c r="DO62" s="124">
        <f t="shared" si="88"/>
        <v>0</v>
      </c>
      <c r="DP62" s="124">
        <f t="shared" si="89"/>
        <v>0</v>
      </c>
      <c r="DQ62" s="124">
        <f t="shared" si="90"/>
        <v>0</v>
      </c>
      <c r="DR62" s="124">
        <f t="shared" si="91"/>
        <v>0</v>
      </c>
      <c r="DS62" s="124">
        <f t="shared" si="92"/>
        <v>0</v>
      </c>
      <c r="DT62" s="124">
        <f t="shared" si="93"/>
        <v>0</v>
      </c>
      <c r="DU62" s="124">
        <f t="shared" si="94"/>
        <v>0</v>
      </c>
      <c r="DV62" s="124">
        <f t="shared" si="95"/>
        <v>0</v>
      </c>
      <c r="DW62" s="124">
        <f t="shared" si="96"/>
        <v>0</v>
      </c>
      <c r="DX62" s="124">
        <f t="shared" si="97"/>
        <v>0</v>
      </c>
      <c r="DY62" s="124">
        <f t="shared" si="98"/>
        <v>0</v>
      </c>
      <c r="DZ62" s="124">
        <f t="shared" si="99"/>
        <v>0</v>
      </c>
      <c r="EA62" s="124">
        <f t="shared" si="100"/>
        <v>0</v>
      </c>
      <c r="EB62" s="124">
        <f t="shared" si="101"/>
        <v>0</v>
      </c>
      <c r="EC62" s="124">
        <f t="shared" si="102"/>
        <v>0</v>
      </c>
      <c r="ED62" s="124">
        <f t="shared" si="103"/>
        <v>0</v>
      </c>
      <c r="EE62" s="124">
        <f t="shared" si="104"/>
        <v>0</v>
      </c>
      <c r="EF62" s="124">
        <f t="shared" si="105"/>
        <v>0</v>
      </c>
      <c r="EG62" s="124">
        <f t="shared" si="106"/>
        <v>0</v>
      </c>
      <c r="EH62" s="124">
        <f t="shared" si="107"/>
        <v>0</v>
      </c>
      <c r="EI62" s="124">
        <f t="shared" si="108"/>
        <v>0</v>
      </c>
      <c r="EJ62" s="124">
        <f t="shared" si="109"/>
        <v>0</v>
      </c>
      <c r="EK62" s="124">
        <f t="shared" si="110"/>
        <v>0</v>
      </c>
      <c r="EL62" s="124">
        <f t="shared" si="111"/>
        <v>0</v>
      </c>
      <c r="EM62" s="124">
        <f t="shared" si="112"/>
        <v>0</v>
      </c>
      <c r="EN62" s="124">
        <f t="shared" si="113"/>
        <v>0</v>
      </c>
      <c r="EO62" s="124">
        <f t="shared" si="114"/>
        <v>0</v>
      </c>
      <c r="EP62" s="124">
        <f t="shared" si="115"/>
        <v>0</v>
      </c>
      <c r="EQ62" s="124">
        <f t="shared" si="116"/>
        <v>0</v>
      </c>
      <c r="ER62" s="124">
        <f t="shared" si="117"/>
        <v>0</v>
      </c>
      <c r="ES62" s="124">
        <f t="shared" si="118"/>
        <v>0</v>
      </c>
      <c r="ET62" s="124">
        <f t="shared" si="119"/>
        <v>0</v>
      </c>
      <c r="EU62" s="124">
        <f t="shared" si="120"/>
        <v>0</v>
      </c>
      <c r="EV62" s="125"/>
      <c r="EW62" s="166">
        <f t="shared" si="121"/>
        <v>0</v>
      </c>
      <c r="EX62" s="72"/>
      <c r="EY62" s="123">
        <f t="shared" si="122"/>
        <v>3928.6495055931737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3"/>
        <v>0</v>
      </c>
      <c r="GJ62" s="124">
        <f t="shared" si="124"/>
        <v>0</v>
      </c>
      <c r="GK62" s="124">
        <f t="shared" si="125"/>
        <v>0</v>
      </c>
      <c r="GL62" s="124">
        <f t="shared" si="126"/>
        <v>0</v>
      </c>
      <c r="GM62" s="125"/>
      <c r="GN62" s="166">
        <f t="shared" ca="1" si="127"/>
        <v>0</v>
      </c>
    </row>
    <row r="63" spans="1:196">
      <c r="A63" s="179" t="s">
        <v>410</v>
      </c>
      <c r="B63" s="173"/>
      <c r="C63" s="247"/>
      <c r="D63" s="248"/>
      <c r="E63" s="249">
        <f t="shared" si="0"/>
        <v>0</v>
      </c>
      <c r="F63" s="250">
        <f t="shared" si="1"/>
        <v>0</v>
      </c>
      <c r="G63" s="251" t="str">
        <f t="shared" si="129"/>
        <v/>
      </c>
      <c r="H63" s="252">
        <f t="shared" si="58"/>
        <v>0</v>
      </c>
      <c r="I63" s="253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8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0">
        <f t="shared" si="10"/>
        <v>0</v>
      </c>
      <c r="BB63" s="291">
        <f t="shared" si="11"/>
        <v>0</v>
      </c>
      <c r="BC63" s="177" t="s">
        <v>408</v>
      </c>
      <c r="BD63" s="118"/>
      <c r="BE63" s="143"/>
      <c r="BF63" s="121"/>
      <c r="BG63" s="293">
        <f t="shared" si="12"/>
        <v>0</v>
      </c>
      <c r="BH63" s="295">
        <f t="shared" si="13"/>
        <v>0</v>
      </c>
      <c r="BI63" s="178" t="s">
        <v>409</v>
      </c>
      <c r="BJ63" s="118"/>
      <c r="BK63" s="121"/>
      <c r="BL63" s="296">
        <f t="shared" si="14"/>
        <v>0</v>
      </c>
      <c r="BM63" s="297">
        <f t="shared" si="15"/>
        <v>0</v>
      </c>
      <c r="DH63" s="123">
        <f t="shared" si="81"/>
        <v>4125.0819808728329</v>
      </c>
      <c r="DI63" s="124">
        <f t="shared" si="82"/>
        <v>0</v>
      </c>
      <c r="DJ63" s="124">
        <f t="shared" si="83"/>
        <v>0</v>
      </c>
      <c r="DK63" s="124">
        <f t="shared" si="84"/>
        <v>0</v>
      </c>
      <c r="DL63" s="124">
        <f t="shared" si="85"/>
        <v>0</v>
      </c>
      <c r="DM63" s="124">
        <f t="shared" si="86"/>
        <v>0</v>
      </c>
      <c r="DN63" s="124">
        <f t="shared" si="87"/>
        <v>0</v>
      </c>
      <c r="DO63" s="124">
        <f t="shared" si="88"/>
        <v>0</v>
      </c>
      <c r="DP63" s="124">
        <f t="shared" si="89"/>
        <v>0</v>
      </c>
      <c r="DQ63" s="124">
        <f t="shared" si="90"/>
        <v>0</v>
      </c>
      <c r="DR63" s="124">
        <f t="shared" si="91"/>
        <v>0</v>
      </c>
      <c r="DS63" s="124">
        <f t="shared" si="92"/>
        <v>0</v>
      </c>
      <c r="DT63" s="124">
        <f t="shared" si="93"/>
        <v>0</v>
      </c>
      <c r="DU63" s="124">
        <f t="shared" si="94"/>
        <v>0</v>
      </c>
      <c r="DV63" s="124">
        <f t="shared" si="95"/>
        <v>0</v>
      </c>
      <c r="DW63" s="124">
        <f t="shared" si="96"/>
        <v>0</v>
      </c>
      <c r="DX63" s="124">
        <f t="shared" si="97"/>
        <v>0</v>
      </c>
      <c r="DY63" s="124">
        <f t="shared" si="98"/>
        <v>0</v>
      </c>
      <c r="DZ63" s="124">
        <f t="shared" si="99"/>
        <v>0</v>
      </c>
      <c r="EA63" s="124">
        <f t="shared" si="100"/>
        <v>0</v>
      </c>
      <c r="EB63" s="124">
        <f t="shared" si="101"/>
        <v>0</v>
      </c>
      <c r="EC63" s="124">
        <f t="shared" si="102"/>
        <v>0</v>
      </c>
      <c r="ED63" s="124">
        <f t="shared" si="103"/>
        <v>0</v>
      </c>
      <c r="EE63" s="124">
        <f t="shared" si="104"/>
        <v>0</v>
      </c>
      <c r="EF63" s="124">
        <f t="shared" si="105"/>
        <v>0</v>
      </c>
      <c r="EG63" s="124">
        <f t="shared" si="106"/>
        <v>0</v>
      </c>
      <c r="EH63" s="124">
        <f t="shared" si="107"/>
        <v>0</v>
      </c>
      <c r="EI63" s="124">
        <f t="shared" si="108"/>
        <v>0</v>
      </c>
      <c r="EJ63" s="124">
        <f t="shared" si="109"/>
        <v>0</v>
      </c>
      <c r="EK63" s="124">
        <f t="shared" si="110"/>
        <v>0</v>
      </c>
      <c r="EL63" s="124">
        <f t="shared" si="111"/>
        <v>0</v>
      </c>
      <c r="EM63" s="124">
        <f t="shared" si="112"/>
        <v>0</v>
      </c>
      <c r="EN63" s="124">
        <f t="shared" si="113"/>
        <v>0</v>
      </c>
      <c r="EO63" s="124">
        <f t="shared" si="114"/>
        <v>0</v>
      </c>
      <c r="EP63" s="124">
        <f t="shared" si="115"/>
        <v>0</v>
      </c>
      <c r="EQ63" s="124">
        <f t="shared" si="116"/>
        <v>0</v>
      </c>
      <c r="ER63" s="124">
        <f t="shared" si="117"/>
        <v>0</v>
      </c>
      <c r="ES63" s="124">
        <f t="shared" si="118"/>
        <v>0</v>
      </c>
      <c r="ET63" s="124">
        <f t="shared" si="119"/>
        <v>0</v>
      </c>
      <c r="EU63" s="124">
        <f t="shared" si="120"/>
        <v>0</v>
      </c>
      <c r="EV63" s="125"/>
      <c r="EW63" s="166">
        <f t="shared" si="121"/>
        <v>0</v>
      </c>
      <c r="EX63" s="72"/>
      <c r="EY63" s="123">
        <f t="shared" si="122"/>
        <v>4125.0819808728329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3"/>
        <v>0</v>
      </c>
      <c r="GJ63" s="124">
        <f t="shared" si="124"/>
        <v>0</v>
      </c>
      <c r="GK63" s="124">
        <f t="shared" si="125"/>
        <v>0</v>
      </c>
      <c r="GL63" s="124">
        <f t="shared" si="126"/>
        <v>0</v>
      </c>
      <c r="GM63" s="125"/>
      <c r="GN63" s="166">
        <f t="shared" ca="1" si="127"/>
        <v>0</v>
      </c>
    </row>
    <row r="64" spans="1:196">
      <c r="A64" s="181" t="s">
        <v>411</v>
      </c>
      <c r="B64" s="173"/>
      <c r="C64" s="247"/>
      <c r="D64" s="248"/>
      <c r="E64" s="249">
        <f t="shared" si="0"/>
        <v>0</v>
      </c>
      <c r="F64" s="250">
        <f t="shared" si="1"/>
        <v>0</v>
      </c>
      <c r="G64" s="251" t="str">
        <f t="shared" si="129"/>
        <v/>
      </c>
      <c r="H64" s="252">
        <f t="shared" si="58"/>
        <v>0</v>
      </c>
      <c r="I64" s="253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0">
        <f t="shared" si="10"/>
        <v>0</v>
      </c>
      <c r="BB64" s="291">
        <f t="shared" si="11"/>
        <v>0</v>
      </c>
      <c r="BC64" s="177" t="s">
        <v>408</v>
      </c>
      <c r="BD64" s="118"/>
      <c r="BE64" s="143"/>
      <c r="BF64" s="121"/>
      <c r="BG64" s="293">
        <f t="shared" si="12"/>
        <v>0</v>
      </c>
      <c r="BH64" s="295">
        <f t="shared" si="13"/>
        <v>0</v>
      </c>
      <c r="BI64" s="178" t="s">
        <v>409</v>
      </c>
      <c r="BJ64" s="118"/>
      <c r="BK64" s="121"/>
      <c r="BL64" s="296">
        <f t="shared" si="14"/>
        <v>0</v>
      </c>
      <c r="BM64" s="297">
        <f t="shared" si="15"/>
        <v>0</v>
      </c>
      <c r="DH64" s="123">
        <f t="shared" si="81"/>
        <v>4331.3360799164748</v>
      </c>
      <c r="DI64" s="124">
        <f t="shared" si="82"/>
        <v>0</v>
      </c>
      <c r="DJ64" s="124">
        <f t="shared" si="83"/>
        <v>0</v>
      </c>
      <c r="DK64" s="124">
        <f t="shared" si="84"/>
        <v>0</v>
      </c>
      <c r="DL64" s="124">
        <f t="shared" si="85"/>
        <v>0</v>
      </c>
      <c r="DM64" s="124">
        <f t="shared" si="86"/>
        <v>0</v>
      </c>
      <c r="DN64" s="124">
        <f t="shared" si="87"/>
        <v>0</v>
      </c>
      <c r="DO64" s="124">
        <f t="shared" si="88"/>
        <v>0</v>
      </c>
      <c r="DP64" s="124">
        <f t="shared" si="89"/>
        <v>0</v>
      </c>
      <c r="DQ64" s="124">
        <f t="shared" si="90"/>
        <v>0</v>
      </c>
      <c r="DR64" s="124">
        <f t="shared" si="91"/>
        <v>0</v>
      </c>
      <c r="DS64" s="124">
        <f t="shared" si="92"/>
        <v>0</v>
      </c>
      <c r="DT64" s="124">
        <f t="shared" si="93"/>
        <v>0</v>
      </c>
      <c r="DU64" s="124">
        <f t="shared" si="94"/>
        <v>0</v>
      </c>
      <c r="DV64" s="124">
        <f t="shared" si="95"/>
        <v>0</v>
      </c>
      <c r="DW64" s="124">
        <f t="shared" si="96"/>
        <v>0</v>
      </c>
      <c r="DX64" s="124">
        <f t="shared" si="97"/>
        <v>0</v>
      </c>
      <c r="DY64" s="124">
        <f t="shared" si="98"/>
        <v>0</v>
      </c>
      <c r="DZ64" s="124">
        <f t="shared" si="99"/>
        <v>0</v>
      </c>
      <c r="EA64" s="124">
        <f t="shared" si="100"/>
        <v>0</v>
      </c>
      <c r="EB64" s="124">
        <f t="shared" si="101"/>
        <v>0</v>
      </c>
      <c r="EC64" s="124">
        <f t="shared" si="102"/>
        <v>0</v>
      </c>
      <c r="ED64" s="124">
        <f t="shared" si="103"/>
        <v>0</v>
      </c>
      <c r="EE64" s="124">
        <f t="shared" si="104"/>
        <v>0</v>
      </c>
      <c r="EF64" s="124">
        <f t="shared" si="105"/>
        <v>0</v>
      </c>
      <c r="EG64" s="124">
        <f t="shared" si="106"/>
        <v>0</v>
      </c>
      <c r="EH64" s="124">
        <f t="shared" si="107"/>
        <v>0</v>
      </c>
      <c r="EI64" s="124">
        <f t="shared" si="108"/>
        <v>0</v>
      </c>
      <c r="EJ64" s="124">
        <f t="shared" si="109"/>
        <v>0</v>
      </c>
      <c r="EK64" s="124">
        <f t="shared" si="110"/>
        <v>0</v>
      </c>
      <c r="EL64" s="124">
        <f t="shared" si="111"/>
        <v>0</v>
      </c>
      <c r="EM64" s="124">
        <f t="shared" si="112"/>
        <v>0</v>
      </c>
      <c r="EN64" s="124">
        <f t="shared" si="113"/>
        <v>0</v>
      </c>
      <c r="EO64" s="124">
        <f t="shared" si="114"/>
        <v>0</v>
      </c>
      <c r="EP64" s="124">
        <f t="shared" si="115"/>
        <v>0</v>
      </c>
      <c r="EQ64" s="124">
        <f t="shared" si="116"/>
        <v>0</v>
      </c>
      <c r="ER64" s="124">
        <f t="shared" si="117"/>
        <v>0</v>
      </c>
      <c r="ES64" s="124">
        <f t="shared" si="118"/>
        <v>0</v>
      </c>
      <c r="ET64" s="124">
        <f t="shared" si="119"/>
        <v>0</v>
      </c>
      <c r="EU64" s="124">
        <f t="shared" si="120"/>
        <v>0</v>
      </c>
      <c r="EV64" s="125"/>
      <c r="EW64" s="166">
        <f t="shared" si="121"/>
        <v>0</v>
      </c>
      <c r="EX64" s="72"/>
      <c r="EY64" s="123">
        <f t="shared" si="122"/>
        <v>4331.3360799164748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3"/>
        <v>0</v>
      </c>
      <c r="GJ64" s="124">
        <f t="shared" si="124"/>
        <v>0</v>
      </c>
      <c r="GK64" s="124">
        <f t="shared" si="125"/>
        <v>0</v>
      </c>
      <c r="GL64" s="124">
        <f t="shared" si="126"/>
        <v>0</v>
      </c>
      <c r="GM64" s="125"/>
      <c r="GN64" s="166">
        <f t="shared" ca="1" si="127"/>
        <v>0</v>
      </c>
    </row>
    <row r="65" spans="1:196">
      <c r="A65" s="172" t="s">
        <v>407</v>
      </c>
      <c r="B65" s="173"/>
      <c r="C65" s="247"/>
      <c r="D65" s="248"/>
      <c r="E65" s="249">
        <f t="shared" si="0"/>
        <v>0</v>
      </c>
      <c r="F65" s="250">
        <f t="shared" si="1"/>
        <v>0</v>
      </c>
      <c r="G65" s="251" t="str">
        <f t="shared" si="129"/>
        <v/>
      </c>
      <c r="H65" s="252">
        <f t="shared" si="58"/>
        <v>0</v>
      </c>
      <c r="I65" s="253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8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0">
        <f t="shared" si="10"/>
        <v>0</v>
      </c>
      <c r="BB65" s="291">
        <f t="shared" si="11"/>
        <v>0</v>
      </c>
      <c r="BC65" s="177" t="s">
        <v>408</v>
      </c>
      <c r="BD65" s="118"/>
      <c r="BE65" s="143"/>
      <c r="BF65" s="121"/>
      <c r="BG65" s="293">
        <f t="shared" si="12"/>
        <v>0</v>
      </c>
      <c r="BH65" s="295">
        <f t="shared" si="13"/>
        <v>0</v>
      </c>
      <c r="BI65" s="178" t="s">
        <v>409</v>
      </c>
      <c r="BJ65" s="118"/>
      <c r="BK65" s="121"/>
      <c r="BL65" s="296">
        <f t="shared" si="14"/>
        <v>0</v>
      </c>
      <c r="BM65" s="297">
        <f t="shared" si="15"/>
        <v>0</v>
      </c>
      <c r="DH65" s="123">
        <f t="shared" si="81"/>
        <v>4547.9028839122984</v>
      </c>
      <c r="DI65" s="124">
        <f t="shared" si="82"/>
        <v>0</v>
      </c>
      <c r="DJ65" s="124">
        <f t="shared" si="83"/>
        <v>0</v>
      </c>
      <c r="DK65" s="124">
        <f t="shared" si="84"/>
        <v>0</v>
      </c>
      <c r="DL65" s="124">
        <f t="shared" si="85"/>
        <v>0</v>
      </c>
      <c r="DM65" s="124">
        <f t="shared" si="86"/>
        <v>0</v>
      </c>
      <c r="DN65" s="124">
        <f t="shared" si="87"/>
        <v>0</v>
      </c>
      <c r="DO65" s="124">
        <f t="shared" si="88"/>
        <v>0</v>
      </c>
      <c r="DP65" s="124">
        <f t="shared" si="89"/>
        <v>0</v>
      </c>
      <c r="DQ65" s="124">
        <f t="shared" si="90"/>
        <v>0</v>
      </c>
      <c r="DR65" s="124">
        <f t="shared" si="91"/>
        <v>0</v>
      </c>
      <c r="DS65" s="124">
        <f t="shared" si="92"/>
        <v>0</v>
      </c>
      <c r="DT65" s="124">
        <f t="shared" si="93"/>
        <v>0</v>
      </c>
      <c r="DU65" s="124">
        <f t="shared" si="94"/>
        <v>0</v>
      </c>
      <c r="DV65" s="124">
        <f t="shared" si="95"/>
        <v>0</v>
      </c>
      <c r="DW65" s="124">
        <f t="shared" si="96"/>
        <v>0</v>
      </c>
      <c r="DX65" s="124">
        <f t="shared" si="97"/>
        <v>0</v>
      </c>
      <c r="DY65" s="124">
        <f t="shared" si="98"/>
        <v>0</v>
      </c>
      <c r="DZ65" s="124">
        <f t="shared" si="99"/>
        <v>0</v>
      </c>
      <c r="EA65" s="124">
        <f t="shared" si="100"/>
        <v>0</v>
      </c>
      <c r="EB65" s="124">
        <f t="shared" si="101"/>
        <v>0</v>
      </c>
      <c r="EC65" s="124">
        <f t="shared" si="102"/>
        <v>0</v>
      </c>
      <c r="ED65" s="124">
        <f t="shared" si="103"/>
        <v>0</v>
      </c>
      <c r="EE65" s="124">
        <f t="shared" si="104"/>
        <v>0</v>
      </c>
      <c r="EF65" s="124">
        <f t="shared" si="105"/>
        <v>0</v>
      </c>
      <c r="EG65" s="124">
        <f t="shared" si="106"/>
        <v>0</v>
      </c>
      <c r="EH65" s="124">
        <f t="shared" si="107"/>
        <v>0</v>
      </c>
      <c r="EI65" s="124">
        <f t="shared" si="108"/>
        <v>0</v>
      </c>
      <c r="EJ65" s="124">
        <f t="shared" si="109"/>
        <v>0</v>
      </c>
      <c r="EK65" s="124">
        <f t="shared" si="110"/>
        <v>0</v>
      </c>
      <c r="EL65" s="124">
        <f t="shared" si="111"/>
        <v>0</v>
      </c>
      <c r="EM65" s="124">
        <f t="shared" si="112"/>
        <v>0</v>
      </c>
      <c r="EN65" s="124">
        <f t="shared" si="113"/>
        <v>0</v>
      </c>
      <c r="EO65" s="124">
        <f t="shared" si="114"/>
        <v>0</v>
      </c>
      <c r="EP65" s="124">
        <f t="shared" si="115"/>
        <v>0</v>
      </c>
      <c r="EQ65" s="124">
        <f t="shared" si="116"/>
        <v>0</v>
      </c>
      <c r="ER65" s="124">
        <f t="shared" si="117"/>
        <v>0</v>
      </c>
      <c r="ES65" s="124">
        <f t="shared" si="118"/>
        <v>0</v>
      </c>
      <c r="ET65" s="124">
        <f t="shared" si="119"/>
        <v>0</v>
      </c>
      <c r="EU65" s="124">
        <f t="shared" si="120"/>
        <v>0</v>
      </c>
      <c r="EV65" s="125"/>
      <c r="EW65" s="166">
        <f t="shared" si="121"/>
        <v>0</v>
      </c>
      <c r="EX65" s="72"/>
      <c r="EY65" s="123">
        <f t="shared" si="122"/>
        <v>4547.9028839122984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3"/>
        <v>0</v>
      </c>
      <c r="GJ65" s="124">
        <f t="shared" si="124"/>
        <v>0</v>
      </c>
      <c r="GK65" s="124">
        <f t="shared" si="125"/>
        <v>0</v>
      </c>
      <c r="GL65" s="124">
        <f t="shared" si="126"/>
        <v>0</v>
      </c>
      <c r="GM65" s="125"/>
      <c r="GN65" s="166">
        <f t="shared" ca="1" si="127"/>
        <v>0</v>
      </c>
    </row>
    <row r="66" spans="1:196">
      <c r="A66" s="179" t="s">
        <v>410</v>
      </c>
      <c r="B66" s="173"/>
      <c r="C66" s="247"/>
      <c r="D66" s="248"/>
      <c r="E66" s="249">
        <f t="shared" si="0"/>
        <v>0</v>
      </c>
      <c r="F66" s="250">
        <f t="shared" si="1"/>
        <v>0</v>
      </c>
      <c r="G66" s="251" t="str">
        <f t="shared" si="129"/>
        <v/>
      </c>
      <c r="H66" s="252">
        <f t="shared" si="58"/>
        <v>0</v>
      </c>
      <c r="I66" s="253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0">
        <f t="shared" si="10"/>
        <v>0</v>
      </c>
      <c r="BB66" s="291">
        <f t="shared" si="11"/>
        <v>0</v>
      </c>
      <c r="BC66" s="177" t="s">
        <v>408</v>
      </c>
      <c r="BD66" s="118"/>
      <c r="BE66" s="143"/>
      <c r="BF66" s="121"/>
      <c r="BG66" s="293">
        <f t="shared" si="12"/>
        <v>0</v>
      </c>
      <c r="BH66" s="295">
        <f t="shared" si="13"/>
        <v>0</v>
      </c>
      <c r="BI66" s="178" t="s">
        <v>409</v>
      </c>
      <c r="BJ66" s="118"/>
      <c r="BK66" s="121"/>
      <c r="BL66" s="296">
        <f t="shared" si="14"/>
        <v>0</v>
      </c>
      <c r="BM66" s="297">
        <f t="shared" si="15"/>
        <v>0</v>
      </c>
      <c r="DH66" s="123">
        <f t="shared" si="81"/>
        <v>4775.2980281079135</v>
      </c>
      <c r="DI66" s="124">
        <f t="shared" si="82"/>
        <v>0</v>
      </c>
      <c r="DJ66" s="124">
        <f t="shared" si="83"/>
        <v>0</v>
      </c>
      <c r="DK66" s="124">
        <f t="shared" si="84"/>
        <v>0</v>
      </c>
      <c r="DL66" s="124">
        <f t="shared" si="85"/>
        <v>0</v>
      </c>
      <c r="DM66" s="124">
        <f t="shared" si="86"/>
        <v>0</v>
      </c>
      <c r="DN66" s="124">
        <f t="shared" si="87"/>
        <v>0</v>
      </c>
      <c r="DO66" s="124">
        <f t="shared" si="88"/>
        <v>0</v>
      </c>
      <c r="DP66" s="124">
        <f t="shared" si="89"/>
        <v>0</v>
      </c>
      <c r="DQ66" s="124">
        <f t="shared" si="90"/>
        <v>0</v>
      </c>
      <c r="DR66" s="124">
        <f t="shared" si="91"/>
        <v>0</v>
      </c>
      <c r="DS66" s="124">
        <f t="shared" si="92"/>
        <v>0</v>
      </c>
      <c r="DT66" s="124">
        <f t="shared" si="93"/>
        <v>0</v>
      </c>
      <c r="DU66" s="124">
        <f t="shared" si="94"/>
        <v>0</v>
      </c>
      <c r="DV66" s="124">
        <f t="shared" si="95"/>
        <v>0</v>
      </c>
      <c r="DW66" s="124">
        <f t="shared" si="96"/>
        <v>0</v>
      </c>
      <c r="DX66" s="124">
        <f t="shared" si="97"/>
        <v>0</v>
      </c>
      <c r="DY66" s="124">
        <f t="shared" si="98"/>
        <v>0</v>
      </c>
      <c r="DZ66" s="124">
        <f t="shared" si="99"/>
        <v>0</v>
      </c>
      <c r="EA66" s="124">
        <f t="shared" si="100"/>
        <v>0</v>
      </c>
      <c r="EB66" s="124">
        <f t="shared" si="101"/>
        <v>0</v>
      </c>
      <c r="EC66" s="124">
        <f t="shared" si="102"/>
        <v>0</v>
      </c>
      <c r="ED66" s="124">
        <f t="shared" si="103"/>
        <v>0</v>
      </c>
      <c r="EE66" s="124">
        <f t="shared" si="104"/>
        <v>0</v>
      </c>
      <c r="EF66" s="124">
        <f t="shared" si="105"/>
        <v>0</v>
      </c>
      <c r="EG66" s="124">
        <f t="shared" si="106"/>
        <v>0</v>
      </c>
      <c r="EH66" s="124">
        <f t="shared" si="107"/>
        <v>0</v>
      </c>
      <c r="EI66" s="124">
        <f t="shared" si="108"/>
        <v>0</v>
      </c>
      <c r="EJ66" s="124">
        <f t="shared" si="109"/>
        <v>0</v>
      </c>
      <c r="EK66" s="124">
        <f t="shared" si="110"/>
        <v>0</v>
      </c>
      <c r="EL66" s="124">
        <f t="shared" si="111"/>
        <v>0</v>
      </c>
      <c r="EM66" s="124">
        <f t="shared" si="112"/>
        <v>0</v>
      </c>
      <c r="EN66" s="124">
        <f t="shared" si="113"/>
        <v>0</v>
      </c>
      <c r="EO66" s="124">
        <f t="shared" si="114"/>
        <v>0</v>
      </c>
      <c r="EP66" s="124">
        <f t="shared" si="115"/>
        <v>0</v>
      </c>
      <c r="EQ66" s="124">
        <f t="shared" si="116"/>
        <v>0</v>
      </c>
      <c r="ER66" s="124">
        <f t="shared" si="117"/>
        <v>0</v>
      </c>
      <c r="ES66" s="124">
        <f t="shared" si="118"/>
        <v>0</v>
      </c>
      <c r="ET66" s="124">
        <f t="shared" si="119"/>
        <v>0</v>
      </c>
      <c r="EU66" s="124">
        <f t="shared" si="120"/>
        <v>0</v>
      </c>
      <c r="EV66" s="125"/>
      <c r="EW66" s="166">
        <f t="shared" si="121"/>
        <v>0</v>
      </c>
      <c r="EX66" s="72"/>
      <c r="EY66" s="123">
        <f t="shared" si="122"/>
        <v>4775.2980281079135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3"/>
        <v>0</v>
      </c>
      <c r="GJ66" s="124">
        <f t="shared" si="124"/>
        <v>0</v>
      </c>
      <c r="GK66" s="124">
        <f t="shared" si="125"/>
        <v>0</v>
      </c>
      <c r="GL66" s="124">
        <f t="shared" si="126"/>
        <v>0</v>
      </c>
      <c r="GM66" s="125"/>
      <c r="GN66" s="166">
        <f t="shared" ca="1" si="127"/>
        <v>0</v>
      </c>
    </row>
    <row r="67" spans="1:196">
      <c r="A67" s="181" t="s">
        <v>411</v>
      </c>
      <c r="B67" s="173"/>
      <c r="C67" s="247"/>
      <c r="D67" s="248"/>
      <c r="E67" s="249">
        <f t="shared" si="0"/>
        <v>0</v>
      </c>
      <c r="F67" s="250">
        <f t="shared" ref="F67:F72" si="130">IF(B67&gt;0,+B67*D67*(1+($Q$53+0.002)*1.21)*-100,B67*D67*(1-($Q$53+0.002)*1.21)*-100)</f>
        <v>0</v>
      </c>
      <c r="G67" s="251" t="str">
        <f t="shared" si="129"/>
        <v/>
      </c>
      <c r="H67" s="252">
        <f t="shared" si="58"/>
        <v>0</v>
      </c>
      <c r="I67" s="253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8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0">
        <f t="shared" si="10"/>
        <v>0</v>
      </c>
      <c r="BB67" s="291">
        <f t="shared" si="11"/>
        <v>0</v>
      </c>
      <c r="BC67" s="177" t="s">
        <v>408</v>
      </c>
      <c r="BD67" s="118"/>
      <c r="BE67" s="143"/>
      <c r="BF67" s="121"/>
      <c r="BG67" s="293">
        <f t="shared" si="12"/>
        <v>0</v>
      </c>
      <c r="BH67" s="295">
        <f t="shared" si="13"/>
        <v>0</v>
      </c>
      <c r="BI67" s="178" t="s">
        <v>409</v>
      </c>
      <c r="BJ67" s="118"/>
      <c r="BK67" s="121"/>
      <c r="BL67" s="296">
        <f t="shared" si="14"/>
        <v>0</v>
      </c>
      <c r="BM67" s="297">
        <f t="shared" si="15"/>
        <v>0</v>
      </c>
      <c r="DH67" s="199">
        <f t="shared" si="81"/>
        <v>5014.0629295133094</v>
      </c>
      <c r="DI67" s="200">
        <f t="shared" si="82"/>
        <v>0</v>
      </c>
      <c r="DJ67" s="200">
        <f t="shared" si="83"/>
        <v>0</v>
      </c>
      <c r="DK67" s="200">
        <f t="shared" si="84"/>
        <v>0</v>
      </c>
      <c r="DL67" s="200">
        <f t="shared" si="85"/>
        <v>0</v>
      </c>
      <c r="DM67" s="200">
        <f t="shared" si="86"/>
        <v>0</v>
      </c>
      <c r="DN67" s="200">
        <f t="shared" si="87"/>
        <v>0</v>
      </c>
      <c r="DO67" s="200">
        <f t="shared" si="88"/>
        <v>0</v>
      </c>
      <c r="DP67" s="200">
        <f t="shared" si="89"/>
        <v>0</v>
      </c>
      <c r="DQ67" s="200">
        <f t="shared" si="90"/>
        <v>0</v>
      </c>
      <c r="DR67" s="200">
        <f t="shared" si="91"/>
        <v>0</v>
      </c>
      <c r="DS67" s="200">
        <f t="shared" si="92"/>
        <v>0</v>
      </c>
      <c r="DT67" s="200">
        <f t="shared" si="93"/>
        <v>0</v>
      </c>
      <c r="DU67" s="200">
        <f t="shared" si="94"/>
        <v>0</v>
      </c>
      <c r="DV67" s="200">
        <f t="shared" si="95"/>
        <v>0</v>
      </c>
      <c r="DW67" s="200">
        <f t="shared" si="96"/>
        <v>0</v>
      </c>
      <c r="DX67" s="200">
        <f t="shared" si="97"/>
        <v>0</v>
      </c>
      <c r="DY67" s="200">
        <f t="shared" si="98"/>
        <v>0</v>
      </c>
      <c r="DZ67" s="200">
        <f t="shared" si="99"/>
        <v>0</v>
      </c>
      <c r="EA67" s="200">
        <f t="shared" si="100"/>
        <v>0</v>
      </c>
      <c r="EB67" s="200">
        <f t="shared" si="101"/>
        <v>0</v>
      </c>
      <c r="EC67" s="200">
        <f t="shared" si="102"/>
        <v>0</v>
      </c>
      <c r="ED67" s="200">
        <f t="shared" si="103"/>
        <v>0</v>
      </c>
      <c r="EE67" s="200">
        <f t="shared" si="104"/>
        <v>0</v>
      </c>
      <c r="EF67" s="200">
        <f t="shared" si="105"/>
        <v>0</v>
      </c>
      <c r="EG67" s="200">
        <f t="shared" si="106"/>
        <v>0</v>
      </c>
      <c r="EH67" s="200">
        <f t="shared" si="107"/>
        <v>0</v>
      </c>
      <c r="EI67" s="200">
        <f t="shared" si="108"/>
        <v>0</v>
      </c>
      <c r="EJ67" s="200">
        <f t="shared" si="109"/>
        <v>0</v>
      </c>
      <c r="EK67" s="200">
        <f t="shared" si="110"/>
        <v>0</v>
      </c>
      <c r="EL67" s="200">
        <f t="shared" si="111"/>
        <v>0</v>
      </c>
      <c r="EM67" s="200">
        <f t="shared" si="112"/>
        <v>0</v>
      </c>
      <c r="EN67" s="200">
        <f t="shared" si="113"/>
        <v>0</v>
      </c>
      <c r="EO67" s="200">
        <f t="shared" si="114"/>
        <v>0</v>
      </c>
      <c r="EP67" s="200">
        <f t="shared" si="115"/>
        <v>0</v>
      </c>
      <c r="EQ67" s="200">
        <f t="shared" si="116"/>
        <v>0</v>
      </c>
      <c r="ER67" s="200">
        <f t="shared" si="117"/>
        <v>0</v>
      </c>
      <c r="ES67" s="200">
        <f t="shared" si="118"/>
        <v>0</v>
      </c>
      <c r="ET67" s="200">
        <f t="shared" si="119"/>
        <v>0</v>
      </c>
      <c r="EU67" s="200">
        <f t="shared" si="120"/>
        <v>0</v>
      </c>
      <c r="EV67" s="201"/>
      <c r="EW67" s="202">
        <f t="shared" si="121"/>
        <v>0</v>
      </c>
      <c r="EX67" s="72"/>
      <c r="EY67" s="199">
        <f t="shared" si="122"/>
        <v>5014.0629295133094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3"/>
        <v>0</v>
      </c>
      <c r="GJ67" s="200">
        <f t="shared" si="124"/>
        <v>0</v>
      </c>
      <c r="GK67" s="200">
        <f t="shared" si="125"/>
        <v>0</v>
      </c>
      <c r="GL67" s="200">
        <f t="shared" si="126"/>
        <v>0</v>
      </c>
      <c r="GM67" s="201"/>
      <c r="GN67" s="202">
        <f t="shared" ca="1" si="127"/>
        <v>0</v>
      </c>
    </row>
    <row r="68" spans="1:196">
      <c r="A68" s="172" t="s">
        <v>407</v>
      </c>
      <c r="B68" s="173"/>
      <c r="C68" s="247"/>
      <c r="D68" s="248"/>
      <c r="E68" s="249">
        <f t="shared" si="0"/>
        <v>0</v>
      </c>
      <c r="F68" s="250">
        <f t="shared" si="130"/>
        <v>0</v>
      </c>
      <c r="G68" s="251" t="str">
        <f t="shared" si="129"/>
        <v/>
      </c>
      <c r="H68" s="252">
        <f>IFERROR(+G68*B68*-100,0)</f>
        <v>0</v>
      </c>
      <c r="I68" s="253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0">
        <f t="shared" si="10"/>
        <v>0</v>
      </c>
      <c r="BB68" s="291">
        <f t="shared" si="11"/>
        <v>0</v>
      </c>
      <c r="BC68" s="177" t="s">
        <v>408</v>
      </c>
      <c r="BD68" s="118"/>
      <c r="BE68" s="143"/>
      <c r="BF68" s="121"/>
      <c r="BG68" s="293">
        <f t="shared" si="12"/>
        <v>0</v>
      </c>
      <c r="BH68" s="295">
        <f t="shared" si="13"/>
        <v>0</v>
      </c>
      <c r="BI68" s="178" t="s">
        <v>409</v>
      </c>
      <c r="BJ68" s="118"/>
      <c r="BK68" s="121"/>
      <c r="BL68" s="296">
        <f t="shared" si="14"/>
        <v>0</v>
      </c>
      <c r="BM68" s="297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7"/>
      <c r="D69" s="248"/>
      <c r="E69" s="249">
        <f t="shared" si="0"/>
        <v>0</v>
      </c>
      <c r="F69" s="250">
        <f t="shared" si="130"/>
        <v>0</v>
      </c>
      <c r="G69" s="251" t="str">
        <f t="shared" si="129"/>
        <v/>
      </c>
      <c r="H69" s="252">
        <f>IFERROR(+G69*B69*-100,0)</f>
        <v>0</v>
      </c>
      <c r="I69" s="253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8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0">
        <f t="shared" si="10"/>
        <v>0</v>
      </c>
      <c r="BB69" s="291">
        <f t="shared" si="11"/>
        <v>0</v>
      </c>
      <c r="BC69" s="177" t="s">
        <v>408</v>
      </c>
      <c r="BD69" s="118"/>
      <c r="BE69" s="143"/>
      <c r="BF69" s="121"/>
      <c r="BG69" s="293">
        <f t="shared" si="12"/>
        <v>0</v>
      </c>
      <c r="BH69" s="295">
        <f t="shared" si="13"/>
        <v>0</v>
      </c>
      <c r="BI69" s="178" t="s">
        <v>409</v>
      </c>
      <c r="BJ69" s="118"/>
      <c r="BK69" s="121"/>
      <c r="BL69" s="296">
        <f t="shared" si="14"/>
        <v>0</v>
      </c>
      <c r="BM69" s="297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7"/>
      <c r="D70" s="248"/>
      <c r="E70" s="249">
        <f t="shared" si="0"/>
        <v>0</v>
      </c>
      <c r="F70" s="250">
        <f t="shared" si="130"/>
        <v>0</v>
      </c>
      <c r="G70" s="251" t="str">
        <f t="shared" si="129"/>
        <v/>
      </c>
      <c r="H70" s="252">
        <f>IFERROR(+G70*B70*-100,0)</f>
        <v>0</v>
      </c>
      <c r="I70" s="253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0">
        <f t="shared" si="10"/>
        <v>0</v>
      </c>
      <c r="BB70" s="291">
        <f t="shared" si="11"/>
        <v>0</v>
      </c>
      <c r="BC70" s="177" t="s">
        <v>408</v>
      </c>
      <c r="BD70" s="118"/>
      <c r="BE70" s="143"/>
      <c r="BF70" s="121"/>
      <c r="BG70" s="293">
        <f t="shared" si="12"/>
        <v>0</v>
      </c>
      <c r="BH70" s="295">
        <f t="shared" si="13"/>
        <v>0</v>
      </c>
      <c r="BI70" s="178" t="s">
        <v>409</v>
      </c>
      <c r="BJ70" s="118"/>
      <c r="BK70" s="121"/>
      <c r="BL70" s="296">
        <f t="shared" si="14"/>
        <v>0</v>
      </c>
      <c r="BM70" s="297">
        <f t="shared" si="15"/>
        <v>0</v>
      </c>
      <c r="DH70" s="123">
        <f t="shared" ref="DH70:DH101" si="131">DH3</f>
        <v>1064.1799556769529</v>
      </c>
      <c r="DI70" s="124">
        <f t="shared" ref="DI70:DI101" si="132">IF($DH70&gt;$U$3,$T$3*100*($DH70-$U$3),0)</f>
        <v>0</v>
      </c>
      <c r="DJ70" s="124">
        <f t="shared" ref="DJ70:DJ101" si="133">IF($DH70&gt;$U$4,$T$4*100*($DH70-$U$4),0)</f>
        <v>0</v>
      </c>
      <c r="DK70" s="124">
        <f t="shared" ref="DK70:DK101" si="134">IF($DH70&gt;$U$5,$T$5*100*($DH70-$U$5),0)</f>
        <v>0</v>
      </c>
      <c r="DL70" s="124">
        <f t="shared" ref="DL70:DL101" si="135">IF($DH70&gt;$U$6,$T$6*100*($DH70-$U$6),0)</f>
        <v>0</v>
      </c>
      <c r="DM70" s="124">
        <f t="shared" ref="DM70:DM101" si="136">IF($DH70&gt;$U$7,$T$7*100*($DH70-$U$7),0)</f>
        <v>0</v>
      </c>
      <c r="DN70" s="124">
        <f t="shared" ref="DN70:DN101" si="137">IF($DH70&gt;$U$8,$T$8*100*($DH70-$U$8),0)</f>
        <v>0</v>
      </c>
      <c r="DO70" s="124">
        <f t="shared" ref="DO70:DO101" si="138">IF($DH70&gt;$U$9,$T$9*100*($DH70-$U$9),0)</f>
        <v>0</v>
      </c>
      <c r="DP70" s="124">
        <f t="shared" ref="DP70:DP101" si="139">IF($DH70&gt;$U$10,$T$10*100*($DH70-$U$10),0)</f>
        <v>0</v>
      </c>
      <c r="DQ70" s="124">
        <f t="shared" ref="DQ70:DQ101" si="140">IF($DH70&gt;$U$11,$T$11*100*($DH70-$U$11),0)</f>
        <v>0</v>
      </c>
      <c r="DR70" s="124">
        <f t="shared" ref="DR70:DR101" si="141">IF($DH70&gt;$U$12,$T$12*100*($DH70-$U$12),0)</f>
        <v>0</v>
      </c>
      <c r="DS70" s="124">
        <f t="shared" ref="DS70:DS101" si="142">IF($DH70&gt;$U$13,$T$13*100*($DH70-$U$13),0)</f>
        <v>0</v>
      </c>
      <c r="DT70" s="124">
        <f t="shared" ref="DT70:DT101" si="143">IF($DH70&gt;$U$14,$T$14*100*($DH70-$U$14),0)</f>
        <v>0</v>
      </c>
      <c r="DU70" s="124">
        <f t="shared" ref="DU70:DU101" si="144">IF($DH70&gt;$U$15,$T$15*100*($DH70-$U$15),0)</f>
        <v>0</v>
      </c>
      <c r="DV70" s="124">
        <f t="shared" ref="DV70:DV101" si="145">IF($DH70&gt;$U$16,$T$16*100*($DH70-$U$16),0)</f>
        <v>0</v>
      </c>
      <c r="DW70" s="124">
        <f t="shared" ref="DW70:DW101" si="146">IF($DH70&gt;$U$17,$T$17*100*($DH70-$U$17),0)</f>
        <v>0</v>
      </c>
      <c r="DX70" s="124">
        <f t="shared" ref="DX70:DX101" si="147">IF($DH70&gt;$U$18,$T$18*100*($DH70-$U$18),0)</f>
        <v>0</v>
      </c>
      <c r="DY70" s="124">
        <f t="shared" ref="DY70:DY101" si="148">IF($DH70&gt;$U$19,$T$19*100*($DH70-$U$19),0)</f>
        <v>0</v>
      </c>
      <c r="DZ70" s="124">
        <f t="shared" ref="DZ70:DZ101" si="149">IF($DH70&gt;$U$20,$T$20*100*($DH70-$U$20),0)</f>
        <v>0</v>
      </c>
      <c r="EA70" s="124">
        <f t="shared" ref="EA70:EA101" si="150">IF($DH70&gt;$U$21,$T$21*100*($DH70-$U$21),0)</f>
        <v>0</v>
      </c>
      <c r="EB70" s="124">
        <f t="shared" ref="EB70:EB101" si="151">IF($DH70&gt;$U$22,$T$22*100*($DH70-$U$22),0)</f>
        <v>0</v>
      </c>
      <c r="EC70" s="124">
        <f t="shared" ref="EC70:EC101" si="152">IF($DH70&gt;$U$23,$T$23*100*($DH70-$U$23),0)</f>
        <v>0</v>
      </c>
      <c r="ED70" s="124">
        <f t="shared" ref="ED70:ED101" si="153">IF($DH70&gt;$U$24,$T$24*100*($DH70-$U$24),0)</f>
        <v>0</v>
      </c>
      <c r="EE70" s="124">
        <f t="shared" ref="EE70:EE101" si="154">IF($DH70&gt;$U$25,$T$25*100*($DH70-$U$25),0)</f>
        <v>0</v>
      </c>
      <c r="EF70" s="124">
        <f t="shared" ref="EF70:EF101" si="155">IF($DH70&gt;$U$26,$T$26*100*($DH70-$U$26),0)</f>
        <v>0</v>
      </c>
      <c r="EG70" s="124">
        <f t="shared" ref="EG70:EG101" si="156">IF($DH70&gt;$U$27,$T$27*100*($DH70-$U$27),0)</f>
        <v>0</v>
      </c>
      <c r="EH70" s="124">
        <f t="shared" ref="EH70:EH101" si="157">IF($DH70&gt;$U$28,$T$28*100*($DH70-$U$28),0)</f>
        <v>0</v>
      </c>
      <c r="EI70" s="124">
        <f t="shared" ref="EI70:EI101" si="158">IF($DH70&gt;$U$29,$T$29*100*($DH70-$U$29),0)</f>
        <v>0</v>
      </c>
      <c r="EJ70" s="124">
        <f t="shared" ref="EJ70:EJ101" si="159">IF($DH70&gt;$U$30,$T$30*100*($DH70-$U$30),0)</f>
        <v>0</v>
      </c>
      <c r="EK70" s="124">
        <f t="shared" ref="EK70:EK101" si="160">IF($DH70&gt;$U$31,$T$31*100*($DH70-$U$31),0)</f>
        <v>0</v>
      </c>
      <c r="EL70" s="124">
        <f t="shared" ref="EL70:EL101" si="161">IF($DH70&gt;$U$32,$T$32*100*($DH70-$U$32),0)</f>
        <v>0</v>
      </c>
      <c r="EM70" s="124">
        <f t="shared" ref="EM70:EM101" si="162">IF($DH70&gt;$U$33,$T$33*100*($DH70-$U$33),0)</f>
        <v>0</v>
      </c>
      <c r="EN70" s="124">
        <f t="shared" ref="EN70:EN101" si="163">IF($DH70&gt;$U$34,$T$34*100*($DH70-$U$34),0)</f>
        <v>0</v>
      </c>
      <c r="EO70" s="124">
        <f t="shared" ref="EO70:EO101" si="164">IF($DH70&gt;$U$35,$T$35*100*($DH70-$U$35),0)</f>
        <v>0</v>
      </c>
      <c r="EP70" s="124">
        <f t="shared" ref="EP70:EP101" si="165">IF($DH70&gt;$U$36,$T$36*100*($DH70-$U$36),0)</f>
        <v>0</v>
      </c>
      <c r="EQ70" s="124">
        <f t="shared" ref="EQ70:EQ101" si="166">IF($DH70&gt;$U$37,$T$37*100*($DH70-$U$37),0)</f>
        <v>0</v>
      </c>
      <c r="ER70" s="124">
        <f t="shared" ref="ER70:ER101" si="167">IF($DH70&gt;$U$38,$T$38*100*($DH70-$U$38),0)</f>
        <v>0</v>
      </c>
      <c r="ES70" s="124">
        <f t="shared" ref="ES70:ES101" si="168">IF($DH70&gt;$U$39,$T$39*100*($DH70-$U$39),0)</f>
        <v>0</v>
      </c>
      <c r="ET70" s="124">
        <f t="shared" ref="ET70:ET101" si="169">IF($DH70&gt;$U$40,$T$40*100*($DH70-$U$40),0)</f>
        <v>0</v>
      </c>
      <c r="EU70" s="124">
        <f t="shared" ref="EU70:EU101" si="170">IF($DH70&gt;$U$41,$T$41*100*($DH70-$U$41),0)</f>
        <v>0</v>
      </c>
      <c r="EV70" s="124">
        <f t="shared" ref="EV70:EV101" si="171">IF($DH70&gt;$U$42,$T$42*100*($DH70-$U$42),0)</f>
        <v>0</v>
      </c>
      <c r="EW70" s="209">
        <f t="shared" ref="EW70:EW101" si="172">SUM(DI70:EV70)</f>
        <v>0</v>
      </c>
      <c r="EX70" s="72"/>
      <c r="EY70" s="123">
        <f t="shared" ref="EY70:EY101" si="173">EY3</f>
        <v>1064.1799556769529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4">SUM(EZ70:GM70)</f>
        <v>0</v>
      </c>
    </row>
    <row r="71" spans="1:196">
      <c r="A71" s="172"/>
      <c r="B71" s="173"/>
      <c r="C71" s="247"/>
      <c r="D71" s="248"/>
      <c r="E71" s="249">
        <f t="shared" si="0"/>
        <v>0</v>
      </c>
      <c r="F71" s="250">
        <f t="shared" si="130"/>
        <v>0</v>
      </c>
      <c r="G71" s="251" t="str">
        <f t="shared" si="129"/>
        <v/>
      </c>
      <c r="H71" s="252">
        <f>IFERROR(+G71*B71*-100,0)</f>
        <v>0</v>
      </c>
      <c r="I71" s="253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8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0">
        <f t="shared" si="10"/>
        <v>0</v>
      </c>
      <c r="BB71" s="291">
        <f t="shared" si="11"/>
        <v>0</v>
      </c>
      <c r="BC71" s="177" t="s">
        <v>408</v>
      </c>
      <c r="BD71" s="118"/>
      <c r="BE71" s="143"/>
      <c r="BF71" s="121"/>
      <c r="BG71" s="293">
        <f t="shared" si="12"/>
        <v>0</v>
      </c>
      <c r="BH71" s="295">
        <f t="shared" si="13"/>
        <v>0</v>
      </c>
      <c r="BI71" s="178" t="s">
        <v>409</v>
      </c>
      <c r="BJ71" s="118"/>
      <c r="BK71" s="121"/>
      <c r="BL71" s="296">
        <f t="shared" si="14"/>
        <v>0</v>
      </c>
      <c r="BM71" s="297">
        <f t="shared" si="15"/>
        <v>0</v>
      </c>
      <c r="DH71" s="123">
        <f t="shared" si="131"/>
        <v>1120.1894270283715</v>
      </c>
      <c r="DI71" s="124">
        <f t="shared" si="132"/>
        <v>0</v>
      </c>
      <c r="DJ71" s="124">
        <f t="shared" si="133"/>
        <v>0</v>
      </c>
      <c r="DK71" s="124">
        <f t="shared" si="134"/>
        <v>0</v>
      </c>
      <c r="DL71" s="124">
        <f t="shared" si="135"/>
        <v>0</v>
      </c>
      <c r="DM71" s="124">
        <f t="shared" si="136"/>
        <v>0</v>
      </c>
      <c r="DN71" s="124">
        <f t="shared" si="137"/>
        <v>0</v>
      </c>
      <c r="DO71" s="124">
        <f t="shared" si="138"/>
        <v>0</v>
      </c>
      <c r="DP71" s="124">
        <f t="shared" si="139"/>
        <v>0</v>
      </c>
      <c r="DQ71" s="124">
        <f t="shared" si="140"/>
        <v>0</v>
      </c>
      <c r="DR71" s="124">
        <f t="shared" si="141"/>
        <v>0</v>
      </c>
      <c r="DS71" s="124">
        <f t="shared" si="142"/>
        <v>0</v>
      </c>
      <c r="DT71" s="124">
        <f t="shared" si="143"/>
        <v>0</v>
      </c>
      <c r="DU71" s="124">
        <f t="shared" si="144"/>
        <v>0</v>
      </c>
      <c r="DV71" s="124">
        <f t="shared" si="145"/>
        <v>0</v>
      </c>
      <c r="DW71" s="124">
        <f t="shared" si="146"/>
        <v>0</v>
      </c>
      <c r="DX71" s="124">
        <f t="shared" si="147"/>
        <v>0</v>
      </c>
      <c r="DY71" s="124">
        <f t="shared" si="148"/>
        <v>0</v>
      </c>
      <c r="DZ71" s="124">
        <f t="shared" si="149"/>
        <v>0</v>
      </c>
      <c r="EA71" s="124">
        <f t="shared" si="150"/>
        <v>0</v>
      </c>
      <c r="EB71" s="124">
        <f t="shared" si="151"/>
        <v>0</v>
      </c>
      <c r="EC71" s="124">
        <f t="shared" si="152"/>
        <v>0</v>
      </c>
      <c r="ED71" s="124">
        <f t="shared" si="153"/>
        <v>0</v>
      </c>
      <c r="EE71" s="124">
        <f t="shared" si="154"/>
        <v>0</v>
      </c>
      <c r="EF71" s="124">
        <f t="shared" si="155"/>
        <v>0</v>
      </c>
      <c r="EG71" s="124">
        <f t="shared" si="156"/>
        <v>0</v>
      </c>
      <c r="EH71" s="124">
        <f t="shared" si="157"/>
        <v>0</v>
      </c>
      <c r="EI71" s="124">
        <f t="shared" si="158"/>
        <v>0</v>
      </c>
      <c r="EJ71" s="124">
        <f t="shared" si="159"/>
        <v>0</v>
      </c>
      <c r="EK71" s="124">
        <f t="shared" si="160"/>
        <v>0</v>
      </c>
      <c r="EL71" s="124">
        <f t="shared" si="161"/>
        <v>0</v>
      </c>
      <c r="EM71" s="124">
        <f t="shared" si="162"/>
        <v>0</v>
      </c>
      <c r="EN71" s="124">
        <f t="shared" si="163"/>
        <v>0</v>
      </c>
      <c r="EO71" s="124">
        <f t="shared" si="164"/>
        <v>0</v>
      </c>
      <c r="EP71" s="124">
        <f t="shared" si="165"/>
        <v>0</v>
      </c>
      <c r="EQ71" s="124">
        <f t="shared" si="166"/>
        <v>0</v>
      </c>
      <c r="ER71" s="124">
        <f t="shared" si="167"/>
        <v>0</v>
      </c>
      <c r="ES71" s="124">
        <f t="shared" si="168"/>
        <v>0</v>
      </c>
      <c r="ET71" s="124">
        <f t="shared" si="169"/>
        <v>0</v>
      </c>
      <c r="EU71" s="124">
        <f t="shared" si="170"/>
        <v>0</v>
      </c>
      <c r="EV71" s="124">
        <f t="shared" si="171"/>
        <v>0</v>
      </c>
      <c r="EW71" s="209">
        <f t="shared" si="172"/>
        <v>0</v>
      </c>
      <c r="EX71" s="72"/>
      <c r="EY71" s="123">
        <f t="shared" si="173"/>
        <v>1120.1894270283715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4"/>
        <v>0</v>
      </c>
    </row>
    <row r="72" spans="1:196" ht="13.5" thickBot="1">
      <c r="A72" s="179"/>
      <c r="B72" s="210"/>
      <c r="C72" s="268"/>
      <c r="D72" s="269"/>
      <c r="E72" s="270">
        <f t="shared" si="0"/>
        <v>0</v>
      </c>
      <c r="F72" s="271">
        <f t="shared" si="130"/>
        <v>0</v>
      </c>
      <c r="G72" s="266" t="str">
        <f t="shared" si="129"/>
        <v/>
      </c>
      <c r="H72" s="272">
        <f>IFERROR(+G72*B72*-100,0)</f>
        <v>0</v>
      </c>
      <c r="I72" s="273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0">
        <f t="shared" si="10"/>
        <v>0</v>
      </c>
      <c r="BB72" s="291">
        <f t="shared" si="11"/>
        <v>0</v>
      </c>
      <c r="BC72" s="177" t="s">
        <v>408</v>
      </c>
      <c r="BD72" s="118"/>
      <c r="BE72" s="143"/>
      <c r="BF72" s="121"/>
      <c r="BG72" s="293">
        <f t="shared" si="12"/>
        <v>0</v>
      </c>
      <c r="BH72" s="295">
        <f t="shared" si="13"/>
        <v>0</v>
      </c>
      <c r="BI72" s="178" t="s">
        <v>409</v>
      </c>
      <c r="BJ72" s="118"/>
      <c r="BK72" s="121"/>
      <c r="BL72" s="296">
        <f t="shared" si="14"/>
        <v>0</v>
      </c>
      <c r="BM72" s="297">
        <f t="shared" si="15"/>
        <v>0</v>
      </c>
      <c r="DH72" s="123">
        <f t="shared" si="131"/>
        <v>1179.1467652930228</v>
      </c>
      <c r="DI72" s="124">
        <f t="shared" si="132"/>
        <v>0</v>
      </c>
      <c r="DJ72" s="124">
        <f t="shared" si="133"/>
        <v>0</v>
      </c>
      <c r="DK72" s="124">
        <f t="shared" si="134"/>
        <v>0</v>
      </c>
      <c r="DL72" s="124">
        <f t="shared" si="135"/>
        <v>0</v>
      </c>
      <c r="DM72" s="124">
        <f t="shared" si="136"/>
        <v>0</v>
      </c>
      <c r="DN72" s="124">
        <f t="shared" si="137"/>
        <v>0</v>
      </c>
      <c r="DO72" s="124">
        <f t="shared" si="138"/>
        <v>0</v>
      </c>
      <c r="DP72" s="124">
        <f t="shared" si="139"/>
        <v>0</v>
      </c>
      <c r="DQ72" s="124">
        <f t="shared" si="140"/>
        <v>0</v>
      </c>
      <c r="DR72" s="124">
        <f t="shared" si="141"/>
        <v>0</v>
      </c>
      <c r="DS72" s="124">
        <f t="shared" si="142"/>
        <v>0</v>
      </c>
      <c r="DT72" s="124">
        <f t="shared" si="143"/>
        <v>0</v>
      </c>
      <c r="DU72" s="124">
        <f t="shared" si="144"/>
        <v>0</v>
      </c>
      <c r="DV72" s="124">
        <f t="shared" si="145"/>
        <v>0</v>
      </c>
      <c r="DW72" s="124">
        <f t="shared" si="146"/>
        <v>0</v>
      </c>
      <c r="DX72" s="124">
        <f t="shared" si="147"/>
        <v>0</v>
      </c>
      <c r="DY72" s="124">
        <f t="shared" si="148"/>
        <v>0</v>
      </c>
      <c r="DZ72" s="124">
        <f t="shared" si="149"/>
        <v>0</v>
      </c>
      <c r="EA72" s="124">
        <f t="shared" si="150"/>
        <v>0</v>
      </c>
      <c r="EB72" s="124">
        <f t="shared" si="151"/>
        <v>0</v>
      </c>
      <c r="EC72" s="124">
        <f t="shared" si="152"/>
        <v>0</v>
      </c>
      <c r="ED72" s="124">
        <f t="shared" si="153"/>
        <v>0</v>
      </c>
      <c r="EE72" s="124">
        <f t="shared" si="154"/>
        <v>0</v>
      </c>
      <c r="EF72" s="124">
        <f t="shared" si="155"/>
        <v>0</v>
      </c>
      <c r="EG72" s="124">
        <f t="shared" si="156"/>
        <v>0</v>
      </c>
      <c r="EH72" s="124">
        <f t="shared" si="157"/>
        <v>0</v>
      </c>
      <c r="EI72" s="124">
        <f t="shared" si="158"/>
        <v>0</v>
      </c>
      <c r="EJ72" s="124">
        <f t="shared" si="159"/>
        <v>0</v>
      </c>
      <c r="EK72" s="124">
        <f t="shared" si="160"/>
        <v>0</v>
      </c>
      <c r="EL72" s="124">
        <f t="shared" si="161"/>
        <v>0</v>
      </c>
      <c r="EM72" s="124">
        <f t="shared" si="162"/>
        <v>0</v>
      </c>
      <c r="EN72" s="124">
        <f t="shared" si="163"/>
        <v>0</v>
      </c>
      <c r="EO72" s="124">
        <f t="shared" si="164"/>
        <v>0</v>
      </c>
      <c r="EP72" s="124">
        <f t="shared" si="165"/>
        <v>0</v>
      </c>
      <c r="EQ72" s="124">
        <f t="shared" si="166"/>
        <v>0</v>
      </c>
      <c r="ER72" s="124">
        <f t="shared" si="167"/>
        <v>0</v>
      </c>
      <c r="ES72" s="124">
        <f t="shared" si="168"/>
        <v>0</v>
      </c>
      <c r="ET72" s="124">
        <f t="shared" si="169"/>
        <v>0</v>
      </c>
      <c r="EU72" s="124">
        <f t="shared" si="170"/>
        <v>0</v>
      </c>
      <c r="EV72" s="124">
        <f t="shared" si="171"/>
        <v>0</v>
      </c>
      <c r="EW72" s="209">
        <f t="shared" si="172"/>
        <v>0</v>
      </c>
      <c r="EX72" s="72"/>
      <c r="EY72" s="123">
        <f t="shared" si="173"/>
        <v>1179.1467652930228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4"/>
        <v>0</v>
      </c>
    </row>
    <row r="73" spans="1:196">
      <c r="A73" s="785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78">
        <f>B76</f>
        <v>2297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0">
        <f t="shared" si="10"/>
        <v>0</v>
      </c>
      <c r="BB73" s="291">
        <f t="shared" si="11"/>
        <v>0</v>
      </c>
      <c r="BC73" s="177" t="s">
        <v>408</v>
      </c>
      <c r="BD73" s="118"/>
      <c r="BE73" s="143"/>
      <c r="BF73" s="121"/>
      <c r="BG73" s="293">
        <f t="shared" si="12"/>
        <v>0</v>
      </c>
      <c r="BH73" s="295">
        <f t="shared" si="13"/>
        <v>0</v>
      </c>
      <c r="BI73" s="178" t="s">
        <v>409</v>
      </c>
      <c r="BJ73" s="118"/>
      <c r="BK73" s="121"/>
      <c r="BL73" s="296">
        <f t="shared" si="14"/>
        <v>0</v>
      </c>
      <c r="BM73" s="297">
        <f t="shared" si="15"/>
        <v>0</v>
      </c>
      <c r="DH73" s="123">
        <f t="shared" si="131"/>
        <v>1241.2071213610766</v>
      </c>
      <c r="DI73" s="124">
        <f t="shared" si="132"/>
        <v>0</v>
      </c>
      <c r="DJ73" s="124">
        <f t="shared" si="133"/>
        <v>0</v>
      </c>
      <c r="DK73" s="124">
        <f t="shared" si="134"/>
        <v>0</v>
      </c>
      <c r="DL73" s="124">
        <f t="shared" si="135"/>
        <v>0</v>
      </c>
      <c r="DM73" s="124">
        <f t="shared" si="136"/>
        <v>0</v>
      </c>
      <c r="DN73" s="124">
        <f t="shared" si="137"/>
        <v>0</v>
      </c>
      <c r="DO73" s="124">
        <f t="shared" si="138"/>
        <v>0</v>
      </c>
      <c r="DP73" s="124">
        <f t="shared" si="139"/>
        <v>0</v>
      </c>
      <c r="DQ73" s="124">
        <f t="shared" si="140"/>
        <v>0</v>
      </c>
      <c r="DR73" s="124">
        <f t="shared" si="141"/>
        <v>0</v>
      </c>
      <c r="DS73" s="124">
        <f t="shared" si="142"/>
        <v>0</v>
      </c>
      <c r="DT73" s="124">
        <f t="shared" si="143"/>
        <v>0</v>
      </c>
      <c r="DU73" s="124">
        <f t="shared" si="144"/>
        <v>0</v>
      </c>
      <c r="DV73" s="124">
        <f t="shared" si="145"/>
        <v>0</v>
      </c>
      <c r="DW73" s="124">
        <f t="shared" si="146"/>
        <v>0</v>
      </c>
      <c r="DX73" s="124">
        <f t="shared" si="147"/>
        <v>0</v>
      </c>
      <c r="DY73" s="124">
        <f t="shared" si="148"/>
        <v>0</v>
      </c>
      <c r="DZ73" s="124">
        <f t="shared" si="149"/>
        <v>0</v>
      </c>
      <c r="EA73" s="124">
        <f t="shared" si="150"/>
        <v>0</v>
      </c>
      <c r="EB73" s="124">
        <f t="shared" si="151"/>
        <v>0</v>
      </c>
      <c r="EC73" s="124">
        <f t="shared" si="152"/>
        <v>0</v>
      </c>
      <c r="ED73" s="124">
        <f t="shared" si="153"/>
        <v>0</v>
      </c>
      <c r="EE73" s="124">
        <f t="shared" si="154"/>
        <v>0</v>
      </c>
      <c r="EF73" s="124">
        <f t="shared" si="155"/>
        <v>0</v>
      </c>
      <c r="EG73" s="124">
        <f t="shared" si="156"/>
        <v>0</v>
      </c>
      <c r="EH73" s="124">
        <f t="shared" si="157"/>
        <v>0</v>
      </c>
      <c r="EI73" s="124">
        <f t="shared" si="158"/>
        <v>0</v>
      </c>
      <c r="EJ73" s="124">
        <f t="shared" si="159"/>
        <v>0</v>
      </c>
      <c r="EK73" s="124">
        <f t="shared" si="160"/>
        <v>0</v>
      </c>
      <c r="EL73" s="124">
        <f t="shared" si="161"/>
        <v>0</v>
      </c>
      <c r="EM73" s="124">
        <f t="shared" si="162"/>
        <v>0</v>
      </c>
      <c r="EN73" s="124">
        <f t="shared" si="163"/>
        <v>0</v>
      </c>
      <c r="EO73" s="124">
        <f t="shared" si="164"/>
        <v>0</v>
      </c>
      <c r="EP73" s="124">
        <f t="shared" si="165"/>
        <v>0</v>
      </c>
      <c r="EQ73" s="124">
        <f t="shared" si="166"/>
        <v>0</v>
      </c>
      <c r="ER73" s="124">
        <f t="shared" si="167"/>
        <v>0</v>
      </c>
      <c r="ES73" s="124">
        <f t="shared" si="168"/>
        <v>0</v>
      </c>
      <c r="ET73" s="124">
        <f t="shared" si="169"/>
        <v>0</v>
      </c>
      <c r="EU73" s="124">
        <f t="shared" si="170"/>
        <v>0</v>
      </c>
      <c r="EV73" s="124">
        <f t="shared" si="171"/>
        <v>0</v>
      </c>
      <c r="EW73" s="209">
        <f t="shared" si="172"/>
        <v>0</v>
      </c>
      <c r="EX73" s="72"/>
      <c r="EY73" s="123">
        <f t="shared" si="173"/>
        <v>1241.2071213610766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4"/>
        <v>0</v>
      </c>
    </row>
    <row r="74" spans="1:196">
      <c r="A74" s="786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78">
        <f>G73</f>
        <v>2297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0">
        <f t="shared" si="10"/>
        <v>0</v>
      </c>
      <c r="BB74" s="291">
        <f t="shared" si="11"/>
        <v>0</v>
      </c>
      <c r="BC74" s="177" t="s">
        <v>408</v>
      </c>
      <c r="BD74" s="118"/>
      <c r="BE74" s="143"/>
      <c r="BF74" s="121"/>
      <c r="BG74" s="293">
        <f t="shared" si="12"/>
        <v>0</v>
      </c>
      <c r="BH74" s="295">
        <f t="shared" si="13"/>
        <v>0</v>
      </c>
      <c r="BI74" s="178" t="s">
        <v>409</v>
      </c>
      <c r="BJ74" s="118"/>
      <c r="BK74" s="121"/>
      <c r="BL74" s="296">
        <f t="shared" si="14"/>
        <v>0</v>
      </c>
      <c r="BM74" s="297">
        <f t="shared" si="15"/>
        <v>0</v>
      </c>
      <c r="DH74" s="123">
        <f t="shared" si="131"/>
        <v>1306.5338119590281</v>
      </c>
      <c r="DI74" s="124">
        <f t="shared" si="132"/>
        <v>0</v>
      </c>
      <c r="DJ74" s="124">
        <f t="shared" si="133"/>
        <v>0</v>
      </c>
      <c r="DK74" s="124">
        <f t="shared" si="134"/>
        <v>0</v>
      </c>
      <c r="DL74" s="124">
        <f t="shared" si="135"/>
        <v>0</v>
      </c>
      <c r="DM74" s="124">
        <f t="shared" si="136"/>
        <v>0</v>
      </c>
      <c r="DN74" s="124">
        <f t="shared" si="137"/>
        <v>0</v>
      </c>
      <c r="DO74" s="124">
        <f t="shared" si="138"/>
        <v>0</v>
      </c>
      <c r="DP74" s="124">
        <f t="shared" si="139"/>
        <v>0</v>
      </c>
      <c r="DQ74" s="124">
        <f t="shared" si="140"/>
        <v>0</v>
      </c>
      <c r="DR74" s="124">
        <f t="shared" si="141"/>
        <v>0</v>
      </c>
      <c r="DS74" s="124">
        <f t="shared" si="142"/>
        <v>0</v>
      </c>
      <c r="DT74" s="124">
        <f t="shared" si="143"/>
        <v>0</v>
      </c>
      <c r="DU74" s="124">
        <f t="shared" si="144"/>
        <v>0</v>
      </c>
      <c r="DV74" s="124">
        <f t="shared" si="145"/>
        <v>0</v>
      </c>
      <c r="DW74" s="124">
        <f t="shared" si="146"/>
        <v>0</v>
      </c>
      <c r="DX74" s="124">
        <f t="shared" si="147"/>
        <v>0</v>
      </c>
      <c r="DY74" s="124">
        <f t="shared" si="148"/>
        <v>0</v>
      </c>
      <c r="DZ74" s="124">
        <f t="shared" si="149"/>
        <v>0</v>
      </c>
      <c r="EA74" s="124">
        <f t="shared" si="150"/>
        <v>0</v>
      </c>
      <c r="EB74" s="124">
        <f t="shared" si="151"/>
        <v>0</v>
      </c>
      <c r="EC74" s="124">
        <f t="shared" si="152"/>
        <v>0</v>
      </c>
      <c r="ED74" s="124">
        <f t="shared" si="153"/>
        <v>0</v>
      </c>
      <c r="EE74" s="124">
        <f t="shared" si="154"/>
        <v>0</v>
      </c>
      <c r="EF74" s="124">
        <f t="shared" si="155"/>
        <v>0</v>
      </c>
      <c r="EG74" s="124">
        <f t="shared" si="156"/>
        <v>0</v>
      </c>
      <c r="EH74" s="124">
        <f t="shared" si="157"/>
        <v>0</v>
      </c>
      <c r="EI74" s="124">
        <f t="shared" si="158"/>
        <v>0</v>
      </c>
      <c r="EJ74" s="124">
        <f t="shared" si="159"/>
        <v>0</v>
      </c>
      <c r="EK74" s="124">
        <f t="shared" si="160"/>
        <v>0</v>
      </c>
      <c r="EL74" s="124">
        <f t="shared" si="161"/>
        <v>0</v>
      </c>
      <c r="EM74" s="124">
        <f t="shared" si="162"/>
        <v>0</v>
      </c>
      <c r="EN74" s="124">
        <f t="shared" si="163"/>
        <v>0</v>
      </c>
      <c r="EO74" s="124">
        <f t="shared" si="164"/>
        <v>0</v>
      </c>
      <c r="EP74" s="124">
        <f t="shared" si="165"/>
        <v>0</v>
      </c>
      <c r="EQ74" s="124">
        <f t="shared" si="166"/>
        <v>0</v>
      </c>
      <c r="ER74" s="124">
        <f t="shared" si="167"/>
        <v>0</v>
      </c>
      <c r="ES74" s="124">
        <f t="shared" si="168"/>
        <v>0</v>
      </c>
      <c r="ET74" s="124">
        <f t="shared" si="169"/>
        <v>0</v>
      </c>
      <c r="EU74" s="124">
        <f t="shared" si="170"/>
        <v>0</v>
      </c>
      <c r="EV74" s="124">
        <f t="shared" si="171"/>
        <v>0</v>
      </c>
      <c r="EW74" s="209">
        <f t="shared" si="172"/>
        <v>0</v>
      </c>
      <c r="EX74" s="72"/>
      <c r="EY74" s="123">
        <f t="shared" si="173"/>
        <v>1306.5338119590281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4"/>
        <v>0</v>
      </c>
    </row>
    <row r="75" spans="1:196" ht="13.5" thickBot="1">
      <c r="A75" s="787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79">
        <f>G74</f>
        <v>2297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0">
        <f t="shared" si="10"/>
        <v>0</v>
      </c>
      <c r="BB75" s="291">
        <f t="shared" si="11"/>
        <v>0</v>
      </c>
      <c r="BC75" s="177" t="s">
        <v>408</v>
      </c>
      <c r="BD75" s="118"/>
      <c r="BE75" s="143"/>
      <c r="BF75" s="121"/>
      <c r="BG75" s="293">
        <f t="shared" si="12"/>
        <v>0</v>
      </c>
      <c r="BH75" s="295">
        <f t="shared" si="13"/>
        <v>0</v>
      </c>
      <c r="BI75" s="178" t="s">
        <v>409</v>
      </c>
      <c r="BJ75" s="118"/>
      <c r="BK75" s="121"/>
      <c r="BL75" s="296">
        <f t="shared" si="14"/>
        <v>0</v>
      </c>
      <c r="BM75" s="297">
        <f t="shared" si="15"/>
        <v>0</v>
      </c>
      <c r="DH75" s="123">
        <f t="shared" si="131"/>
        <v>1375.298749430556</v>
      </c>
      <c r="DI75" s="124">
        <f t="shared" si="132"/>
        <v>0</v>
      </c>
      <c r="DJ75" s="124">
        <f t="shared" si="133"/>
        <v>0</v>
      </c>
      <c r="DK75" s="124">
        <f t="shared" si="134"/>
        <v>0</v>
      </c>
      <c r="DL75" s="124">
        <f t="shared" si="135"/>
        <v>0</v>
      </c>
      <c r="DM75" s="124">
        <f t="shared" si="136"/>
        <v>0</v>
      </c>
      <c r="DN75" s="124">
        <f t="shared" si="137"/>
        <v>0</v>
      </c>
      <c r="DO75" s="124">
        <f t="shared" si="138"/>
        <v>0</v>
      </c>
      <c r="DP75" s="124">
        <f t="shared" si="139"/>
        <v>0</v>
      </c>
      <c r="DQ75" s="124">
        <f t="shared" si="140"/>
        <v>0</v>
      </c>
      <c r="DR75" s="124">
        <f t="shared" si="141"/>
        <v>0</v>
      </c>
      <c r="DS75" s="124">
        <f t="shared" si="142"/>
        <v>0</v>
      </c>
      <c r="DT75" s="124">
        <f t="shared" si="143"/>
        <v>0</v>
      </c>
      <c r="DU75" s="124">
        <f t="shared" si="144"/>
        <v>0</v>
      </c>
      <c r="DV75" s="124">
        <f t="shared" si="145"/>
        <v>0</v>
      </c>
      <c r="DW75" s="124">
        <f t="shared" si="146"/>
        <v>0</v>
      </c>
      <c r="DX75" s="124">
        <f t="shared" si="147"/>
        <v>0</v>
      </c>
      <c r="DY75" s="124">
        <f t="shared" si="148"/>
        <v>0</v>
      </c>
      <c r="DZ75" s="124">
        <f t="shared" si="149"/>
        <v>0</v>
      </c>
      <c r="EA75" s="124">
        <f t="shared" si="150"/>
        <v>0</v>
      </c>
      <c r="EB75" s="124">
        <f t="shared" si="151"/>
        <v>0</v>
      </c>
      <c r="EC75" s="124">
        <f t="shared" si="152"/>
        <v>0</v>
      </c>
      <c r="ED75" s="124">
        <f t="shared" si="153"/>
        <v>0</v>
      </c>
      <c r="EE75" s="124">
        <f t="shared" si="154"/>
        <v>0</v>
      </c>
      <c r="EF75" s="124">
        <f t="shared" si="155"/>
        <v>0</v>
      </c>
      <c r="EG75" s="124">
        <f t="shared" si="156"/>
        <v>0</v>
      </c>
      <c r="EH75" s="124">
        <f t="shared" si="157"/>
        <v>0</v>
      </c>
      <c r="EI75" s="124">
        <f t="shared" si="158"/>
        <v>0</v>
      </c>
      <c r="EJ75" s="124">
        <f t="shared" si="159"/>
        <v>0</v>
      </c>
      <c r="EK75" s="124">
        <f t="shared" si="160"/>
        <v>0</v>
      </c>
      <c r="EL75" s="124">
        <f t="shared" si="161"/>
        <v>0</v>
      </c>
      <c r="EM75" s="124">
        <f t="shared" si="162"/>
        <v>0</v>
      </c>
      <c r="EN75" s="124">
        <f t="shared" si="163"/>
        <v>0</v>
      </c>
      <c r="EO75" s="124">
        <f t="shared" si="164"/>
        <v>0</v>
      </c>
      <c r="EP75" s="124">
        <f t="shared" si="165"/>
        <v>0</v>
      </c>
      <c r="EQ75" s="124">
        <f t="shared" si="166"/>
        <v>0</v>
      </c>
      <c r="ER75" s="124">
        <f t="shared" si="167"/>
        <v>0</v>
      </c>
      <c r="ES75" s="124">
        <f t="shared" si="168"/>
        <v>0</v>
      </c>
      <c r="ET75" s="124">
        <f t="shared" si="169"/>
        <v>0</v>
      </c>
      <c r="EU75" s="124">
        <f t="shared" si="170"/>
        <v>0</v>
      </c>
      <c r="EV75" s="124">
        <f t="shared" si="171"/>
        <v>0</v>
      </c>
      <c r="EW75" s="209">
        <f t="shared" si="172"/>
        <v>0</v>
      </c>
      <c r="EX75" s="72"/>
      <c r="EY75" s="123">
        <f t="shared" si="173"/>
        <v>1375.298749430556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4"/>
        <v>0</v>
      </c>
    </row>
    <row r="76" spans="1:196" ht="13.5" thickBot="1">
      <c r="A76" s="227" t="s">
        <v>466</v>
      </c>
      <c r="B76" s="280">
        <f>IFERROR(VLOOKUP("GGAL - 48hs",HomeBroker!$A$22:$F$100,6,0),0)</f>
        <v>2297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0">
        <f t="shared" si="10"/>
        <v>0</v>
      </c>
      <c r="BB76" s="291">
        <f t="shared" si="11"/>
        <v>0</v>
      </c>
      <c r="BC76" s="177" t="s">
        <v>408</v>
      </c>
      <c r="BD76" s="118"/>
      <c r="BE76" s="143"/>
      <c r="BF76" s="121"/>
      <c r="BG76" s="293">
        <f t="shared" si="12"/>
        <v>0</v>
      </c>
      <c r="BH76" s="295">
        <f t="shared" si="13"/>
        <v>0</v>
      </c>
      <c r="BI76" s="178" t="s">
        <v>409</v>
      </c>
      <c r="BJ76" s="118"/>
      <c r="BK76" s="121"/>
      <c r="BL76" s="296">
        <f t="shared" si="14"/>
        <v>0</v>
      </c>
      <c r="BM76" s="297">
        <f t="shared" si="15"/>
        <v>0</v>
      </c>
      <c r="DH76" s="123">
        <f t="shared" si="131"/>
        <v>1447.6828941374274</v>
      </c>
      <c r="DI76" s="124">
        <f t="shared" si="132"/>
        <v>0</v>
      </c>
      <c r="DJ76" s="124">
        <f t="shared" si="133"/>
        <v>0</v>
      </c>
      <c r="DK76" s="124">
        <f t="shared" si="134"/>
        <v>0</v>
      </c>
      <c r="DL76" s="124">
        <f t="shared" si="135"/>
        <v>0</v>
      </c>
      <c r="DM76" s="124">
        <f t="shared" si="136"/>
        <v>0</v>
      </c>
      <c r="DN76" s="124">
        <f t="shared" si="137"/>
        <v>0</v>
      </c>
      <c r="DO76" s="124">
        <f t="shared" si="138"/>
        <v>0</v>
      </c>
      <c r="DP76" s="124">
        <f t="shared" si="139"/>
        <v>0</v>
      </c>
      <c r="DQ76" s="124">
        <f t="shared" si="140"/>
        <v>0</v>
      </c>
      <c r="DR76" s="124">
        <f t="shared" si="141"/>
        <v>0</v>
      </c>
      <c r="DS76" s="124">
        <f t="shared" si="142"/>
        <v>0</v>
      </c>
      <c r="DT76" s="124">
        <f t="shared" si="143"/>
        <v>0</v>
      </c>
      <c r="DU76" s="124">
        <f t="shared" si="144"/>
        <v>0</v>
      </c>
      <c r="DV76" s="124">
        <f t="shared" si="145"/>
        <v>0</v>
      </c>
      <c r="DW76" s="124">
        <f t="shared" si="146"/>
        <v>0</v>
      </c>
      <c r="DX76" s="124">
        <f t="shared" si="147"/>
        <v>0</v>
      </c>
      <c r="DY76" s="124">
        <f t="shared" si="148"/>
        <v>0</v>
      </c>
      <c r="DZ76" s="124">
        <f t="shared" si="149"/>
        <v>0</v>
      </c>
      <c r="EA76" s="124">
        <f t="shared" si="150"/>
        <v>0</v>
      </c>
      <c r="EB76" s="124">
        <f t="shared" si="151"/>
        <v>0</v>
      </c>
      <c r="EC76" s="124">
        <f t="shared" si="152"/>
        <v>0</v>
      </c>
      <c r="ED76" s="124">
        <f t="shared" si="153"/>
        <v>0</v>
      </c>
      <c r="EE76" s="124">
        <f t="shared" si="154"/>
        <v>0</v>
      </c>
      <c r="EF76" s="124">
        <f t="shared" si="155"/>
        <v>0</v>
      </c>
      <c r="EG76" s="124">
        <f t="shared" si="156"/>
        <v>0</v>
      </c>
      <c r="EH76" s="124">
        <f t="shared" si="157"/>
        <v>0</v>
      </c>
      <c r="EI76" s="124">
        <f t="shared" si="158"/>
        <v>0</v>
      </c>
      <c r="EJ76" s="124">
        <f t="shared" si="159"/>
        <v>0</v>
      </c>
      <c r="EK76" s="124">
        <f t="shared" si="160"/>
        <v>0</v>
      </c>
      <c r="EL76" s="124">
        <f t="shared" si="161"/>
        <v>0</v>
      </c>
      <c r="EM76" s="124">
        <f t="shared" si="162"/>
        <v>0</v>
      </c>
      <c r="EN76" s="124">
        <f t="shared" si="163"/>
        <v>0</v>
      </c>
      <c r="EO76" s="124">
        <f t="shared" si="164"/>
        <v>0</v>
      </c>
      <c r="EP76" s="124">
        <f t="shared" si="165"/>
        <v>0</v>
      </c>
      <c r="EQ76" s="124">
        <f t="shared" si="166"/>
        <v>0</v>
      </c>
      <c r="ER76" s="124">
        <f t="shared" si="167"/>
        <v>0</v>
      </c>
      <c r="ES76" s="124">
        <f t="shared" si="168"/>
        <v>0</v>
      </c>
      <c r="ET76" s="124">
        <f t="shared" si="169"/>
        <v>0</v>
      </c>
      <c r="EU76" s="124">
        <f t="shared" si="170"/>
        <v>0</v>
      </c>
      <c r="EV76" s="124">
        <f t="shared" si="171"/>
        <v>0</v>
      </c>
      <c r="EW76" s="209">
        <f t="shared" si="172"/>
        <v>0</v>
      </c>
      <c r="EX76" s="72"/>
      <c r="EY76" s="123">
        <f t="shared" si="173"/>
        <v>1447.6828941374274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4"/>
        <v>0</v>
      </c>
    </row>
    <row r="77" spans="1:196">
      <c r="DH77" s="123">
        <f t="shared" si="131"/>
        <v>1523.8767306709763</v>
      </c>
      <c r="DI77" s="124">
        <f t="shared" si="132"/>
        <v>0</v>
      </c>
      <c r="DJ77" s="124">
        <f t="shared" si="133"/>
        <v>0</v>
      </c>
      <c r="DK77" s="124">
        <f t="shared" si="134"/>
        <v>0</v>
      </c>
      <c r="DL77" s="124">
        <f t="shared" si="135"/>
        <v>0</v>
      </c>
      <c r="DM77" s="124">
        <f t="shared" si="136"/>
        <v>0</v>
      </c>
      <c r="DN77" s="124">
        <f t="shared" si="137"/>
        <v>0</v>
      </c>
      <c r="DO77" s="124">
        <f t="shared" si="138"/>
        <v>0</v>
      </c>
      <c r="DP77" s="124">
        <f t="shared" si="139"/>
        <v>0</v>
      </c>
      <c r="DQ77" s="124">
        <f t="shared" si="140"/>
        <v>0</v>
      </c>
      <c r="DR77" s="124">
        <f t="shared" si="141"/>
        <v>0</v>
      </c>
      <c r="DS77" s="124">
        <f t="shared" si="142"/>
        <v>0</v>
      </c>
      <c r="DT77" s="124">
        <f t="shared" si="143"/>
        <v>0</v>
      </c>
      <c r="DU77" s="124">
        <f t="shared" si="144"/>
        <v>0</v>
      </c>
      <c r="DV77" s="124">
        <f t="shared" si="145"/>
        <v>0</v>
      </c>
      <c r="DW77" s="124">
        <f t="shared" si="146"/>
        <v>0</v>
      </c>
      <c r="DX77" s="124">
        <f t="shared" si="147"/>
        <v>0</v>
      </c>
      <c r="DY77" s="124">
        <f t="shared" si="148"/>
        <v>0</v>
      </c>
      <c r="DZ77" s="124">
        <f t="shared" si="149"/>
        <v>0</v>
      </c>
      <c r="EA77" s="124">
        <f t="shared" si="150"/>
        <v>0</v>
      </c>
      <c r="EB77" s="124">
        <f t="shared" si="151"/>
        <v>0</v>
      </c>
      <c r="EC77" s="124">
        <f t="shared" si="152"/>
        <v>0</v>
      </c>
      <c r="ED77" s="124">
        <f t="shared" si="153"/>
        <v>0</v>
      </c>
      <c r="EE77" s="124">
        <f t="shared" si="154"/>
        <v>0</v>
      </c>
      <c r="EF77" s="124">
        <f t="shared" si="155"/>
        <v>0</v>
      </c>
      <c r="EG77" s="124">
        <f t="shared" si="156"/>
        <v>0</v>
      </c>
      <c r="EH77" s="124">
        <f t="shared" si="157"/>
        <v>0</v>
      </c>
      <c r="EI77" s="124">
        <f t="shared" si="158"/>
        <v>0</v>
      </c>
      <c r="EJ77" s="124">
        <f t="shared" si="159"/>
        <v>0</v>
      </c>
      <c r="EK77" s="124">
        <f t="shared" si="160"/>
        <v>0</v>
      </c>
      <c r="EL77" s="124">
        <f t="shared" si="161"/>
        <v>0</v>
      </c>
      <c r="EM77" s="124">
        <f t="shared" si="162"/>
        <v>0</v>
      </c>
      <c r="EN77" s="124">
        <f t="shared" si="163"/>
        <v>0</v>
      </c>
      <c r="EO77" s="124">
        <f t="shared" si="164"/>
        <v>0</v>
      </c>
      <c r="EP77" s="124">
        <f t="shared" si="165"/>
        <v>0</v>
      </c>
      <c r="EQ77" s="124">
        <f t="shared" si="166"/>
        <v>0</v>
      </c>
      <c r="ER77" s="124">
        <f t="shared" si="167"/>
        <v>0</v>
      </c>
      <c r="ES77" s="124">
        <f t="shared" si="168"/>
        <v>0</v>
      </c>
      <c r="ET77" s="124">
        <f t="shared" si="169"/>
        <v>0</v>
      </c>
      <c r="EU77" s="124">
        <f t="shared" si="170"/>
        <v>0</v>
      </c>
      <c r="EV77" s="124">
        <f t="shared" si="171"/>
        <v>0</v>
      </c>
      <c r="EW77" s="209">
        <f t="shared" si="172"/>
        <v>0</v>
      </c>
      <c r="EX77" s="72"/>
      <c r="EY77" s="123">
        <f t="shared" si="173"/>
        <v>1523.8767306709763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4"/>
        <v>0</v>
      </c>
    </row>
    <row r="78" spans="1:196">
      <c r="DH78" s="123">
        <f t="shared" si="131"/>
        <v>1604.0807691273435</v>
      </c>
      <c r="DI78" s="124">
        <f t="shared" si="132"/>
        <v>0</v>
      </c>
      <c r="DJ78" s="124">
        <f t="shared" si="133"/>
        <v>0</v>
      </c>
      <c r="DK78" s="124">
        <f t="shared" si="134"/>
        <v>0</v>
      </c>
      <c r="DL78" s="124">
        <f t="shared" si="135"/>
        <v>0</v>
      </c>
      <c r="DM78" s="124">
        <f t="shared" si="136"/>
        <v>0</v>
      </c>
      <c r="DN78" s="124">
        <f t="shared" si="137"/>
        <v>0</v>
      </c>
      <c r="DO78" s="124">
        <f t="shared" si="138"/>
        <v>0</v>
      </c>
      <c r="DP78" s="124">
        <f t="shared" si="139"/>
        <v>0</v>
      </c>
      <c r="DQ78" s="124">
        <f t="shared" si="140"/>
        <v>0</v>
      </c>
      <c r="DR78" s="124">
        <f t="shared" si="141"/>
        <v>0</v>
      </c>
      <c r="DS78" s="124">
        <f t="shared" si="142"/>
        <v>0</v>
      </c>
      <c r="DT78" s="124">
        <f t="shared" si="143"/>
        <v>0</v>
      </c>
      <c r="DU78" s="124">
        <f t="shared" si="144"/>
        <v>0</v>
      </c>
      <c r="DV78" s="124">
        <f t="shared" si="145"/>
        <v>0</v>
      </c>
      <c r="DW78" s="124">
        <f t="shared" si="146"/>
        <v>0</v>
      </c>
      <c r="DX78" s="124">
        <f t="shared" si="147"/>
        <v>0</v>
      </c>
      <c r="DY78" s="124">
        <f t="shared" si="148"/>
        <v>0</v>
      </c>
      <c r="DZ78" s="124">
        <f t="shared" si="149"/>
        <v>0</v>
      </c>
      <c r="EA78" s="124">
        <f t="shared" si="150"/>
        <v>0</v>
      </c>
      <c r="EB78" s="124">
        <f t="shared" si="151"/>
        <v>0</v>
      </c>
      <c r="EC78" s="124">
        <f t="shared" si="152"/>
        <v>0</v>
      </c>
      <c r="ED78" s="124">
        <f t="shared" si="153"/>
        <v>0</v>
      </c>
      <c r="EE78" s="124">
        <f t="shared" si="154"/>
        <v>0</v>
      </c>
      <c r="EF78" s="124">
        <f t="shared" si="155"/>
        <v>0</v>
      </c>
      <c r="EG78" s="124">
        <f t="shared" si="156"/>
        <v>0</v>
      </c>
      <c r="EH78" s="124">
        <f t="shared" si="157"/>
        <v>0</v>
      </c>
      <c r="EI78" s="124">
        <f t="shared" si="158"/>
        <v>0</v>
      </c>
      <c r="EJ78" s="124">
        <f t="shared" si="159"/>
        <v>0</v>
      </c>
      <c r="EK78" s="124">
        <f t="shared" si="160"/>
        <v>0</v>
      </c>
      <c r="EL78" s="124">
        <f t="shared" si="161"/>
        <v>0</v>
      </c>
      <c r="EM78" s="124">
        <f t="shared" si="162"/>
        <v>0</v>
      </c>
      <c r="EN78" s="124">
        <f t="shared" si="163"/>
        <v>0</v>
      </c>
      <c r="EO78" s="124">
        <f t="shared" si="164"/>
        <v>0</v>
      </c>
      <c r="EP78" s="124">
        <f t="shared" si="165"/>
        <v>0</v>
      </c>
      <c r="EQ78" s="124">
        <f t="shared" si="166"/>
        <v>0</v>
      </c>
      <c r="ER78" s="124">
        <f t="shared" si="167"/>
        <v>0</v>
      </c>
      <c r="ES78" s="124">
        <f t="shared" si="168"/>
        <v>0</v>
      </c>
      <c r="ET78" s="124">
        <f t="shared" si="169"/>
        <v>0</v>
      </c>
      <c r="EU78" s="124">
        <f t="shared" si="170"/>
        <v>0</v>
      </c>
      <c r="EV78" s="124">
        <f t="shared" si="171"/>
        <v>0</v>
      </c>
      <c r="EW78" s="209">
        <f t="shared" si="172"/>
        <v>0</v>
      </c>
      <c r="EX78" s="72"/>
      <c r="EY78" s="123">
        <f t="shared" si="173"/>
        <v>1604.0807691273435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4"/>
        <v>0</v>
      </c>
    </row>
    <row r="79" spans="1:196">
      <c r="DH79" s="123">
        <f t="shared" si="131"/>
        <v>1688.5060727656248</v>
      </c>
      <c r="DI79" s="124">
        <f t="shared" si="132"/>
        <v>0</v>
      </c>
      <c r="DJ79" s="124">
        <f t="shared" si="133"/>
        <v>0</v>
      </c>
      <c r="DK79" s="124">
        <f t="shared" si="134"/>
        <v>0</v>
      </c>
      <c r="DL79" s="124">
        <f t="shared" si="135"/>
        <v>0</v>
      </c>
      <c r="DM79" s="124">
        <f t="shared" si="136"/>
        <v>0</v>
      </c>
      <c r="DN79" s="124">
        <f t="shared" si="137"/>
        <v>0</v>
      </c>
      <c r="DO79" s="124">
        <f t="shared" si="138"/>
        <v>0</v>
      </c>
      <c r="DP79" s="124">
        <f t="shared" si="139"/>
        <v>0</v>
      </c>
      <c r="DQ79" s="124">
        <f t="shared" si="140"/>
        <v>0</v>
      </c>
      <c r="DR79" s="124">
        <f t="shared" si="141"/>
        <v>0</v>
      </c>
      <c r="DS79" s="124">
        <f t="shared" si="142"/>
        <v>0</v>
      </c>
      <c r="DT79" s="124">
        <f t="shared" si="143"/>
        <v>0</v>
      </c>
      <c r="DU79" s="124">
        <f t="shared" si="144"/>
        <v>0</v>
      </c>
      <c r="DV79" s="124">
        <f t="shared" si="145"/>
        <v>0</v>
      </c>
      <c r="DW79" s="124">
        <f t="shared" si="146"/>
        <v>0</v>
      </c>
      <c r="DX79" s="124">
        <f t="shared" si="147"/>
        <v>0</v>
      </c>
      <c r="DY79" s="124">
        <f t="shared" si="148"/>
        <v>0</v>
      </c>
      <c r="DZ79" s="124">
        <f t="shared" si="149"/>
        <v>0</v>
      </c>
      <c r="EA79" s="124">
        <f t="shared" si="150"/>
        <v>0</v>
      </c>
      <c r="EB79" s="124">
        <f t="shared" si="151"/>
        <v>0</v>
      </c>
      <c r="EC79" s="124">
        <f t="shared" si="152"/>
        <v>0</v>
      </c>
      <c r="ED79" s="124">
        <f t="shared" si="153"/>
        <v>0</v>
      </c>
      <c r="EE79" s="124">
        <f t="shared" si="154"/>
        <v>0</v>
      </c>
      <c r="EF79" s="124">
        <f t="shared" si="155"/>
        <v>0</v>
      </c>
      <c r="EG79" s="124">
        <f t="shared" si="156"/>
        <v>0</v>
      </c>
      <c r="EH79" s="124">
        <f t="shared" si="157"/>
        <v>0</v>
      </c>
      <c r="EI79" s="124">
        <f t="shared" si="158"/>
        <v>0</v>
      </c>
      <c r="EJ79" s="124">
        <f t="shared" si="159"/>
        <v>0</v>
      </c>
      <c r="EK79" s="124">
        <f t="shared" si="160"/>
        <v>0</v>
      </c>
      <c r="EL79" s="124">
        <f t="shared" si="161"/>
        <v>0</v>
      </c>
      <c r="EM79" s="124">
        <f t="shared" si="162"/>
        <v>0</v>
      </c>
      <c r="EN79" s="124">
        <f t="shared" si="163"/>
        <v>0</v>
      </c>
      <c r="EO79" s="124">
        <f t="shared" si="164"/>
        <v>0</v>
      </c>
      <c r="EP79" s="124">
        <f t="shared" si="165"/>
        <v>0</v>
      </c>
      <c r="EQ79" s="124">
        <f t="shared" si="166"/>
        <v>0</v>
      </c>
      <c r="ER79" s="124">
        <f t="shared" si="167"/>
        <v>0</v>
      </c>
      <c r="ES79" s="124">
        <f t="shared" si="168"/>
        <v>0</v>
      </c>
      <c r="ET79" s="124">
        <f t="shared" si="169"/>
        <v>0</v>
      </c>
      <c r="EU79" s="124">
        <f t="shared" si="170"/>
        <v>0</v>
      </c>
      <c r="EV79" s="124">
        <f t="shared" si="171"/>
        <v>0</v>
      </c>
      <c r="EW79" s="209">
        <f t="shared" si="172"/>
        <v>0</v>
      </c>
      <c r="EX79" s="72"/>
      <c r="EY79" s="123">
        <f t="shared" si="173"/>
        <v>1688.5060727656248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4"/>
        <v>0</v>
      </c>
    </row>
    <row r="80" spans="1:196">
      <c r="DH80" s="123">
        <f t="shared" si="131"/>
        <v>1777.3748134374998</v>
      </c>
      <c r="DI80" s="124">
        <f t="shared" si="132"/>
        <v>0</v>
      </c>
      <c r="DJ80" s="124">
        <f t="shared" si="133"/>
        <v>0</v>
      </c>
      <c r="DK80" s="124">
        <f t="shared" si="134"/>
        <v>0</v>
      </c>
      <c r="DL80" s="124">
        <f t="shared" si="135"/>
        <v>0</v>
      </c>
      <c r="DM80" s="124">
        <f t="shared" si="136"/>
        <v>0</v>
      </c>
      <c r="DN80" s="124">
        <f t="shared" si="137"/>
        <v>0</v>
      </c>
      <c r="DO80" s="124">
        <f t="shared" si="138"/>
        <v>0</v>
      </c>
      <c r="DP80" s="124">
        <f t="shared" si="139"/>
        <v>0</v>
      </c>
      <c r="DQ80" s="124">
        <f t="shared" si="140"/>
        <v>0</v>
      </c>
      <c r="DR80" s="124">
        <f t="shared" si="141"/>
        <v>0</v>
      </c>
      <c r="DS80" s="124">
        <f t="shared" si="142"/>
        <v>0</v>
      </c>
      <c r="DT80" s="124">
        <f t="shared" si="143"/>
        <v>0</v>
      </c>
      <c r="DU80" s="124">
        <f t="shared" si="144"/>
        <v>0</v>
      </c>
      <c r="DV80" s="124">
        <f t="shared" si="145"/>
        <v>0</v>
      </c>
      <c r="DW80" s="124">
        <f t="shared" si="146"/>
        <v>0</v>
      </c>
      <c r="DX80" s="124">
        <f t="shared" si="147"/>
        <v>0</v>
      </c>
      <c r="DY80" s="124">
        <f t="shared" si="148"/>
        <v>0</v>
      </c>
      <c r="DZ80" s="124">
        <f t="shared" si="149"/>
        <v>0</v>
      </c>
      <c r="EA80" s="124">
        <f t="shared" si="150"/>
        <v>0</v>
      </c>
      <c r="EB80" s="124">
        <f t="shared" si="151"/>
        <v>0</v>
      </c>
      <c r="EC80" s="124">
        <f t="shared" si="152"/>
        <v>0</v>
      </c>
      <c r="ED80" s="124">
        <f t="shared" si="153"/>
        <v>0</v>
      </c>
      <c r="EE80" s="124">
        <f t="shared" si="154"/>
        <v>0</v>
      </c>
      <c r="EF80" s="124">
        <f t="shared" si="155"/>
        <v>0</v>
      </c>
      <c r="EG80" s="124">
        <f t="shared" si="156"/>
        <v>0</v>
      </c>
      <c r="EH80" s="124">
        <f t="shared" si="157"/>
        <v>0</v>
      </c>
      <c r="EI80" s="124">
        <f t="shared" si="158"/>
        <v>0</v>
      </c>
      <c r="EJ80" s="124">
        <f t="shared" si="159"/>
        <v>0</v>
      </c>
      <c r="EK80" s="124">
        <f t="shared" si="160"/>
        <v>0</v>
      </c>
      <c r="EL80" s="124">
        <f t="shared" si="161"/>
        <v>0</v>
      </c>
      <c r="EM80" s="124">
        <f t="shared" si="162"/>
        <v>0</v>
      </c>
      <c r="EN80" s="124">
        <f t="shared" si="163"/>
        <v>0</v>
      </c>
      <c r="EO80" s="124">
        <f t="shared" si="164"/>
        <v>0</v>
      </c>
      <c r="EP80" s="124">
        <f t="shared" si="165"/>
        <v>0</v>
      </c>
      <c r="EQ80" s="124">
        <f t="shared" si="166"/>
        <v>0</v>
      </c>
      <c r="ER80" s="124">
        <f t="shared" si="167"/>
        <v>0</v>
      </c>
      <c r="ES80" s="124">
        <f t="shared" si="168"/>
        <v>0</v>
      </c>
      <c r="ET80" s="124">
        <f t="shared" si="169"/>
        <v>0</v>
      </c>
      <c r="EU80" s="124">
        <f t="shared" si="170"/>
        <v>0</v>
      </c>
      <c r="EV80" s="124">
        <f t="shared" si="171"/>
        <v>0</v>
      </c>
      <c r="EW80" s="209">
        <f t="shared" si="172"/>
        <v>0</v>
      </c>
      <c r="EX80" s="72"/>
      <c r="EY80" s="123">
        <f t="shared" si="173"/>
        <v>1777.3748134374998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4"/>
        <v>0</v>
      </c>
    </row>
    <row r="81" spans="112:196">
      <c r="DH81" s="123">
        <f t="shared" si="131"/>
        <v>1870.9208562499998</v>
      </c>
      <c r="DI81" s="124">
        <f t="shared" si="132"/>
        <v>0</v>
      </c>
      <c r="DJ81" s="124">
        <f t="shared" si="133"/>
        <v>0</v>
      </c>
      <c r="DK81" s="124">
        <f t="shared" si="134"/>
        <v>0</v>
      </c>
      <c r="DL81" s="124">
        <f t="shared" si="135"/>
        <v>0</v>
      </c>
      <c r="DM81" s="124">
        <f t="shared" si="136"/>
        <v>0</v>
      </c>
      <c r="DN81" s="124">
        <f t="shared" si="137"/>
        <v>0</v>
      </c>
      <c r="DO81" s="124">
        <f t="shared" si="138"/>
        <v>0</v>
      </c>
      <c r="DP81" s="124">
        <f t="shared" si="139"/>
        <v>0</v>
      </c>
      <c r="DQ81" s="124">
        <f t="shared" si="140"/>
        <v>0</v>
      </c>
      <c r="DR81" s="124">
        <f t="shared" si="141"/>
        <v>0</v>
      </c>
      <c r="DS81" s="124">
        <f t="shared" si="142"/>
        <v>0</v>
      </c>
      <c r="DT81" s="124">
        <f t="shared" si="143"/>
        <v>0</v>
      </c>
      <c r="DU81" s="124">
        <f t="shared" si="144"/>
        <v>0</v>
      </c>
      <c r="DV81" s="124">
        <f t="shared" si="145"/>
        <v>0</v>
      </c>
      <c r="DW81" s="124">
        <f t="shared" si="146"/>
        <v>0</v>
      </c>
      <c r="DX81" s="124">
        <f t="shared" si="147"/>
        <v>0</v>
      </c>
      <c r="DY81" s="124">
        <f t="shared" si="148"/>
        <v>0</v>
      </c>
      <c r="DZ81" s="124">
        <f t="shared" si="149"/>
        <v>0</v>
      </c>
      <c r="EA81" s="124">
        <f t="shared" si="150"/>
        <v>0</v>
      </c>
      <c r="EB81" s="124">
        <f t="shared" si="151"/>
        <v>0</v>
      </c>
      <c r="EC81" s="124">
        <f t="shared" si="152"/>
        <v>0</v>
      </c>
      <c r="ED81" s="124">
        <f t="shared" si="153"/>
        <v>0</v>
      </c>
      <c r="EE81" s="124">
        <f t="shared" si="154"/>
        <v>0</v>
      </c>
      <c r="EF81" s="124">
        <f t="shared" si="155"/>
        <v>0</v>
      </c>
      <c r="EG81" s="124">
        <f t="shared" si="156"/>
        <v>0</v>
      </c>
      <c r="EH81" s="124">
        <f t="shared" si="157"/>
        <v>0</v>
      </c>
      <c r="EI81" s="124">
        <f t="shared" si="158"/>
        <v>0</v>
      </c>
      <c r="EJ81" s="124">
        <f t="shared" si="159"/>
        <v>0</v>
      </c>
      <c r="EK81" s="124">
        <f t="shared" si="160"/>
        <v>0</v>
      </c>
      <c r="EL81" s="124">
        <f t="shared" si="161"/>
        <v>0</v>
      </c>
      <c r="EM81" s="124">
        <f t="shared" si="162"/>
        <v>0</v>
      </c>
      <c r="EN81" s="124">
        <f t="shared" si="163"/>
        <v>0</v>
      </c>
      <c r="EO81" s="124">
        <f t="shared" si="164"/>
        <v>0</v>
      </c>
      <c r="EP81" s="124">
        <f t="shared" si="165"/>
        <v>0</v>
      </c>
      <c r="EQ81" s="124">
        <f t="shared" si="166"/>
        <v>0</v>
      </c>
      <c r="ER81" s="124">
        <f t="shared" si="167"/>
        <v>0</v>
      </c>
      <c r="ES81" s="124">
        <f t="shared" si="168"/>
        <v>0</v>
      </c>
      <c r="ET81" s="124">
        <f t="shared" si="169"/>
        <v>0</v>
      </c>
      <c r="EU81" s="124">
        <f t="shared" si="170"/>
        <v>0</v>
      </c>
      <c r="EV81" s="124">
        <f t="shared" si="171"/>
        <v>0</v>
      </c>
      <c r="EW81" s="209">
        <f t="shared" si="172"/>
        <v>0</v>
      </c>
      <c r="EX81" s="72"/>
      <c r="EY81" s="123">
        <f t="shared" si="173"/>
        <v>1870.9208562499998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4"/>
        <v>0</v>
      </c>
    </row>
    <row r="82" spans="112:196">
      <c r="DH82" s="123">
        <f t="shared" si="131"/>
        <v>1969.3903749999999</v>
      </c>
      <c r="DI82" s="124">
        <f t="shared" si="132"/>
        <v>0</v>
      </c>
      <c r="DJ82" s="124">
        <f t="shared" si="133"/>
        <v>0</v>
      </c>
      <c r="DK82" s="124">
        <f t="shared" si="134"/>
        <v>0</v>
      </c>
      <c r="DL82" s="124">
        <f t="shared" si="135"/>
        <v>0</v>
      </c>
      <c r="DM82" s="124">
        <f t="shared" si="136"/>
        <v>0</v>
      </c>
      <c r="DN82" s="124">
        <f t="shared" si="137"/>
        <v>0</v>
      </c>
      <c r="DO82" s="124">
        <f t="shared" si="138"/>
        <v>0</v>
      </c>
      <c r="DP82" s="124">
        <f t="shared" si="139"/>
        <v>0</v>
      </c>
      <c r="DQ82" s="124">
        <f t="shared" si="140"/>
        <v>0</v>
      </c>
      <c r="DR82" s="124">
        <f t="shared" si="141"/>
        <v>0</v>
      </c>
      <c r="DS82" s="124">
        <f t="shared" si="142"/>
        <v>0</v>
      </c>
      <c r="DT82" s="124">
        <f t="shared" si="143"/>
        <v>0</v>
      </c>
      <c r="DU82" s="124">
        <f t="shared" si="144"/>
        <v>0</v>
      </c>
      <c r="DV82" s="124">
        <f t="shared" si="145"/>
        <v>0</v>
      </c>
      <c r="DW82" s="124">
        <f t="shared" si="146"/>
        <v>0</v>
      </c>
      <c r="DX82" s="124">
        <f t="shared" si="147"/>
        <v>0</v>
      </c>
      <c r="DY82" s="124">
        <f t="shared" si="148"/>
        <v>0</v>
      </c>
      <c r="DZ82" s="124">
        <f t="shared" si="149"/>
        <v>0</v>
      </c>
      <c r="EA82" s="124">
        <f t="shared" si="150"/>
        <v>0</v>
      </c>
      <c r="EB82" s="124">
        <f t="shared" si="151"/>
        <v>0</v>
      </c>
      <c r="EC82" s="124">
        <f t="shared" si="152"/>
        <v>0</v>
      </c>
      <c r="ED82" s="124">
        <f t="shared" si="153"/>
        <v>0</v>
      </c>
      <c r="EE82" s="124">
        <f t="shared" si="154"/>
        <v>0</v>
      </c>
      <c r="EF82" s="124">
        <f t="shared" si="155"/>
        <v>0</v>
      </c>
      <c r="EG82" s="124">
        <f t="shared" si="156"/>
        <v>0</v>
      </c>
      <c r="EH82" s="124">
        <f t="shared" si="157"/>
        <v>0</v>
      </c>
      <c r="EI82" s="124">
        <f t="shared" si="158"/>
        <v>0</v>
      </c>
      <c r="EJ82" s="124">
        <f t="shared" si="159"/>
        <v>0</v>
      </c>
      <c r="EK82" s="124">
        <f t="shared" si="160"/>
        <v>0</v>
      </c>
      <c r="EL82" s="124">
        <f t="shared" si="161"/>
        <v>0</v>
      </c>
      <c r="EM82" s="124">
        <f t="shared" si="162"/>
        <v>0</v>
      </c>
      <c r="EN82" s="124">
        <f t="shared" si="163"/>
        <v>0</v>
      </c>
      <c r="EO82" s="124">
        <f t="shared" si="164"/>
        <v>0</v>
      </c>
      <c r="EP82" s="124">
        <f t="shared" si="165"/>
        <v>0</v>
      </c>
      <c r="EQ82" s="124">
        <f t="shared" si="166"/>
        <v>0</v>
      </c>
      <c r="ER82" s="124">
        <f t="shared" si="167"/>
        <v>0</v>
      </c>
      <c r="ES82" s="124">
        <f t="shared" si="168"/>
        <v>0</v>
      </c>
      <c r="ET82" s="124">
        <f t="shared" si="169"/>
        <v>0</v>
      </c>
      <c r="EU82" s="124">
        <f t="shared" si="170"/>
        <v>0</v>
      </c>
      <c r="EV82" s="124">
        <f t="shared" si="171"/>
        <v>0</v>
      </c>
      <c r="EW82" s="209">
        <f t="shared" si="172"/>
        <v>0</v>
      </c>
      <c r="EX82" s="72"/>
      <c r="EY82" s="123">
        <f t="shared" si="173"/>
        <v>1969.3903749999999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4"/>
        <v>0</v>
      </c>
    </row>
    <row r="83" spans="112:196">
      <c r="DH83" s="123">
        <f t="shared" si="131"/>
        <v>2073.0425</v>
      </c>
      <c r="DI83" s="124">
        <f t="shared" si="132"/>
        <v>0</v>
      </c>
      <c r="DJ83" s="124">
        <f t="shared" si="133"/>
        <v>0</v>
      </c>
      <c r="DK83" s="124">
        <f t="shared" si="134"/>
        <v>0</v>
      </c>
      <c r="DL83" s="124">
        <f t="shared" si="135"/>
        <v>0</v>
      </c>
      <c r="DM83" s="124">
        <f t="shared" si="136"/>
        <v>0</v>
      </c>
      <c r="DN83" s="124">
        <f t="shared" si="137"/>
        <v>0</v>
      </c>
      <c r="DO83" s="124">
        <f t="shared" si="138"/>
        <v>0</v>
      </c>
      <c r="DP83" s="124">
        <f t="shared" si="139"/>
        <v>0</v>
      </c>
      <c r="DQ83" s="124">
        <f t="shared" si="140"/>
        <v>0</v>
      </c>
      <c r="DR83" s="124">
        <f t="shared" si="141"/>
        <v>0</v>
      </c>
      <c r="DS83" s="124">
        <f t="shared" si="142"/>
        <v>0</v>
      </c>
      <c r="DT83" s="124">
        <f t="shared" si="143"/>
        <v>0</v>
      </c>
      <c r="DU83" s="124">
        <f t="shared" si="144"/>
        <v>0</v>
      </c>
      <c r="DV83" s="124">
        <f t="shared" si="145"/>
        <v>0</v>
      </c>
      <c r="DW83" s="124">
        <f t="shared" si="146"/>
        <v>0</v>
      </c>
      <c r="DX83" s="124">
        <f t="shared" si="147"/>
        <v>0</v>
      </c>
      <c r="DY83" s="124">
        <f t="shared" si="148"/>
        <v>0</v>
      </c>
      <c r="DZ83" s="124">
        <f t="shared" si="149"/>
        <v>0</v>
      </c>
      <c r="EA83" s="124">
        <f t="shared" si="150"/>
        <v>0</v>
      </c>
      <c r="EB83" s="124">
        <f t="shared" si="151"/>
        <v>0</v>
      </c>
      <c r="EC83" s="124">
        <f t="shared" si="152"/>
        <v>0</v>
      </c>
      <c r="ED83" s="124">
        <f t="shared" si="153"/>
        <v>0</v>
      </c>
      <c r="EE83" s="124">
        <f t="shared" si="154"/>
        <v>0</v>
      </c>
      <c r="EF83" s="124">
        <f t="shared" si="155"/>
        <v>0</v>
      </c>
      <c r="EG83" s="124">
        <f t="shared" si="156"/>
        <v>0</v>
      </c>
      <c r="EH83" s="124">
        <f t="shared" si="157"/>
        <v>0</v>
      </c>
      <c r="EI83" s="124">
        <f t="shared" si="158"/>
        <v>0</v>
      </c>
      <c r="EJ83" s="124">
        <f t="shared" si="159"/>
        <v>0</v>
      </c>
      <c r="EK83" s="124">
        <f t="shared" si="160"/>
        <v>0</v>
      </c>
      <c r="EL83" s="124">
        <f t="shared" si="161"/>
        <v>0</v>
      </c>
      <c r="EM83" s="124">
        <f t="shared" si="162"/>
        <v>0</v>
      </c>
      <c r="EN83" s="124">
        <f t="shared" si="163"/>
        <v>0</v>
      </c>
      <c r="EO83" s="124">
        <f t="shared" si="164"/>
        <v>0</v>
      </c>
      <c r="EP83" s="124">
        <f t="shared" si="165"/>
        <v>0</v>
      </c>
      <c r="EQ83" s="124">
        <f t="shared" si="166"/>
        <v>0</v>
      </c>
      <c r="ER83" s="124">
        <f t="shared" si="167"/>
        <v>0</v>
      </c>
      <c r="ES83" s="124">
        <f t="shared" si="168"/>
        <v>0</v>
      </c>
      <c r="ET83" s="124">
        <f t="shared" si="169"/>
        <v>0</v>
      </c>
      <c r="EU83" s="124">
        <f t="shared" si="170"/>
        <v>0</v>
      </c>
      <c r="EV83" s="124">
        <f t="shared" si="171"/>
        <v>0</v>
      </c>
      <c r="EW83" s="209">
        <f t="shared" si="172"/>
        <v>0</v>
      </c>
      <c r="EX83" s="72"/>
      <c r="EY83" s="123">
        <f t="shared" si="173"/>
        <v>2073.0425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4"/>
        <v>0</v>
      </c>
    </row>
    <row r="84" spans="112:196">
      <c r="DH84" s="123">
        <f t="shared" si="131"/>
        <v>2182.15</v>
      </c>
      <c r="DI84" s="124">
        <f t="shared" si="132"/>
        <v>0</v>
      </c>
      <c r="DJ84" s="124">
        <f t="shared" si="133"/>
        <v>0</v>
      </c>
      <c r="DK84" s="124">
        <f t="shared" si="134"/>
        <v>0</v>
      </c>
      <c r="DL84" s="124">
        <f t="shared" si="135"/>
        <v>0</v>
      </c>
      <c r="DM84" s="124">
        <f t="shared" si="136"/>
        <v>0</v>
      </c>
      <c r="DN84" s="124">
        <f t="shared" si="137"/>
        <v>0</v>
      </c>
      <c r="DO84" s="124">
        <f t="shared" si="138"/>
        <v>0</v>
      </c>
      <c r="DP84" s="124">
        <f t="shared" si="139"/>
        <v>0</v>
      </c>
      <c r="DQ84" s="124">
        <f t="shared" si="140"/>
        <v>0</v>
      </c>
      <c r="DR84" s="124">
        <f t="shared" si="141"/>
        <v>0</v>
      </c>
      <c r="DS84" s="124">
        <f t="shared" si="142"/>
        <v>0</v>
      </c>
      <c r="DT84" s="124">
        <f t="shared" si="143"/>
        <v>0</v>
      </c>
      <c r="DU84" s="124">
        <f t="shared" si="144"/>
        <v>0</v>
      </c>
      <c r="DV84" s="124">
        <f t="shared" si="145"/>
        <v>0</v>
      </c>
      <c r="DW84" s="124">
        <f t="shared" si="146"/>
        <v>0</v>
      </c>
      <c r="DX84" s="124">
        <f t="shared" si="147"/>
        <v>0</v>
      </c>
      <c r="DY84" s="124">
        <f t="shared" si="148"/>
        <v>0</v>
      </c>
      <c r="DZ84" s="124">
        <f t="shared" si="149"/>
        <v>0</v>
      </c>
      <c r="EA84" s="124">
        <f t="shared" si="150"/>
        <v>0</v>
      </c>
      <c r="EB84" s="124">
        <f t="shared" si="151"/>
        <v>0</v>
      </c>
      <c r="EC84" s="124">
        <f t="shared" si="152"/>
        <v>0</v>
      </c>
      <c r="ED84" s="124">
        <f t="shared" si="153"/>
        <v>0</v>
      </c>
      <c r="EE84" s="124">
        <f t="shared" si="154"/>
        <v>0</v>
      </c>
      <c r="EF84" s="124">
        <f t="shared" si="155"/>
        <v>0</v>
      </c>
      <c r="EG84" s="124">
        <f t="shared" si="156"/>
        <v>0</v>
      </c>
      <c r="EH84" s="124">
        <f t="shared" si="157"/>
        <v>0</v>
      </c>
      <c r="EI84" s="124">
        <f t="shared" si="158"/>
        <v>0</v>
      </c>
      <c r="EJ84" s="124">
        <f t="shared" si="159"/>
        <v>0</v>
      </c>
      <c r="EK84" s="124">
        <f t="shared" si="160"/>
        <v>0</v>
      </c>
      <c r="EL84" s="124">
        <f t="shared" si="161"/>
        <v>0</v>
      </c>
      <c r="EM84" s="124">
        <f t="shared" si="162"/>
        <v>0</v>
      </c>
      <c r="EN84" s="124">
        <f t="shared" si="163"/>
        <v>0</v>
      </c>
      <c r="EO84" s="124">
        <f t="shared" si="164"/>
        <v>0</v>
      </c>
      <c r="EP84" s="124">
        <f t="shared" si="165"/>
        <v>0</v>
      </c>
      <c r="EQ84" s="124">
        <f t="shared" si="166"/>
        <v>0</v>
      </c>
      <c r="ER84" s="124">
        <f t="shared" si="167"/>
        <v>0</v>
      </c>
      <c r="ES84" s="124">
        <f t="shared" si="168"/>
        <v>0</v>
      </c>
      <c r="ET84" s="124">
        <f t="shared" si="169"/>
        <v>0</v>
      </c>
      <c r="EU84" s="124">
        <f t="shared" si="170"/>
        <v>0</v>
      </c>
      <c r="EV84" s="124">
        <f t="shared" si="171"/>
        <v>0</v>
      </c>
      <c r="EW84" s="209">
        <f t="shared" si="172"/>
        <v>0</v>
      </c>
      <c r="EX84" s="72"/>
      <c r="EY84" s="123">
        <f t="shared" si="173"/>
        <v>2182.15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4"/>
        <v>0</v>
      </c>
    </row>
    <row r="85" spans="112:196">
      <c r="DH85" s="123">
        <f t="shared" si="131"/>
        <v>2297</v>
      </c>
      <c r="DI85" s="124">
        <f t="shared" si="132"/>
        <v>0</v>
      </c>
      <c r="DJ85" s="124">
        <f t="shared" si="133"/>
        <v>0</v>
      </c>
      <c r="DK85" s="124">
        <f t="shared" si="134"/>
        <v>0</v>
      </c>
      <c r="DL85" s="124">
        <f t="shared" si="135"/>
        <v>0</v>
      </c>
      <c r="DM85" s="124">
        <f t="shared" si="136"/>
        <v>0</v>
      </c>
      <c r="DN85" s="124">
        <f t="shared" si="137"/>
        <v>0</v>
      </c>
      <c r="DO85" s="124">
        <f t="shared" si="138"/>
        <v>0</v>
      </c>
      <c r="DP85" s="124">
        <f t="shared" si="139"/>
        <v>0</v>
      </c>
      <c r="DQ85" s="124">
        <f t="shared" si="140"/>
        <v>0</v>
      </c>
      <c r="DR85" s="124">
        <f t="shared" si="141"/>
        <v>0</v>
      </c>
      <c r="DS85" s="124">
        <f t="shared" si="142"/>
        <v>0</v>
      </c>
      <c r="DT85" s="124">
        <f t="shared" si="143"/>
        <v>0</v>
      </c>
      <c r="DU85" s="124">
        <f t="shared" si="144"/>
        <v>0</v>
      </c>
      <c r="DV85" s="124">
        <f t="shared" si="145"/>
        <v>0</v>
      </c>
      <c r="DW85" s="124">
        <f t="shared" si="146"/>
        <v>0</v>
      </c>
      <c r="DX85" s="124">
        <f t="shared" si="147"/>
        <v>0</v>
      </c>
      <c r="DY85" s="124">
        <f t="shared" si="148"/>
        <v>0</v>
      </c>
      <c r="DZ85" s="124">
        <f t="shared" si="149"/>
        <v>0</v>
      </c>
      <c r="EA85" s="124">
        <f t="shared" si="150"/>
        <v>0</v>
      </c>
      <c r="EB85" s="124">
        <f t="shared" si="151"/>
        <v>0</v>
      </c>
      <c r="EC85" s="124">
        <f t="shared" si="152"/>
        <v>0</v>
      </c>
      <c r="ED85" s="124">
        <f t="shared" si="153"/>
        <v>0</v>
      </c>
      <c r="EE85" s="124">
        <f t="shared" si="154"/>
        <v>0</v>
      </c>
      <c r="EF85" s="124">
        <f t="shared" si="155"/>
        <v>0</v>
      </c>
      <c r="EG85" s="124">
        <f t="shared" si="156"/>
        <v>0</v>
      </c>
      <c r="EH85" s="124">
        <f t="shared" si="157"/>
        <v>0</v>
      </c>
      <c r="EI85" s="124">
        <f t="shared" si="158"/>
        <v>0</v>
      </c>
      <c r="EJ85" s="124">
        <f t="shared" si="159"/>
        <v>0</v>
      </c>
      <c r="EK85" s="124">
        <f t="shared" si="160"/>
        <v>0</v>
      </c>
      <c r="EL85" s="124">
        <f t="shared" si="161"/>
        <v>0</v>
      </c>
      <c r="EM85" s="124">
        <f t="shared" si="162"/>
        <v>0</v>
      </c>
      <c r="EN85" s="124">
        <f t="shared" si="163"/>
        <v>0</v>
      </c>
      <c r="EO85" s="124">
        <f t="shared" si="164"/>
        <v>0</v>
      </c>
      <c r="EP85" s="124">
        <f t="shared" si="165"/>
        <v>0</v>
      </c>
      <c r="EQ85" s="124">
        <f t="shared" si="166"/>
        <v>0</v>
      </c>
      <c r="ER85" s="124">
        <f t="shared" si="167"/>
        <v>0</v>
      </c>
      <c r="ES85" s="124">
        <f t="shared" si="168"/>
        <v>0</v>
      </c>
      <c r="ET85" s="124">
        <f t="shared" si="169"/>
        <v>0</v>
      </c>
      <c r="EU85" s="124">
        <f t="shared" si="170"/>
        <v>0</v>
      </c>
      <c r="EV85" s="124">
        <f t="shared" si="171"/>
        <v>0</v>
      </c>
      <c r="EW85" s="209">
        <f t="shared" si="172"/>
        <v>0</v>
      </c>
      <c r="EX85" s="72"/>
      <c r="EY85" s="123">
        <f t="shared" si="173"/>
        <v>2297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4"/>
        <v>0</v>
      </c>
    </row>
    <row r="86" spans="112:196">
      <c r="DH86" s="123">
        <f t="shared" si="131"/>
        <v>2411.85</v>
      </c>
      <c r="DI86" s="124">
        <f t="shared" si="132"/>
        <v>0</v>
      </c>
      <c r="DJ86" s="124">
        <f t="shared" si="133"/>
        <v>0</v>
      </c>
      <c r="DK86" s="124">
        <f t="shared" si="134"/>
        <v>0</v>
      </c>
      <c r="DL86" s="124">
        <f t="shared" si="135"/>
        <v>0</v>
      </c>
      <c r="DM86" s="124">
        <f t="shared" si="136"/>
        <v>0</v>
      </c>
      <c r="DN86" s="124">
        <f t="shared" si="137"/>
        <v>0</v>
      </c>
      <c r="DO86" s="124">
        <f t="shared" si="138"/>
        <v>0</v>
      </c>
      <c r="DP86" s="124">
        <f t="shared" si="139"/>
        <v>0</v>
      </c>
      <c r="DQ86" s="124">
        <f t="shared" si="140"/>
        <v>0</v>
      </c>
      <c r="DR86" s="124">
        <f t="shared" si="141"/>
        <v>0</v>
      </c>
      <c r="DS86" s="124">
        <f t="shared" si="142"/>
        <v>0</v>
      </c>
      <c r="DT86" s="124">
        <f t="shared" si="143"/>
        <v>0</v>
      </c>
      <c r="DU86" s="124">
        <f t="shared" si="144"/>
        <v>0</v>
      </c>
      <c r="DV86" s="124">
        <f t="shared" si="145"/>
        <v>0</v>
      </c>
      <c r="DW86" s="124">
        <f t="shared" si="146"/>
        <v>0</v>
      </c>
      <c r="DX86" s="124">
        <f t="shared" si="147"/>
        <v>0</v>
      </c>
      <c r="DY86" s="124">
        <f t="shared" si="148"/>
        <v>0</v>
      </c>
      <c r="DZ86" s="124">
        <f t="shared" si="149"/>
        <v>0</v>
      </c>
      <c r="EA86" s="124">
        <f t="shared" si="150"/>
        <v>0</v>
      </c>
      <c r="EB86" s="124">
        <f t="shared" si="151"/>
        <v>0</v>
      </c>
      <c r="EC86" s="124">
        <f t="shared" si="152"/>
        <v>0</v>
      </c>
      <c r="ED86" s="124">
        <f t="shared" si="153"/>
        <v>0</v>
      </c>
      <c r="EE86" s="124">
        <f t="shared" si="154"/>
        <v>0</v>
      </c>
      <c r="EF86" s="124">
        <f t="shared" si="155"/>
        <v>0</v>
      </c>
      <c r="EG86" s="124">
        <f t="shared" si="156"/>
        <v>0</v>
      </c>
      <c r="EH86" s="124">
        <f t="shared" si="157"/>
        <v>0</v>
      </c>
      <c r="EI86" s="124">
        <f t="shared" si="158"/>
        <v>0</v>
      </c>
      <c r="EJ86" s="124">
        <f t="shared" si="159"/>
        <v>0</v>
      </c>
      <c r="EK86" s="124">
        <f t="shared" si="160"/>
        <v>0</v>
      </c>
      <c r="EL86" s="124">
        <f t="shared" si="161"/>
        <v>0</v>
      </c>
      <c r="EM86" s="124">
        <f t="shared" si="162"/>
        <v>0</v>
      </c>
      <c r="EN86" s="124">
        <f t="shared" si="163"/>
        <v>0</v>
      </c>
      <c r="EO86" s="124">
        <f t="shared" si="164"/>
        <v>0</v>
      </c>
      <c r="EP86" s="124">
        <f t="shared" si="165"/>
        <v>0</v>
      </c>
      <c r="EQ86" s="124">
        <f t="shared" si="166"/>
        <v>0</v>
      </c>
      <c r="ER86" s="124">
        <f t="shared" si="167"/>
        <v>0</v>
      </c>
      <c r="ES86" s="124">
        <f t="shared" si="168"/>
        <v>0</v>
      </c>
      <c r="ET86" s="124">
        <f t="shared" si="169"/>
        <v>0</v>
      </c>
      <c r="EU86" s="124">
        <f t="shared" si="170"/>
        <v>0</v>
      </c>
      <c r="EV86" s="124">
        <f t="shared" si="171"/>
        <v>0</v>
      </c>
      <c r="EW86" s="209">
        <f t="shared" si="172"/>
        <v>0</v>
      </c>
      <c r="EX86" s="72"/>
      <c r="EY86" s="123">
        <f t="shared" si="173"/>
        <v>2411.85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4"/>
        <v>0</v>
      </c>
    </row>
    <row r="87" spans="112:196">
      <c r="DH87" s="123">
        <f t="shared" si="131"/>
        <v>2532.4425000000001</v>
      </c>
      <c r="DI87" s="124">
        <f t="shared" si="132"/>
        <v>0</v>
      </c>
      <c r="DJ87" s="124">
        <f t="shared" si="133"/>
        <v>0</v>
      </c>
      <c r="DK87" s="124">
        <f t="shared" si="134"/>
        <v>0</v>
      </c>
      <c r="DL87" s="124">
        <f t="shared" si="135"/>
        <v>0</v>
      </c>
      <c r="DM87" s="124">
        <f t="shared" si="136"/>
        <v>0</v>
      </c>
      <c r="DN87" s="124">
        <f t="shared" si="137"/>
        <v>0</v>
      </c>
      <c r="DO87" s="124">
        <f t="shared" si="138"/>
        <v>0</v>
      </c>
      <c r="DP87" s="124">
        <f t="shared" si="139"/>
        <v>0</v>
      </c>
      <c r="DQ87" s="124">
        <f t="shared" si="140"/>
        <v>0</v>
      </c>
      <c r="DR87" s="124">
        <f t="shared" si="141"/>
        <v>0</v>
      </c>
      <c r="DS87" s="124">
        <f t="shared" si="142"/>
        <v>0</v>
      </c>
      <c r="DT87" s="124">
        <f t="shared" si="143"/>
        <v>0</v>
      </c>
      <c r="DU87" s="124">
        <f t="shared" si="144"/>
        <v>0</v>
      </c>
      <c r="DV87" s="124">
        <f t="shared" si="145"/>
        <v>0</v>
      </c>
      <c r="DW87" s="124">
        <f t="shared" si="146"/>
        <v>0</v>
      </c>
      <c r="DX87" s="124">
        <f t="shared" si="147"/>
        <v>0</v>
      </c>
      <c r="DY87" s="124">
        <f t="shared" si="148"/>
        <v>0</v>
      </c>
      <c r="DZ87" s="124">
        <f t="shared" si="149"/>
        <v>0</v>
      </c>
      <c r="EA87" s="124">
        <f t="shared" si="150"/>
        <v>0</v>
      </c>
      <c r="EB87" s="124">
        <f t="shared" si="151"/>
        <v>0</v>
      </c>
      <c r="EC87" s="124">
        <f t="shared" si="152"/>
        <v>0</v>
      </c>
      <c r="ED87" s="124">
        <f t="shared" si="153"/>
        <v>0</v>
      </c>
      <c r="EE87" s="124">
        <f t="shared" si="154"/>
        <v>0</v>
      </c>
      <c r="EF87" s="124">
        <f t="shared" si="155"/>
        <v>0</v>
      </c>
      <c r="EG87" s="124">
        <f t="shared" si="156"/>
        <v>0</v>
      </c>
      <c r="EH87" s="124">
        <f t="shared" si="157"/>
        <v>0</v>
      </c>
      <c r="EI87" s="124">
        <f t="shared" si="158"/>
        <v>0</v>
      </c>
      <c r="EJ87" s="124">
        <f t="shared" si="159"/>
        <v>0</v>
      </c>
      <c r="EK87" s="124">
        <f t="shared" si="160"/>
        <v>0</v>
      </c>
      <c r="EL87" s="124">
        <f t="shared" si="161"/>
        <v>0</v>
      </c>
      <c r="EM87" s="124">
        <f t="shared" si="162"/>
        <v>0</v>
      </c>
      <c r="EN87" s="124">
        <f t="shared" si="163"/>
        <v>0</v>
      </c>
      <c r="EO87" s="124">
        <f t="shared" si="164"/>
        <v>0</v>
      </c>
      <c r="EP87" s="124">
        <f t="shared" si="165"/>
        <v>0</v>
      </c>
      <c r="EQ87" s="124">
        <f t="shared" si="166"/>
        <v>0</v>
      </c>
      <c r="ER87" s="124">
        <f t="shared" si="167"/>
        <v>0</v>
      </c>
      <c r="ES87" s="124">
        <f t="shared" si="168"/>
        <v>0</v>
      </c>
      <c r="ET87" s="124">
        <f t="shared" si="169"/>
        <v>0</v>
      </c>
      <c r="EU87" s="124">
        <f t="shared" si="170"/>
        <v>0</v>
      </c>
      <c r="EV87" s="124">
        <f t="shared" si="171"/>
        <v>0</v>
      </c>
      <c r="EW87" s="209">
        <f t="shared" si="172"/>
        <v>0</v>
      </c>
      <c r="EX87" s="72"/>
      <c r="EY87" s="123">
        <f t="shared" si="173"/>
        <v>2532.4425000000001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4"/>
        <v>0</v>
      </c>
    </row>
    <row r="88" spans="112:196">
      <c r="DH88" s="123">
        <f t="shared" si="131"/>
        <v>2659.0646250000004</v>
      </c>
      <c r="DI88" s="124">
        <f t="shared" si="132"/>
        <v>0</v>
      </c>
      <c r="DJ88" s="124">
        <f t="shared" si="133"/>
        <v>0</v>
      </c>
      <c r="DK88" s="124">
        <f t="shared" si="134"/>
        <v>0</v>
      </c>
      <c r="DL88" s="124">
        <f t="shared" si="135"/>
        <v>0</v>
      </c>
      <c r="DM88" s="124">
        <f t="shared" si="136"/>
        <v>0</v>
      </c>
      <c r="DN88" s="124">
        <f t="shared" si="137"/>
        <v>0</v>
      </c>
      <c r="DO88" s="124">
        <f t="shared" si="138"/>
        <v>0</v>
      </c>
      <c r="DP88" s="124">
        <f t="shared" si="139"/>
        <v>0</v>
      </c>
      <c r="DQ88" s="124">
        <f t="shared" si="140"/>
        <v>0</v>
      </c>
      <c r="DR88" s="124">
        <f t="shared" si="141"/>
        <v>0</v>
      </c>
      <c r="DS88" s="124">
        <f t="shared" si="142"/>
        <v>0</v>
      </c>
      <c r="DT88" s="124">
        <f t="shared" si="143"/>
        <v>0</v>
      </c>
      <c r="DU88" s="124">
        <f t="shared" si="144"/>
        <v>0</v>
      </c>
      <c r="DV88" s="124">
        <f t="shared" si="145"/>
        <v>0</v>
      </c>
      <c r="DW88" s="124">
        <f t="shared" si="146"/>
        <v>0</v>
      </c>
      <c r="DX88" s="124">
        <f t="shared" si="147"/>
        <v>0</v>
      </c>
      <c r="DY88" s="124">
        <f t="shared" si="148"/>
        <v>0</v>
      </c>
      <c r="DZ88" s="124">
        <f t="shared" si="149"/>
        <v>0</v>
      </c>
      <c r="EA88" s="124">
        <f t="shared" si="150"/>
        <v>0</v>
      </c>
      <c r="EB88" s="124">
        <f t="shared" si="151"/>
        <v>0</v>
      </c>
      <c r="EC88" s="124">
        <f t="shared" si="152"/>
        <v>0</v>
      </c>
      <c r="ED88" s="124">
        <f t="shared" si="153"/>
        <v>0</v>
      </c>
      <c r="EE88" s="124">
        <f t="shared" si="154"/>
        <v>0</v>
      </c>
      <c r="EF88" s="124">
        <f t="shared" si="155"/>
        <v>0</v>
      </c>
      <c r="EG88" s="124">
        <f t="shared" si="156"/>
        <v>0</v>
      </c>
      <c r="EH88" s="124">
        <f t="shared" si="157"/>
        <v>0</v>
      </c>
      <c r="EI88" s="124">
        <f t="shared" si="158"/>
        <v>0</v>
      </c>
      <c r="EJ88" s="124">
        <f t="shared" si="159"/>
        <v>0</v>
      </c>
      <c r="EK88" s="124">
        <f t="shared" si="160"/>
        <v>0</v>
      </c>
      <c r="EL88" s="124">
        <f t="shared" si="161"/>
        <v>0</v>
      </c>
      <c r="EM88" s="124">
        <f t="shared" si="162"/>
        <v>0</v>
      </c>
      <c r="EN88" s="124">
        <f t="shared" si="163"/>
        <v>0</v>
      </c>
      <c r="EO88" s="124">
        <f t="shared" si="164"/>
        <v>0</v>
      </c>
      <c r="EP88" s="124">
        <f t="shared" si="165"/>
        <v>0</v>
      </c>
      <c r="EQ88" s="124">
        <f t="shared" si="166"/>
        <v>0</v>
      </c>
      <c r="ER88" s="124">
        <f t="shared" si="167"/>
        <v>0</v>
      </c>
      <c r="ES88" s="124">
        <f t="shared" si="168"/>
        <v>0</v>
      </c>
      <c r="ET88" s="124">
        <f t="shared" si="169"/>
        <v>0</v>
      </c>
      <c r="EU88" s="124">
        <f t="shared" si="170"/>
        <v>0</v>
      </c>
      <c r="EV88" s="124">
        <f t="shared" si="171"/>
        <v>0</v>
      </c>
      <c r="EW88" s="209">
        <f t="shared" si="172"/>
        <v>0</v>
      </c>
      <c r="EX88" s="72"/>
      <c r="EY88" s="123">
        <f t="shared" si="173"/>
        <v>2659.0646250000004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4"/>
        <v>0</v>
      </c>
    </row>
    <row r="89" spans="112:196">
      <c r="DH89" s="123">
        <f t="shared" si="131"/>
        <v>2792.0178562500005</v>
      </c>
      <c r="DI89" s="124">
        <f t="shared" si="132"/>
        <v>0</v>
      </c>
      <c r="DJ89" s="124">
        <f t="shared" si="133"/>
        <v>0</v>
      </c>
      <c r="DK89" s="124">
        <f t="shared" si="134"/>
        <v>0</v>
      </c>
      <c r="DL89" s="124">
        <f t="shared" si="135"/>
        <v>0</v>
      </c>
      <c r="DM89" s="124">
        <f t="shared" si="136"/>
        <v>0</v>
      </c>
      <c r="DN89" s="124">
        <f t="shared" si="137"/>
        <v>0</v>
      </c>
      <c r="DO89" s="124">
        <f t="shared" si="138"/>
        <v>0</v>
      </c>
      <c r="DP89" s="124">
        <f t="shared" si="139"/>
        <v>0</v>
      </c>
      <c r="DQ89" s="124">
        <f t="shared" si="140"/>
        <v>0</v>
      </c>
      <c r="DR89" s="124">
        <f t="shared" si="141"/>
        <v>0</v>
      </c>
      <c r="DS89" s="124">
        <f t="shared" si="142"/>
        <v>0</v>
      </c>
      <c r="DT89" s="124">
        <f t="shared" si="143"/>
        <v>0</v>
      </c>
      <c r="DU89" s="124">
        <f t="shared" si="144"/>
        <v>0</v>
      </c>
      <c r="DV89" s="124">
        <f t="shared" si="145"/>
        <v>0</v>
      </c>
      <c r="DW89" s="124">
        <f t="shared" si="146"/>
        <v>0</v>
      </c>
      <c r="DX89" s="124">
        <f t="shared" si="147"/>
        <v>0</v>
      </c>
      <c r="DY89" s="124">
        <f t="shared" si="148"/>
        <v>0</v>
      </c>
      <c r="DZ89" s="124">
        <f t="shared" si="149"/>
        <v>0</v>
      </c>
      <c r="EA89" s="124">
        <f t="shared" si="150"/>
        <v>0</v>
      </c>
      <c r="EB89" s="124">
        <f t="shared" si="151"/>
        <v>0</v>
      </c>
      <c r="EC89" s="124">
        <f t="shared" si="152"/>
        <v>0</v>
      </c>
      <c r="ED89" s="124">
        <f t="shared" si="153"/>
        <v>0</v>
      </c>
      <c r="EE89" s="124">
        <f t="shared" si="154"/>
        <v>0</v>
      </c>
      <c r="EF89" s="124">
        <f t="shared" si="155"/>
        <v>0</v>
      </c>
      <c r="EG89" s="124">
        <f t="shared" si="156"/>
        <v>0</v>
      </c>
      <c r="EH89" s="124">
        <f t="shared" si="157"/>
        <v>0</v>
      </c>
      <c r="EI89" s="124">
        <f t="shared" si="158"/>
        <v>0</v>
      </c>
      <c r="EJ89" s="124">
        <f t="shared" si="159"/>
        <v>0</v>
      </c>
      <c r="EK89" s="124">
        <f t="shared" si="160"/>
        <v>0</v>
      </c>
      <c r="EL89" s="124">
        <f t="shared" si="161"/>
        <v>0</v>
      </c>
      <c r="EM89" s="124">
        <f t="shared" si="162"/>
        <v>0</v>
      </c>
      <c r="EN89" s="124">
        <f t="shared" si="163"/>
        <v>0</v>
      </c>
      <c r="EO89" s="124">
        <f t="shared" si="164"/>
        <v>0</v>
      </c>
      <c r="EP89" s="124">
        <f t="shared" si="165"/>
        <v>0</v>
      </c>
      <c r="EQ89" s="124">
        <f t="shared" si="166"/>
        <v>0</v>
      </c>
      <c r="ER89" s="124">
        <f t="shared" si="167"/>
        <v>0</v>
      </c>
      <c r="ES89" s="124">
        <f t="shared" si="168"/>
        <v>0</v>
      </c>
      <c r="ET89" s="124">
        <f t="shared" si="169"/>
        <v>0</v>
      </c>
      <c r="EU89" s="124">
        <f t="shared" si="170"/>
        <v>0</v>
      </c>
      <c r="EV89" s="124">
        <f t="shared" si="171"/>
        <v>0</v>
      </c>
      <c r="EW89" s="209">
        <f t="shared" si="172"/>
        <v>0</v>
      </c>
      <c r="EX89" s="72"/>
      <c r="EY89" s="123">
        <f t="shared" si="173"/>
        <v>2792.0178562500005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4"/>
        <v>0</v>
      </c>
    </row>
    <row r="90" spans="112:196">
      <c r="DH90" s="123">
        <f t="shared" si="131"/>
        <v>2931.6187490625007</v>
      </c>
      <c r="DI90" s="124">
        <f t="shared" si="132"/>
        <v>0</v>
      </c>
      <c r="DJ90" s="124">
        <f t="shared" si="133"/>
        <v>0</v>
      </c>
      <c r="DK90" s="124">
        <f t="shared" si="134"/>
        <v>0</v>
      </c>
      <c r="DL90" s="124">
        <f t="shared" si="135"/>
        <v>0</v>
      </c>
      <c r="DM90" s="124">
        <f t="shared" si="136"/>
        <v>0</v>
      </c>
      <c r="DN90" s="124">
        <f t="shared" si="137"/>
        <v>0</v>
      </c>
      <c r="DO90" s="124">
        <f t="shared" si="138"/>
        <v>0</v>
      </c>
      <c r="DP90" s="124">
        <f t="shared" si="139"/>
        <v>0</v>
      </c>
      <c r="DQ90" s="124">
        <f t="shared" si="140"/>
        <v>0</v>
      </c>
      <c r="DR90" s="124">
        <f t="shared" si="141"/>
        <v>0</v>
      </c>
      <c r="DS90" s="124">
        <f t="shared" si="142"/>
        <v>0</v>
      </c>
      <c r="DT90" s="124">
        <f t="shared" si="143"/>
        <v>0</v>
      </c>
      <c r="DU90" s="124">
        <f t="shared" si="144"/>
        <v>0</v>
      </c>
      <c r="DV90" s="124">
        <f t="shared" si="145"/>
        <v>0</v>
      </c>
      <c r="DW90" s="124">
        <f t="shared" si="146"/>
        <v>0</v>
      </c>
      <c r="DX90" s="124">
        <f t="shared" si="147"/>
        <v>0</v>
      </c>
      <c r="DY90" s="124">
        <f t="shared" si="148"/>
        <v>0</v>
      </c>
      <c r="DZ90" s="124">
        <f t="shared" si="149"/>
        <v>0</v>
      </c>
      <c r="EA90" s="124">
        <f t="shared" si="150"/>
        <v>0</v>
      </c>
      <c r="EB90" s="124">
        <f t="shared" si="151"/>
        <v>0</v>
      </c>
      <c r="EC90" s="124">
        <f t="shared" si="152"/>
        <v>0</v>
      </c>
      <c r="ED90" s="124">
        <f t="shared" si="153"/>
        <v>0</v>
      </c>
      <c r="EE90" s="124">
        <f t="shared" si="154"/>
        <v>0</v>
      </c>
      <c r="EF90" s="124">
        <f t="shared" si="155"/>
        <v>0</v>
      </c>
      <c r="EG90" s="124">
        <f t="shared" si="156"/>
        <v>0</v>
      </c>
      <c r="EH90" s="124">
        <f t="shared" si="157"/>
        <v>0</v>
      </c>
      <c r="EI90" s="124">
        <f t="shared" si="158"/>
        <v>0</v>
      </c>
      <c r="EJ90" s="124">
        <f t="shared" si="159"/>
        <v>0</v>
      </c>
      <c r="EK90" s="124">
        <f t="shared" si="160"/>
        <v>0</v>
      </c>
      <c r="EL90" s="124">
        <f t="shared" si="161"/>
        <v>0</v>
      </c>
      <c r="EM90" s="124">
        <f t="shared" si="162"/>
        <v>0</v>
      </c>
      <c r="EN90" s="124">
        <f t="shared" si="163"/>
        <v>0</v>
      </c>
      <c r="EO90" s="124">
        <f t="shared" si="164"/>
        <v>0</v>
      </c>
      <c r="EP90" s="124">
        <f t="shared" si="165"/>
        <v>0</v>
      </c>
      <c r="EQ90" s="124">
        <f t="shared" si="166"/>
        <v>0</v>
      </c>
      <c r="ER90" s="124">
        <f t="shared" si="167"/>
        <v>0</v>
      </c>
      <c r="ES90" s="124">
        <f t="shared" si="168"/>
        <v>0</v>
      </c>
      <c r="ET90" s="124">
        <f t="shared" si="169"/>
        <v>0</v>
      </c>
      <c r="EU90" s="124">
        <f t="shared" si="170"/>
        <v>0</v>
      </c>
      <c r="EV90" s="124">
        <f t="shared" si="171"/>
        <v>0</v>
      </c>
      <c r="EW90" s="209">
        <f t="shared" si="172"/>
        <v>0</v>
      </c>
      <c r="EX90" s="72"/>
      <c r="EY90" s="123">
        <f t="shared" si="173"/>
        <v>2931.6187490625007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4"/>
        <v>0</v>
      </c>
    </row>
    <row r="91" spans="112:196">
      <c r="DH91" s="123">
        <f t="shared" si="131"/>
        <v>3078.1996865156257</v>
      </c>
      <c r="DI91" s="124">
        <f t="shared" si="132"/>
        <v>0</v>
      </c>
      <c r="DJ91" s="124">
        <f t="shared" si="133"/>
        <v>0</v>
      </c>
      <c r="DK91" s="124">
        <f t="shared" si="134"/>
        <v>0</v>
      </c>
      <c r="DL91" s="124">
        <f t="shared" si="135"/>
        <v>0</v>
      </c>
      <c r="DM91" s="124">
        <f t="shared" si="136"/>
        <v>0</v>
      </c>
      <c r="DN91" s="124">
        <f t="shared" si="137"/>
        <v>0</v>
      </c>
      <c r="DO91" s="124">
        <f t="shared" si="138"/>
        <v>0</v>
      </c>
      <c r="DP91" s="124">
        <f t="shared" si="139"/>
        <v>0</v>
      </c>
      <c r="DQ91" s="124">
        <f t="shared" si="140"/>
        <v>0</v>
      </c>
      <c r="DR91" s="124">
        <f t="shared" si="141"/>
        <v>0</v>
      </c>
      <c r="DS91" s="124">
        <f t="shared" si="142"/>
        <v>0</v>
      </c>
      <c r="DT91" s="124">
        <f t="shared" si="143"/>
        <v>0</v>
      </c>
      <c r="DU91" s="124">
        <f t="shared" si="144"/>
        <v>0</v>
      </c>
      <c r="DV91" s="124">
        <f t="shared" si="145"/>
        <v>0</v>
      </c>
      <c r="DW91" s="124">
        <f t="shared" si="146"/>
        <v>0</v>
      </c>
      <c r="DX91" s="124">
        <f t="shared" si="147"/>
        <v>0</v>
      </c>
      <c r="DY91" s="124">
        <f t="shared" si="148"/>
        <v>0</v>
      </c>
      <c r="DZ91" s="124">
        <f t="shared" si="149"/>
        <v>0</v>
      </c>
      <c r="EA91" s="124">
        <f t="shared" si="150"/>
        <v>0</v>
      </c>
      <c r="EB91" s="124">
        <f t="shared" si="151"/>
        <v>0</v>
      </c>
      <c r="EC91" s="124">
        <f t="shared" si="152"/>
        <v>0</v>
      </c>
      <c r="ED91" s="124">
        <f t="shared" si="153"/>
        <v>0</v>
      </c>
      <c r="EE91" s="124">
        <f t="shared" si="154"/>
        <v>0</v>
      </c>
      <c r="EF91" s="124">
        <f t="shared" si="155"/>
        <v>0</v>
      </c>
      <c r="EG91" s="124">
        <f t="shared" si="156"/>
        <v>0</v>
      </c>
      <c r="EH91" s="124">
        <f t="shared" si="157"/>
        <v>0</v>
      </c>
      <c r="EI91" s="124">
        <f t="shared" si="158"/>
        <v>0</v>
      </c>
      <c r="EJ91" s="124">
        <f t="shared" si="159"/>
        <v>0</v>
      </c>
      <c r="EK91" s="124">
        <f t="shared" si="160"/>
        <v>0</v>
      </c>
      <c r="EL91" s="124">
        <f t="shared" si="161"/>
        <v>0</v>
      </c>
      <c r="EM91" s="124">
        <f t="shared" si="162"/>
        <v>0</v>
      </c>
      <c r="EN91" s="124">
        <f t="shared" si="163"/>
        <v>0</v>
      </c>
      <c r="EO91" s="124">
        <f t="shared" si="164"/>
        <v>0</v>
      </c>
      <c r="EP91" s="124">
        <f t="shared" si="165"/>
        <v>0</v>
      </c>
      <c r="EQ91" s="124">
        <f t="shared" si="166"/>
        <v>0</v>
      </c>
      <c r="ER91" s="124">
        <f t="shared" si="167"/>
        <v>0</v>
      </c>
      <c r="ES91" s="124">
        <f t="shared" si="168"/>
        <v>0</v>
      </c>
      <c r="ET91" s="124">
        <f t="shared" si="169"/>
        <v>0</v>
      </c>
      <c r="EU91" s="124">
        <f t="shared" si="170"/>
        <v>0</v>
      </c>
      <c r="EV91" s="124">
        <f t="shared" si="171"/>
        <v>0</v>
      </c>
      <c r="EW91" s="209">
        <f t="shared" si="172"/>
        <v>0</v>
      </c>
      <c r="EX91" s="72"/>
      <c r="EY91" s="123">
        <f t="shared" si="173"/>
        <v>3078.1996865156257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4"/>
        <v>0</v>
      </c>
    </row>
    <row r="92" spans="112:196">
      <c r="DH92" s="123">
        <f t="shared" si="131"/>
        <v>3232.109670841407</v>
      </c>
      <c r="DI92" s="124">
        <f t="shared" si="132"/>
        <v>0</v>
      </c>
      <c r="DJ92" s="124">
        <f t="shared" si="133"/>
        <v>0</v>
      </c>
      <c r="DK92" s="124">
        <f t="shared" si="134"/>
        <v>0</v>
      </c>
      <c r="DL92" s="124">
        <f t="shared" si="135"/>
        <v>0</v>
      </c>
      <c r="DM92" s="124">
        <f t="shared" si="136"/>
        <v>0</v>
      </c>
      <c r="DN92" s="124">
        <f t="shared" si="137"/>
        <v>0</v>
      </c>
      <c r="DO92" s="124">
        <f t="shared" si="138"/>
        <v>0</v>
      </c>
      <c r="DP92" s="124">
        <f t="shared" si="139"/>
        <v>0</v>
      </c>
      <c r="DQ92" s="124">
        <f t="shared" si="140"/>
        <v>0</v>
      </c>
      <c r="DR92" s="124">
        <f t="shared" si="141"/>
        <v>0</v>
      </c>
      <c r="DS92" s="124">
        <f t="shared" si="142"/>
        <v>0</v>
      </c>
      <c r="DT92" s="124">
        <f t="shared" si="143"/>
        <v>0</v>
      </c>
      <c r="DU92" s="124">
        <f t="shared" si="144"/>
        <v>0</v>
      </c>
      <c r="DV92" s="124">
        <f t="shared" si="145"/>
        <v>0</v>
      </c>
      <c r="DW92" s="124">
        <f t="shared" si="146"/>
        <v>0</v>
      </c>
      <c r="DX92" s="124">
        <f t="shared" si="147"/>
        <v>0</v>
      </c>
      <c r="DY92" s="124">
        <f t="shared" si="148"/>
        <v>0</v>
      </c>
      <c r="DZ92" s="124">
        <f t="shared" si="149"/>
        <v>0</v>
      </c>
      <c r="EA92" s="124">
        <f t="shared" si="150"/>
        <v>0</v>
      </c>
      <c r="EB92" s="124">
        <f t="shared" si="151"/>
        <v>0</v>
      </c>
      <c r="EC92" s="124">
        <f t="shared" si="152"/>
        <v>0</v>
      </c>
      <c r="ED92" s="124">
        <f t="shared" si="153"/>
        <v>0</v>
      </c>
      <c r="EE92" s="124">
        <f t="shared" si="154"/>
        <v>0</v>
      </c>
      <c r="EF92" s="124">
        <f t="shared" si="155"/>
        <v>0</v>
      </c>
      <c r="EG92" s="124">
        <f t="shared" si="156"/>
        <v>0</v>
      </c>
      <c r="EH92" s="124">
        <f t="shared" si="157"/>
        <v>0</v>
      </c>
      <c r="EI92" s="124">
        <f t="shared" si="158"/>
        <v>0</v>
      </c>
      <c r="EJ92" s="124">
        <f t="shared" si="159"/>
        <v>0</v>
      </c>
      <c r="EK92" s="124">
        <f t="shared" si="160"/>
        <v>0</v>
      </c>
      <c r="EL92" s="124">
        <f t="shared" si="161"/>
        <v>0</v>
      </c>
      <c r="EM92" s="124">
        <f t="shared" si="162"/>
        <v>0</v>
      </c>
      <c r="EN92" s="124">
        <f t="shared" si="163"/>
        <v>0</v>
      </c>
      <c r="EO92" s="124">
        <f t="shared" si="164"/>
        <v>0</v>
      </c>
      <c r="EP92" s="124">
        <f t="shared" si="165"/>
        <v>0</v>
      </c>
      <c r="EQ92" s="124">
        <f t="shared" si="166"/>
        <v>0</v>
      </c>
      <c r="ER92" s="124">
        <f t="shared" si="167"/>
        <v>0</v>
      </c>
      <c r="ES92" s="124">
        <f t="shared" si="168"/>
        <v>0</v>
      </c>
      <c r="ET92" s="124">
        <f t="shared" si="169"/>
        <v>0</v>
      </c>
      <c r="EU92" s="124">
        <f t="shared" si="170"/>
        <v>0</v>
      </c>
      <c r="EV92" s="124">
        <f t="shared" si="171"/>
        <v>0</v>
      </c>
      <c r="EW92" s="209">
        <f t="shared" si="172"/>
        <v>0</v>
      </c>
      <c r="EX92" s="72"/>
      <c r="EY92" s="123">
        <f t="shared" si="173"/>
        <v>3232.109670841407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4"/>
        <v>0</v>
      </c>
    </row>
    <row r="93" spans="112:196">
      <c r="DH93" s="123">
        <f t="shared" si="131"/>
        <v>3393.7151543834775</v>
      </c>
      <c r="DI93" s="124">
        <f t="shared" si="132"/>
        <v>0</v>
      </c>
      <c r="DJ93" s="124">
        <f t="shared" si="133"/>
        <v>0</v>
      </c>
      <c r="DK93" s="124">
        <f t="shared" si="134"/>
        <v>0</v>
      </c>
      <c r="DL93" s="124">
        <f t="shared" si="135"/>
        <v>0</v>
      </c>
      <c r="DM93" s="124">
        <f t="shared" si="136"/>
        <v>0</v>
      </c>
      <c r="DN93" s="124">
        <f t="shared" si="137"/>
        <v>0</v>
      </c>
      <c r="DO93" s="124">
        <f t="shared" si="138"/>
        <v>0</v>
      </c>
      <c r="DP93" s="124">
        <f t="shared" si="139"/>
        <v>0</v>
      </c>
      <c r="DQ93" s="124">
        <f t="shared" si="140"/>
        <v>0</v>
      </c>
      <c r="DR93" s="124">
        <f t="shared" si="141"/>
        <v>0</v>
      </c>
      <c r="DS93" s="124">
        <f t="shared" si="142"/>
        <v>0</v>
      </c>
      <c r="DT93" s="124">
        <f t="shared" si="143"/>
        <v>0</v>
      </c>
      <c r="DU93" s="124">
        <f t="shared" si="144"/>
        <v>0</v>
      </c>
      <c r="DV93" s="124">
        <f t="shared" si="145"/>
        <v>0</v>
      </c>
      <c r="DW93" s="124">
        <f t="shared" si="146"/>
        <v>0</v>
      </c>
      <c r="DX93" s="124">
        <f t="shared" si="147"/>
        <v>0</v>
      </c>
      <c r="DY93" s="124">
        <f t="shared" si="148"/>
        <v>0</v>
      </c>
      <c r="DZ93" s="124">
        <f t="shared" si="149"/>
        <v>0</v>
      </c>
      <c r="EA93" s="124">
        <f t="shared" si="150"/>
        <v>0</v>
      </c>
      <c r="EB93" s="124">
        <f t="shared" si="151"/>
        <v>0</v>
      </c>
      <c r="EC93" s="124">
        <f t="shared" si="152"/>
        <v>0</v>
      </c>
      <c r="ED93" s="124">
        <f t="shared" si="153"/>
        <v>0</v>
      </c>
      <c r="EE93" s="124">
        <f t="shared" si="154"/>
        <v>0</v>
      </c>
      <c r="EF93" s="124">
        <f t="shared" si="155"/>
        <v>0</v>
      </c>
      <c r="EG93" s="124">
        <f t="shared" si="156"/>
        <v>0</v>
      </c>
      <c r="EH93" s="124">
        <f t="shared" si="157"/>
        <v>0</v>
      </c>
      <c r="EI93" s="124">
        <f t="shared" si="158"/>
        <v>0</v>
      </c>
      <c r="EJ93" s="124">
        <f t="shared" si="159"/>
        <v>0</v>
      </c>
      <c r="EK93" s="124">
        <f t="shared" si="160"/>
        <v>0</v>
      </c>
      <c r="EL93" s="124">
        <f t="shared" si="161"/>
        <v>0</v>
      </c>
      <c r="EM93" s="124">
        <f t="shared" si="162"/>
        <v>0</v>
      </c>
      <c r="EN93" s="124">
        <f t="shared" si="163"/>
        <v>0</v>
      </c>
      <c r="EO93" s="124">
        <f t="shared" si="164"/>
        <v>0</v>
      </c>
      <c r="EP93" s="124">
        <f t="shared" si="165"/>
        <v>0</v>
      </c>
      <c r="EQ93" s="124">
        <f t="shared" si="166"/>
        <v>0</v>
      </c>
      <c r="ER93" s="124">
        <f t="shared" si="167"/>
        <v>0</v>
      </c>
      <c r="ES93" s="124">
        <f t="shared" si="168"/>
        <v>0</v>
      </c>
      <c r="ET93" s="124">
        <f t="shared" si="169"/>
        <v>0</v>
      </c>
      <c r="EU93" s="124">
        <f t="shared" si="170"/>
        <v>0</v>
      </c>
      <c r="EV93" s="124">
        <f t="shared" si="171"/>
        <v>0</v>
      </c>
      <c r="EW93" s="209">
        <f t="shared" si="172"/>
        <v>0</v>
      </c>
      <c r="EX93" s="72"/>
      <c r="EY93" s="123">
        <f t="shared" si="173"/>
        <v>3393.7151543834775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4"/>
        <v>0</v>
      </c>
    </row>
    <row r="94" spans="112:196">
      <c r="DH94" s="123">
        <f t="shared" si="131"/>
        <v>3563.4009121026515</v>
      </c>
      <c r="DI94" s="124">
        <f t="shared" si="132"/>
        <v>0</v>
      </c>
      <c r="DJ94" s="124">
        <f t="shared" si="133"/>
        <v>0</v>
      </c>
      <c r="DK94" s="124">
        <f t="shared" si="134"/>
        <v>0</v>
      </c>
      <c r="DL94" s="124">
        <f t="shared" si="135"/>
        <v>0</v>
      </c>
      <c r="DM94" s="124">
        <f t="shared" si="136"/>
        <v>0</v>
      </c>
      <c r="DN94" s="124">
        <f t="shared" si="137"/>
        <v>0</v>
      </c>
      <c r="DO94" s="124">
        <f t="shared" si="138"/>
        <v>0</v>
      </c>
      <c r="DP94" s="124">
        <f t="shared" si="139"/>
        <v>0</v>
      </c>
      <c r="DQ94" s="124">
        <f t="shared" si="140"/>
        <v>0</v>
      </c>
      <c r="DR94" s="124">
        <f t="shared" si="141"/>
        <v>0</v>
      </c>
      <c r="DS94" s="124">
        <f t="shared" si="142"/>
        <v>0</v>
      </c>
      <c r="DT94" s="124">
        <f t="shared" si="143"/>
        <v>0</v>
      </c>
      <c r="DU94" s="124">
        <f t="shared" si="144"/>
        <v>0</v>
      </c>
      <c r="DV94" s="124">
        <f t="shared" si="145"/>
        <v>0</v>
      </c>
      <c r="DW94" s="124">
        <f t="shared" si="146"/>
        <v>0</v>
      </c>
      <c r="DX94" s="124">
        <f t="shared" si="147"/>
        <v>0</v>
      </c>
      <c r="DY94" s="124">
        <f t="shared" si="148"/>
        <v>0</v>
      </c>
      <c r="DZ94" s="124">
        <f t="shared" si="149"/>
        <v>0</v>
      </c>
      <c r="EA94" s="124">
        <f t="shared" si="150"/>
        <v>0</v>
      </c>
      <c r="EB94" s="124">
        <f t="shared" si="151"/>
        <v>0</v>
      </c>
      <c r="EC94" s="124">
        <f t="shared" si="152"/>
        <v>0</v>
      </c>
      <c r="ED94" s="124">
        <f t="shared" si="153"/>
        <v>0</v>
      </c>
      <c r="EE94" s="124">
        <f t="shared" si="154"/>
        <v>0</v>
      </c>
      <c r="EF94" s="124">
        <f t="shared" si="155"/>
        <v>0</v>
      </c>
      <c r="EG94" s="124">
        <f t="shared" si="156"/>
        <v>0</v>
      </c>
      <c r="EH94" s="124">
        <f t="shared" si="157"/>
        <v>0</v>
      </c>
      <c r="EI94" s="124">
        <f t="shared" si="158"/>
        <v>0</v>
      </c>
      <c r="EJ94" s="124">
        <f t="shared" si="159"/>
        <v>0</v>
      </c>
      <c r="EK94" s="124">
        <f t="shared" si="160"/>
        <v>0</v>
      </c>
      <c r="EL94" s="124">
        <f t="shared" si="161"/>
        <v>0</v>
      </c>
      <c r="EM94" s="124">
        <f t="shared" si="162"/>
        <v>0</v>
      </c>
      <c r="EN94" s="124">
        <f t="shared" si="163"/>
        <v>0</v>
      </c>
      <c r="EO94" s="124">
        <f t="shared" si="164"/>
        <v>0</v>
      </c>
      <c r="EP94" s="124">
        <f t="shared" si="165"/>
        <v>0</v>
      </c>
      <c r="EQ94" s="124">
        <f t="shared" si="166"/>
        <v>0</v>
      </c>
      <c r="ER94" s="124">
        <f t="shared" si="167"/>
        <v>0</v>
      </c>
      <c r="ES94" s="124">
        <f t="shared" si="168"/>
        <v>0</v>
      </c>
      <c r="ET94" s="124">
        <f t="shared" si="169"/>
        <v>0</v>
      </c>
      <c r="EU94" s="124">
        <f t="shared" si="170"/>
        <v>0</v>
      </c>
      <c r="EV94" s="124">
        <f t="shared" si="171"/>
        <v>0</v>
      </c>
      <c r="EW94" s="209">
        <f t="shared" si="172"/>
        <v>0</v>
      </c>
      <c r="EX94" s="72"/>
      <c r="EY94" s="123">
        <f t="shared" si="173"/>
        <v>3563.4009121026515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4"/>
        <v>0</v>
      </c>
    </row>
    <row r="95" spans="112:196">
      <c r="DH95" s="123">
        <f t="shared" si="131"/>
        <v>3741.5709577077841</v>
      </c>
      <c r="DI95" s="124">
        <f t="shared" si="132"/>
        <v>0</v>
      </c>
      <c r="DJ95" s="124">
        <f t="shared" si="133"/>
        <v>0</v>
      </c>
      <c r="DK95" s="124">
        <f t="shared" si="134"/>
        <v>0</v>
      </c>
      <c r="DL95" s="124">
        <f t="shared" si="135"/>
        <v>0</v>
      </c>
      <c r="DM95" s="124">
        <f t="shared" si="136"/>
        <v>0</v>
      </c>
      <c r="DN95" s="124">
        <f t="shared" si="137"/>
        <v>0</v>
      </c>
      <c r="DO95" s="124">
        <f t="shared" si="138"/>
        <v>0</v>
      </c>
      <c r="DP95" s="124">
        <f t="shared" si="139"/>
        <v>0</v>
      </c>
      <c r="DQ95" s="124">
        <f t="shared" si="140"/>
        <v>0</v>
      </c>
      <c r="DR95" s="124">
        <f t="shared" si="141"/>
        <v>0</v>
      </c>
      <c r="DS95" s="124">
        <f t="shared" si="142"/>
        <v>0</v>
      </c>
      <c r="DT95" s="124">
        <f t="shared" si="143"/>
        <v>0</v>
      </c>
      <c r="DU95" s="124">
        <f t="shared" si="144"/>
        <v>0</v>
      </c>
      <c r="DV95" s="124">
        <f t="shared" si="145"/>
        <v>0</v>
      </c>
      <c r="DW95" s="124">
        <f t="shared" si="146"/>
        <v>0</v>
      </c>
      <c r="DX95" s="124">
        <f t="shared" si="147"/>
        <v>0</v>
      </c>
      <c r="DY95" s="124">
        <f t="shared" si="148"/>
        <v>0</v>
      </c>
      <c r="DZ95" s="124">
        <f t="shared" si="149"/>
        <v>0</v>
      </c>
      <c r="EA95" s="124">
        <f t="shared" si="150"/>
        <v>0</v>
      </c>
      <c r="EB95" s="124">
        <f t="shared" si="151"/>
        <v>0</v>
      </c>
      <c r="EC95" s="124">
        <f t="shared" si="152"/>
        <v>0</v>
      </c>
      <c r="ED95" s="124">
        <f t="shared" si="153"/>
        <v>0</v>
      </c>
      <c r="EE95" s="124">
        <f t="shared" si="154"/>
        <v>0</v>
      </c>
      <c r="EF95" s="124">
        <f t="shared" si="155"/>
        <v>0</v>
      </c>
      <c r="EG95" s="124">
        <f t="shared" si="156"/>
        <v>0</v>
      </c>
      <c r="EH95" s="124">
        <f t="shared" si="157"/>
        <v>0</v>
      </c>
      <c r="EI95" s="124">
        <f t="shared" si="158"/>
        <v>0</v>
      </c>
      <c r="EJ95" s="124">
        <f t="shared" si="159"/>
        <v>0</v>
      </c>
      <c r="EK95" s="124">
        <f t="shared" si="160"/>
        <v>0</v>
      </c>
      <c r="EL95" s="124">
        <f t="shared" si="161"/>
        <v>0</v>
      </c>
      <c r="EM95" s="124">
        <f t="shared" si="162"/>
        <v>0</v>
      </c>
      <c r="EN95" s="124">
        <f t="shared" si="163"/>
        <v>0</v>
      </c>
      <c r="EO95" s="124">
        <f t="shared" si="164"/>
        <v>0</v>
      </c>
      <c r="EP95" s="124">
        <f t="shared" si="165"/>
        <v>0</v>
      </c>
      <c r="EQ95" s="124">
        <f t="shared" si="166"/>
        <v>0</v>
      </c>
      <c r="ER95" s="124">
        <f t="shared" si="167"/>
        <v>0</v>
      </c>
      <c r="ES95" s="124">
        <f t="shared" si="168"/>
        <v>0</v>
      </c>
      <c r="ET95" s="124">
        <f t="shared" si="169"/>
        <v>0</v>
      </c>
      <c r="EU95" s="124">
        <f t="shared" si="170"/>
        <v>0</v>
      </c>
      <c r="EV95" s="124">
        <f t="shared" si="171"/>
        <v>0</v>
      </c>
      <c r="EW95" s="209">
        <f t="shared" si="172"/>
        <v>0</v>
      </c>
      <c r="EX95" s="72"/>
      <c r="EY95" s="123">
        <f t="shared" si="173"/>
        <v>3741.5709577077841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4"/>
        <v>0</v>
      </c>
    </row>
    <row r="96" spans="112:196">
      <c r="DH96" s="123">
        <f t="shared" si="131"/>
        <v>3928.6495055931737</v>
      </c>
      <c r="DI96" s="124">
        <f t="shared" si="132"/>
        <v>0</v>
      </c>
      <c r="DJ96" s="124">
        <f t="shared" si="133"/>
        <v>0</v>
      </c>
      <c r="DK96" s="124">
        <f t="shared" si="134"/>
        <v>0</v>
      </c>
      <c r="DL96" s="124">
        <f t="shared" si="135"/>
        <v>0</v>
      </c>
      <c r="DM96" s="124">
        <f t="shared" si="136"/>
        <v>0</v>
      </c>
      <c r="DN96" s="124">
        <f t="shared" si="137"/>
        <v>0</v>
      </c>
      <c r="DO96" s="124">
        <f t="shared" si="138"/>
        <v>0</v>
      </c>
      <c r="DP96" s="124">
        <f t="shared" si="139"/>
        <v>0</v>
      </c>
      <c r="DQ96" s="124">
        <f t="shared" si="140"/>
        <v>0</v>
      </c>
      <c r="DR96" s="124">
        <f t="shared" si="141"/>
        <v>0</v>
      </c>
      <c r="DS96" s="124">
        <f t="shared" si="142"/>
        <v>0</v>
      </c>
      <c r="DT96" s="124">
        <f t="shared" si="143"/>
        <v>0</v>
      </c>
      <c r="DU96" s="124">
        <f t="shared" si="144"/>
        <v>0</v>
      </c>
      <c r="DV96" s="124">
        <f t="shared" si="145"/>
        <v>0</v>
      </c>
      <c r="DW96" s="124">
        <f t="shared" si="146"/>
        <v>0</v>
      </c>
      <c r="DX96" s="124">
        <f t="shared" si="147"/>
        <v>0</v>
      </c>
      <c r="DY96" s="124">
        <f t="shared" si="148"/>
        <v>0</v>
      </c>
      <c r="DZ96" s="124">
        <f t="shared" si="149"/>
        <v>0</v>
      </c>
      <c r="EA96" s="124">
        <f t="shared" si="150"/>
        <v>0</v>
      </c>
      <c r="EB96" s="124">
        <f t="shared" si="151"/>
        <v>0</v>
      </c>
      <c r="EC96" s="124">
        <f t="shared" si="152"/>
        <v>0</v>
      </c>
      <c r="ED96" s="124">
        <f t="shared" si="153"/>
        <v>0</v>
      </c>
      <c r="EE96" s="124">
        <f t="shared" si="154"/>
        <v>0</v>
      </c>
      <c r="EF96" s="124">
        <f t="shared" si="155"/>
        <v>0</v>
      </c>
      <c r="EG96" s="124">
        <f t="shared" si="156"/>
        <v>0</v>
      </c>
      <c r="EH96" s="124">
        <f t="shared" si="157"/>
        <v>0</v>
      </c>
      <c r="EI96" s="124">
        <f t="shared" si="158"/>
        <v>0</v>
      </c>
      <c r="EJ96" s="124">
        <f t="shared" si="159"/>
        <v>0</v>
      </c>
      <c r="EK96" s="124">
        <f t="shared" si="160"/>
        <v>0</v>
      </c>
      <c r="EL96" s="124">
        <f t="shared" si="161"/>
        <v>0</v>
      </c>
      <c r="EM96" s="124">
        <f t="shared" si="162"/>
        <v>0</v>
      </c>
      <c r="EN96" s="124">
        <f t="shared" si="163"/>
        <v>0</v>
      </c>
      <c r="EO96" s="124">
        <f t="shared" si="164"/>
        <v>0</v>
      </c>
      <c r="EP96" s="124">
        <f t="shared" si="165"/>
        <v>0</v>
      </c>
      <c r="EQ96" s="124">
        <f t="shared" si="166"/>
        <v>0</v>
      </c>
      <c r="ER96" s="124">
        <f t="shared" si="167"/>
        <v>0</v>
      </c>
      <c r="ES96" s="124">
        <f t="shared" si="168"/>
        <v>0</v>
      </c>
      <c r="ET96" s="124">
        <f t="shared" si="169"/>
        <v>0</v>
      </c>
      <c r="EU96" s="124">
        <f t="shared" si="170"/>
        <v>0</v>
      </c>
      <c r="EV96" s="124">
        <f t="shared" si="171"/>
        <v>0</v>
      </c>
      <c r="EW96" s="209">
        <f t="shared" si="172"/>
        <v>0</v>
      </c>
      <c r="EX96" s="72"/>
      <c r="EY96" s="123">
        <f t="shared" si="173"/>
        <v>3928.6495055931737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4"/>
        <v>0</v>
      </c>
    </row>
    <row r="97" spans="112:196">
      <c r="DH97" s="123">
        <f t="shared" si="131"/>
        <v>4125.0819808728329</v>
      </c>
      <c r="DI97" s="124">
        <f t="shared" si="132"/>
        <v>0</v>
      </c>
      <c r="DJ97" s="124">
        <f t="shared" si="133"/>
        <v>0</v>
      </c>
      <c r="DK97" s="124">
        <f t="shared" si="134"/>
        <v>0</v>
      </c>
      <c r="DL97" s="124">
        <f t="shared" si="135"/>
        <v>0</v>
      </c>
      <c r="DM97" s="124">
        <f t="shared" si="136"/>
        <v>0</v>
      </c>
      <c r="DN97" s="124">
        <f t="shared" si="137"/>
        <v>0</v>
      </c>
      <c r="DO97" s="124">
        <f t="shared" si="138"/>
        <v>0</v>
      </c>
      <c r="DP97" s="124">
        <f t="shared" si="139"/>
        <v>0</v>
      </c>
      <c r="DQ97" s="124">
        <f t="shared" si="140"/>
        <v>0</v>
      </c>
      <c r="DR97" s="124">
        <f t="shared" si="141"/>
        <v>0</v>
      </c>
      <c r="DS97" s="124">
        <f t="shared" si="142"/>
        <v>0</v>
      </c>
      <c r="DT97" s="124">
        <f t="shared" si="143"/>
        <v>0</v>
      </c>
      <c r="DU97" s="124">
        <f t="shared" si="144"/>
        <v>0</v>
      </c>
      <c r="DV97" s="124">
        <f t="shared" si="145"/>
        <v>0</v>
      </c>
      <c r="DW97" s="124">
        <f t="shared" si="146"/>
        <v>0</v>
      </c>
      <c r="DX97" s="124">
        <f t="shared" si="147"/>
        <v>0</v>
      </c>
      <c r="DY97" s="124">
        <f t="shared" si="148"/>
        <v>0</v>
      </c>
      <c r="DZ97" s="124">
        <f t="shared" si="149"/>
        <v>0</v>
      </c>
      <c r="EA97" s="124">
        <f t="shared" si="150"/>
        <v>0</v>
      </c>
      <c r="EB97" s="124">
        <f t="shared" si="151"/>
        <v>0</v>
      </c>
      <c r="EC97" s="124">
        <f t="shared" si="152"/>
        <v>0</v>
      </c>
      <c r="ED97" s="124">
        <f t="shared" si="153"/>
        <v>0</v>
      </c>
      <c r="EE97" s="124">
        <f t="shared" si="154"/>
        <v>0</v>
      </c>
      <c r="EF97" s="124">
        <f t="shared" si="155"/>
        <v>0</v>
      </c>
      <c r="EG97" s="124">
        <f t="shared" si="156"/>
        <v>0</v>
      </c>
      <c r="EH97" s="124">
        <f t="shared" si="157"/>
        <v>0</v>
      </c>
      <c r="EI97" s="124">
        <f t="shared" si="158"/>
        <v>0</v>
      </c>
      <c r="EJ97" s="124">
        <f t="shared" si="159"/>
        <v>0</v>
      </c>
      <c r="EK97" s="124">
        <f t="shared" si="160"/>
        <v>0</v>
      </c>
      <c r="EL97" s="124">
        <f t="shared" si="161"/>
        <v>0</v>
      </c>
      <c r="EM97" s="124">
        <f t="shared" si="162"/>
        <v>0</v>
      </c>
      <c r="EN97" s="124">
        <f t="shared" si="163"/>
        <v>0</v>
      </c>
      <c r="EO97" s="124">
        <f t="shared" si="164"/>
        <v>0</v>
      </c>
      <c r="EP97" s="124">
        <f t="shared" si="165"/>
        <v>0</v>
      </c>
      <c r="EQ97" s="124">
        <f t="shared" si="166"/>
        <v>0</v>
      </c>
      <c r="ER97" s="124">
        <f t="shared" si="167"/>
        <v>0</v>
      </c>
      <c r="ES97" s="124">
        <f t="shared" si="168"/>
        <v>0</v>
      </c>
      <c r="ET97" s="124">
        <f t="shared" si="169"/>
        <v>0</v>
      </c>
      <c r="EU97" s="124">
        <f t="shared" si="170"/>
        <v>0</v>
      </c>
      <c r="EV97" s="124">
        <f t="shared" si="171"/>
        <v>0</v>
      </c>
      <c r="EW97" s="209">
        <f t="shared" si="172"/>
        <v>0</v>
      </c>
      <c r="EX97" s="72"/>
      <c r="EY97" s="123">
        <f t="shared" si="173"/>
        <v>4125.0819808728329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4"/>
        <v>0</v>
      </c>
    </row>
    <row r="98" spans="112:196">
      <c r="DH98" s="123">
        <f t="shared" si="131"/>
        <v>4331.3360799164748</v>
      </c>
      <c r="DI98" s="124">
        <f t="shared" si="132"/>
        <v>0</v>
      </c>
      <c r="DJ98" s="124">
        <f t="shared" si="133"/>
        <v>0</v>
      </c>
      <c r="DK98" s="124">
        <f t="shared" si="134"/>
        <v>0</v>
      </c>
      <c r="DL98" s="124">
        <f t="shared" si="135"/>
        <v>0</v>
      </c>
      <c r="DM98" s="124">
        <f t="shared" si="136"/>
        <v>0</v>
      </c>
      <c r="DN98" s="124">
        <f t="shared" si="137"/>
        <v>0</v>
      </c>
      <c r="DO98" s="124">
        <f t="shared" si="138"/>
        <v>0</v>
      </c>
      <c r="DP98" s="124">
        <f t="shared" si="139"/>
        <v>0</v>
      </c>
      <c r="DQ98" s="124">
        <f t="shared" si="140"/>
        <v>0</v>
      </c>
      <c r="DR98" s="124">
        <f t="shared" si="141"/>
        <v>0</v>
      </c>
      <c r="DS98" s="124">
        <f t="shared" si="142"/>
        <v>0</v>
      </c>
      <c r="DT98" s="124">
        <f t="shared" si="143"/>
        <v>0</v>
      </c>
      <c r="DU98" s="124">
        <f t="shared" si="144"/>
        <v>0</v>
      </c>
      <c r="DV98" s="124">
        <f t="shared" si="145"/>
        <v>0</v>
      </c>
      <c r="DW98" s="124">
        <f t="shared" si="146"/>
        <v>0</v>
      </c>
      <c r="DX98" s="124">
        <f t="shared" si="147"/>
        <v>0</v>
      </c>
      <c r="DY98" s="124">
        <f t="shared" si="148"/>
        <v>0</v>
      </c>
      <c r="DZ98" s="124">
        <f t="shared" si="149"/>
        <v>0</v>
      </c>
      <c r="EA98" s="124">
        <f t="shared" si="150"/>
        <v>0</v>
      </c>
      <c r="EB98" s="124">
        <f t="shared" si="151"/>
        <v>0</v>
      </c>
      <c r="EC98" s="124">
        <f t="shared" si="152"/>
        <v>0</v>
      </c>
      <c r="ED98" s="124">
        <f t="shared" si="153"/>
        <v>0</v>
      </c>
      <c r="EE98" s="124">
        <f t="shared" si="154"/>
        <v>0</v>
      </c>
      <c r="EF98" s="124">
        <f t="shared" si="155"/>
        <v>0</v>
      </c>
      <c r="EG98" s="124">
        <f t="shared" si="156"/>
        <v>0</v>
      </c>
      <c r="EH98" s="124">
        <f t="shared" si="157"/>
        <v>0</v>
      </c>
      <c r="EI98" s="124">
        <f t="shared" si="158"/>
        <v>0</v>
      </c>
      <c r="EJ98" s="124">
        <f t="shared" si="159"/>
        <v>0</v>
      </c>
      <c r="EK98" s="124">
        <f t="shared" si="160"/>
        <v>0</v>
      </c>
      <c r="EL98" s="124">
        <f t="shared" si="161"/>
        <v>0</v>
      </c>
      <c r="EM98" s="124">
        <f t="shared" si="162"/>
        <v>0</v>
      </c>
      <c r="EN98" s="124">
        <f t="shared" si="163"/>
        <v>0</v>
      </c>
      <c r="EO98" s="124">
        <f t="shared" si="164"/>
        <v>0</v>
      </c>
      <c r="EP98" s="124">
        <f t="shared" si="165"/>
        <v>0</v>
      </c>
      <c r="EQ98" s="124">
        <f t="shared" si="166"/>
        <v>0</v>
      </c>
      <c r="ER98" s="124">
        <f t="shared" si="167"/>
        <v>0</v>
      </c>
      <c r="ES98" s="124">
        <f t="shared" si="168"/>
        <v>0</v>
      </c>
      <c r="ET98" s="124">
        <f t="shared" si="169"/>
        <v>0</v>
      </c>
      <c r="EU98" s="124">
        <f t="shared" si="170"/>
        <v>0</v>
      </c>
      <c r="EV98" s="124">
        <f t="shared" si="171"/>
        <v>0</v>
      </c>
      <c r="EW98" s="209">
        <f t="shared" si="172"/>
        <v>0</v>
      </c>
      <c r="EX98" s="72"/>
      <c r="EY98" s="123">
        <f t="shared" si="173"/>
        <v>4331.3360799164748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4"/>
        <v>0</v>
      </c>
    </row>
    <row r="99" spans="112:196">
      <c r="DH99" s="123">
        <f t="shared" si="131"/>
        <v>4547.9028839122984</v>
      </c>
      <c r="DI99" s="124">
        <f t="shared" si="132"/>
        <v>0</v>
      </c>
      <c r="DJ99" s="124">
        <f t="shared" si="133"/>
        <v>0</v>
      </c>
      <c r="DK99" s="124">
        <f t="shared" si="134"/>
        <v>0</v>
      </c>
      <c r="DL99" s="124">
        <f t="shared" si="135"/>
        <v>0</v>
      </c>
      <c r="DM99" s="124">
        <f t="shared" si="136"/>
        <v>0</v>
      </c>
      <c r="DN99" s="124">
        <f t="shared" si="137"/>
        <v>0</v>
      </c>
      <c r="DO99" s="124">
        <f t="shared" si="138"/>
        <v>0</v>
      </c>
      <c r="DP99" s="124">
        <f t="shared" si="139"/>
        <v>0</v>
      </c>
      <c r="DQ99" s="124">
        <f t="shared" si="140"/>
        <v>0</v>
      </c>
      <c r="DR99" s="124">
        <f t="shared" si="141"/>
        <v>0</v>
      </c>
      <c r="DS99" s="124">
        <f t="shared" si="142"/>
        <v>0</v>
      </c>
      <c r="DT99" s="124">
        <f t="shared" si="143"/>
        <v>0</v>
      </c>
      <c r="DU99" s="124">
        <f t="shared" si="144"/>
        <v>0</v>
      </c>
      <c r="DV99" s="124">
        <f t="shared" si="145"/>
        <v>0</v>
      </c>
      <c r="DW99" s="124">
        <f t="shared" si="146"/>
        <v>0</v>
      </c>
      <c r="DX99" s="124">
        <f t="shared" si="147"/>
        <v>0</v>
      </c>
      <c r="DY99" s="124">
        <f t="shared" si="148"/>
        <v>0</v>
      </c>
      <c r="DZ99" s="124">
        <f t="shared" si="149"/>
        <v>0</v>
      </c>
      <c r="EA99" s="124">
        <f t="shared" si="150"/>
        <v>0</v>
      </c>
      <c r="EB99" s="124">
        <f t="shared" si="151"/>
        <v>0</v>
      </c>
      <c r="EC99" s="124">
        <f t="shared" si="152"/>
        <v>0</v>
      </c>
      <c r="ED99" s="124">
        <f t="shared" si="153"/>
        <v>0</v>
      </c>
      <c r="EE99" s="124">
        <f t="shared" si="154"/>
        <v>0</v>
      </c>
      <c r="EF99" s="124">
        <f t="shared" si="155"/>
        <v>0</v>
      </c>
      <c r="EG99" s="124">
        <f t="shared" si="156"/>
        <v>0</v>
      </c>
      <c r="EH99" s="124">
        <f t="shared" si="157"/>
        <v>0</v>
      </c>
      <c r="EI99" s="124">
        <f t="shared" si="158"/>
        <v>0</v>
      </c>
      <c r="EJ99" s="124">
        <f t="shared" si="159"/>
        <v>0</v>
      </c>
      <c r="EK99" s="124">
        <f t="shared" si="160"/>
        <v>0</v>
      </c>
      <c r="EL99" s="124">
        <f t="shared" si="161"/>
        <v>0</v>
      </c>
      <c r="EM99" s="124">
        <f t="shared" si="162"/>
        <v>0</v>
      </c>
      <c r="EN99" s="124">
        <f t="shared" si="163"/>
        <v>0</v>
      </c>
      <c r="EO99" s="124">
        <f t="shared" si="164"/>
        <v>0</v>
      </c>
      <c r="EP99" s="124">
        <f t="shared" si="165"/>
        <v>0</v>
      </c>
      <c r="EQ99" s="124">
        <f t="shared" si="166"/>
        <v>0</v>
      </c>
      <c r="ER99" s="124">
        <f t="shared" si="167"/>
        <v>0</v>
      </c>
      <c r="ES99" s="124">
        <f t="shared" si="168"/>
        <v>0</v>
      </c>
      <c r="ET99" s="124">
        <f t="shared" si="169"/>
        <v>0</v>
      </c>
      <c r="EU99" s="124">
        <f t="shared" si="170"/>
        <v>0</v>
      </c>
      <c r="EV99" s="124">
        <f t="shared" si="171"/>
        <v>0</v>
      </c>
      <c r="EW99" s="209">
        <f t="shared" si="172"/>
        <v>0</v>
      </c>
      <c r="EX99" s="72"/>
      <c r="EY99" s="123">
        <f t="shared" si="173"/>
        <v>4547.9028839122984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4"/>
        <v>0</v>
      </c>
    </row>
    <row r="100" spans="112:196">
      <c r="DH100" s="123">
        <f t="shared" si="131"/>
        <v>4775.2980281079135</v>
      </c>
      <c r="DI100" s="124">
        <f t="shared" si="132"/>
        <v>0</v>
      </c>
      <c r="DJ100" s="124">
        <f t="shared" si="133"/>
        <v>0</v>
      </c>
      <c r="DK100" s="124">
        <f t="shared" si="134"/>
        <v>0</v>
      </c>
      <c r="DL100" s="124">
        <f t="shared" si="135"/>
        <v>0</v>
      </c>
      <c r="DM100" s="124">
        <f t="shared" si="136"/>
        <v>0</v>
      </c>
      <c r="DN100" s="124">
        <f t="shared" si="137"/>
        <v>0</v>
      </c>
      <c r="DO100" s="124">
        <f t="shared" si="138"/>
        <v>0</v>
      </c>
      <c r="DP100" s="124">
        <f t="shared" si="139"/>
        <v>0</v>
      </c>
      <c r="DQ100" s="124">
        <f t="shared" si="140"/>
        <v>0</v>
      </c>
      <c r="DR100" s="124">
        <f t="shared" si="141"/>
        <v>0</v>
      </c>
      <c r="DS100" s="124">
        <f t="shared" si="142"/>
        <v>0</v>
      </c>
      <c r="DT100" s="124">
        <f t="shared" si="143"/>
        <v>0</v>
      </c>
      <c r="DU100" s="124">
        <f t="shared" si="144"/>
        <v>0</v>
      </c>
      <c r="DV100" s="124">
        <f t="shared" si="145"/>
        <v>0</v>
      </c>
      <c r="DW100" s="124">
        <f t="shared" si="146"/>
        <v>0</v>
      </c>
      <c r="DX100" s="124">
        <f t="shared" si="147"/>
        <v>0</v>
      </c>
      <c r="DY100" s="124">
        <f t="shared" si="148"/>
        <v>0</v>
      </c>
      <c r="DZ100" s="124">
        <f t="shared" si="149"/>
        <v>0</v>
      </c>
      <c r="EA100" s="124">
        <f t="shared" si="150"/>
        <v>0</v>
      </c>
      <c r="EB100" s="124">
        <f t="shared" si="151"/>
        <v>0</v>
      </c>
      <c r="EC100" s="124">
        <f t="shared" si="152"/>
        <v>0</v>
      </c>
      <c r="ED100" s="124">
        <f t="shared" si="153"/>
        <v>0</v>
      </c>
      <c r="EE100" s="124">
        <f t="shared" si="154"/>
        <v>0</v>
      </c>
      <c r="EF100" s="124">
        <f t="shared" si="155"/>
        <v>0</v>
      </c>
      <c r="EG100" s="124">
        <f t="shared" si="156"/>
        <v>0</v>
      </c>
      <c r="EH100" s="124">
        <f t="shared" si="157"/>
        <v>0</v>
      </c>
      <c r="EI100" s="124">
        <f t="shared" si="158"/>
        <v>0</v>
      </c>
      <c r="EJ100" s="124">
        <f t="shared" si="159"/>
        <v>0</v>
      </c>
      <c r="EK100" s="124">
        <f t="shared" si="160"/>
        <v>0</v>
      </c>
      <c r="EL100" s="124">
        <f t="shared" si="161"/>
        <v>0</v>
      </c>
      <c r="EM100" s="124">
        <f t="shared" si="162"/>
        <v>0</v>
      </c>
      <c r="EN100" s="124">
        <f t="shared" si="163"/>
        <v>0</v>
      </c>
      <c r="EO100" s="124">
        <f t="shared" si="164"/>
        <v>0</v>
      </c>
      <c r="EP100" s="124">
        <f t="shared" si="165"/>
        <v>0</v>
      </c>
      <c r="EQ100" s="124">
        <f t="shared" si="166"/>
        <v>0</v>
      </c>
      <c r="ER100" s="124">
        <f t="shared" si="167"/>
        <v>0</v>
      </c>
      <c r="ES100" s="124">
        <f t="shared" si="168"/>
        <v>0</v>
      </c>
      <c r="ET100" s="124">
        <f t="shared" si="169"/>
        <v>0</v>
      </c>
      <c r="EU100" s="124">
        <f t="shared" si="170"/>
        <v>0</v>
      </c>
      <c r="EV100" s="124">
        <f t="shared" si="171"/>
        <v>0</v>
      </c>
      <c r="EW100" s="209">
        <f t="shared" si="172"/>
        <v>0</v>
      </c>
      <c r="EX100" s="72"/>
      <c r="EY100" s="123">
        <f t="shared" si="173"/>
        <v>4775.2980281079135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4"/>
        <v>0</v>
      </c>
    </row>
    <row r="101" spans="112:196">
      <c r="DH101" s="123">
        <f t="shared" si="131"/>
        <v>5014.0629295133094</v>
      </c>
      <c r="DI101" s="124">
        <f t="shared" si="132"/>
        <v>0</v>
      </c>
      <c r="DJ101" s="124">
        <f t="shared" si="133"/>
        <v>0</v>
      </c>
      <c r="DK101" s="124">
        <f t="shared" si="134"/>
        <v>0</v>
      </c>
      <c r="DL101" s="124">
        <f t="shared" si="135"/>
        <v>0</v>
      </c>
      <c r="DM101" s="124">
        <f t="shared" si="136"/>
        <v>0</v>
      </c>
      <c r="DN101" s="124">
        <f t="shared" si="137"/>
        <v>0</v>
      </c>
      <c r="DO101" s="124">
        <f t="shared" si="138"/>
        <v>0</v>
      </c>
      <c r="DP101" s="124">
        <f t="shared" si="139"/>
        <v>0</v>
      </c>
      <c r="DQ101" s="124">
        <f t="shared" si="140"/>
        <v>0</v>
      </c>
      <c r="DR101" s="124">
        <f t="shared" si="141"/>
        <v>0</v>
      </c>
      <c r="DS101" s="124">
        <f t="shared" si="142"/>
        <v>0</v>
      </c>
      <c r="DT101" s="124">
        <f t="shared" si="143"/>
        <v>0</v>
      </c>
      <c r="DU101" s="124">
        <f t="shared" si="144"/>
        <v>0</v>
      </c>
      <c r="DV101" s="124">
        <f t="shared" si="145"/>
        <v>0</v>
      </c>
      <c r="DW101" s="124">
        <f t="shared" si="146"/>
        <v>0</v>
      </c>
      <c r="DX101" s="124">
        <f t="shared" si="147"/>
        <v>0</v>
      </c>
      <c r="DY101" s="124">
        <f t="shared" si="148"/>
        <v>0</v>
      </c>
      <c r="DZ101" s="124">
        <f t="shared" si="149"/>
        <v>0</v>
      </c>
      <c r="EA101" s="124">
        <f t="shared" si="150"/>
        <v>0</v>
      </c>
      <c r="EB101" s="124">
        <f t="shared" si="151"/>
        <v>0</v>
      </c>
      <c r="EC101" s="124">
        <f t="shared" si="152"/>
        <v>0</v>
      </c>
      <c r="ED101" s="124">
        <f t="shared" si="153"/>
        <v>0</v>
      </c>
      <c r="EE101" s="124">
        <f t="shared" si="154"/>
        <v>0</v>
      </c>
      <c r="EF101" s="124">
        <f t="shared" si="155"/>
        <v>0</v>
      </c>
      <c r="EG101" s="124">
        <f t="shared" si="156"/>
        <v>0</v>
      </c>
      <c r="EH101" s="124">
        <f t="shared" si="157"/>
        <v>0</v>
      </c>
      <c r="EI101" s="124">
        <f t="shared" si="158"/>
        <v>0</v>
      </c>
      <c r="EJ101" s="124">
        <f t="shared" si="159"/>
        <v>0</v>
      </c>
      <c r="EK101" s="124">
        <f t="shared" si="160"/>
        <v>0</v>
      </c>
      <c r="EL101" s="124">
        <f t="shared" si="161"/>
        <v>0</v>
      </c>
      <c r="EM101" s="124">
        <f t="shared" si="162"/>
        <v>0</v>
      </c>
      <c r="EN101" s="124">
        <f t="shared" si="163"/>
        <v>0</v>
      </c>
      <c r="EO101" s="124">
        <f t="shared" si="164"/>
        <v>0</v>
      </c>
      <c r="EP101" s="124">
        <f t="shared" si="165"/>
        <v>0</v>
      </c>
      <c r="EQ101" s="124">
        <f t="shared" si="166"/>
        <v>0</v>
      </c>
      <c r="ER101" s="124">
        <f t="shared" si="167"/>
        <v>0</v>
      </c>
      <c r="ES101" s="124">
        <f t="shared" si="168"/>
        <v>0</v>
      </c>
      <c r="ET101" s="124">
        <f t="shared" si="169"/>
        <v>0</v>
      </c>
      <c r="EU101" s="124">
        <f t="shared" si="170"/>
        <v>0</v>
      </c>
      <c r="EV101" s="124">
        <f t="shared" si="171"/>
        <v>0</v>
      </c>
      <c r="EW101" s="209">
        <f t="shared" si="172"/>
        <v>0</v>
      </c>
      <c r="EX101" s="72"/>
      <c r="EY101" s="123">
        <f t="shared" si="173"/>
        <v>5014.0629295133094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4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5">DH3</f>
        <v>1064.1799556769529</v>
      </c>
      <c r="DI103" s="124">
        <f t="shared" ref="DI103:DI134" si="176">IF($DH103&lt;$AG$3,$AF$3*100*($AG$3-$DH103),0)</f>
        <v>0</v>
      </c>
      <c r="DJ103" s="124">
        <f t="shared" ref="DJ103:DJ134" si="177">IF($DH103&lt;$AG$4,$AF$4*100*($AG$4-$DH103),0)</f>
        <v>0</v>
      </c>
      <c r="DK103" s="124">
        <f t="shared" ref="DK103:DK134" si="178">IF($DH103&lt;$AG$5,$AF$5*100*($AG$5-$DH103),0)</f>
        <v>0</v>
      </c>
      <c r="DL103" s="124">
        <f t="shared" ref="DL103:DL134" si="179">IF($DH103&lt;$AG$6,$AF$6*100*($AG$6-$DH103),0)</f>
        <v>0</v>
      </c>
      <c r="DM103" s="124">
        <f t="shared" ref="DM103:DM134" si="180">IF($DH103&lt;$AG$7,$AF$7*100*($AG$7-$DH103),0)</f>
        <v>0</v>
      </c>
      <c r="DN103" s="124">
        <f t="shared" ref="DN103:DN134" si="181">IF($DH103&lt;$AG$8,$AF$8*100*($AG$8-$DH103),0)</f>
        <v>0</v>
      </c>
      <c r="DO103" s="124">
        <f t="shared" ref="DO103:DO134" si="182">IF($DH103&lt;$AG$9,$AF$9*100*($AG$9-$DH103),0)</f>
        <v>0</v>
      </c>
      <c r="DP103" s="124">
        <f t="shared" ref="DP103:DP134" si="183">IF($DH103&lt;$AG$10,$AF$10*100*($AG$10-$DH103),0)</f>
        <v>0</v>
      </c>
      <c r="DQ103" s="124">
        <f t="shared" ref="DQ103:DQ134" si="184">IF($DH103&lt;$AG$11,$AF$11*100*($AG$11-$DH103),0)</f>
        <v>0</v>
      </c>
      <c r="DR103" s="124">
        <f t="shared" ref="DR103:DR134" si="185">IF($DH103&lt;$AG$12,$AF$12*100*($AG$12-$DH103),0)</f>
        <v>0</v>
      </c>
      <c r="DS103" s="124">
        <f t="shared" ref="DS103:DS134" si="186">IF($DH103&lt;$AG$13,$AF$13*100*($AG$13-$DH103),0)</f>
        <v>0</v>
      </c>
      <c r="DT103" s="124">
        <f t="shared" ref="DT103:DT134" si="187">IF($DH103&lt;$AG$14,$AF$14*100*($AG$14-$DH103),0)</f>
        <v>0</v>
      </c>
      <c r="DU103" s="124">
        <f t="shared" ref="DU103:DU134" si="188">IF($DH103&lt;$AG$15,$AF$15*100*($AG$15-$DH103),0)</f>
        <v>0</v>
      </c>
      <c r="DV103" s="124">
        <f t="shared" ref="DV103:DV134" si="189">IF($DH103&lt;$AG$16,$AF$16*100*($AG$16-$DH103),0)</f>
        <v>0</v>
      </c>
      <c r="DW103" s="124">
        <f t="shared" ref="DW103:DW134" si="190">IF($DH103&lt;$AG$17,$AF$17*100*($AG$17-$DH103),0)</f>
        <v>0</v>
      </c>
      <c r="DX103" s="124">
        <f t="shared" ref="DX103:DX134" si="191">IF($DH103&lt;$AG$18,$AF$18*100*($AG$18-$DH103),0)</f>
        <v>0</v>
      </c>
      <c r="DY103" s="124">
        <f t="shared" ref="DY103:DY134" si="192">IF($DH103&lt;$AG$19,$AF$19*100*($AG$19-$DH103),0)</f>
        <v>0</v>
      </c>
      <c r="DZ103" s="124">
        <f t="shared" ref="DZ103:DZ134" si="193">IF($DH103&lt;$AG$20,$AF$20*100*($AG$20-$DH103),0)</f>
        <v>0</v>
      </c>
      <c r="EA103" s="124">
        <f t="shared" ref="EA103:EA134" si="194">IF($DH103&lt;$AG$21,$AF$21*100*($AG$21-$DH103),0)</f>
        <v>0</v>
      </c>
      <c r="EB103" s="124">
        <f t="shared" ref="EB103:EB134" si="195">IF($DH103&lt;$AG$22,$AF$22*100*($AG$22-$DH103),0)</f>
        <v>0</v>
      </c>
      <c r="EC103" s="124">
        <f t="shared" ref="EC103:EC134" si="196">IF($DH103&lt;$AG$23,$AF$23*100*($AG$23-$DH103),0)</f>
        <v>0</v>
      </c>
      <c r="ED103" s="124">
        <f t="shared" ref="ED103:ED134" si="197">IF($DH103&lt;$AG$24,$AF$24*100*($AG$24-$DH103),0)</f>
        <v>0</v>
      </c>
      <c r="EE103" s="124">
        <f t="shared" ref="EE103:EE134" si="198">IF($DH103&lt;$AG$25,$AF$25*100*($AG$25-$DH103),0)</f>
        <v>0</v>
      </c>
      <c r="EF103" s="124">
        <f t="shared" ref="EF103:EF134" si="199">IF($DH103&lt;$AG$26,$AF$26*100*($AG$26-$DH103),0)</f>
        <v>0</v>
      </c>
      <c r="EG103" s="124">
        <f t="shared" ref="EG103:EG134" si="200">IF($DH103&lt;$AG$27,$AF$27*100*($AG$27-$DH103),0)</f>
        <v>0</v>
      </c>
      <c r="EH103" s="124">
        <f t="shared" ref="EH103:EH134" si="201">IF($DH103&lt;$AG$28,$AF$28*100*($AG$28-$DH103),0)</f>
        <v>0</v>
      </c>
      <c r="EI103" s="124">
        <f t="shared" ref="EI103:EI134" si="202">IF($DH103&lt;$AG$29,$AF$29*100*($AG$29-$DH103),0)</f>
        <v>0</v>
      </c>
      <c r="EJ103" s="124">
        <f t="shared" ref="EJ103:EJ134" si="203">IF($DH103&lt;$AG$30,$AF$30*100*($AG$30-$DH103),0)</f>
        <v>0</v>
      </c>
      <c r="EK103" s="124">
        <f t="shared" ref="EK103:EK134" si="204">IF($DH103&lt;$AG$31,$AF$31*100*($AG$31-$DH103),0)</f>
        <v>0</v>
      </c>
      <c r="EL103" s="124">
        <f t="shared" ref="EL103:EL134" si="205">IF($DH103&lt;$AG$32,$AF$32*100*($AG$32-$DH103),0)</f>
        <v>0</v>
      </c>
      <c r="EM103" s="124">
        <f t="shared" ref="EM103:EM134" si="206">IF($DH103&lt;$AG$33,$AF$33*100*($AG$33-$DH103),0)</f>
        <v>0</v>
      </c>
      <c r="EN103" s="124">
        <f t="shared" ref="EN103:EN134" si="207">IF($DH103&lt;$AG$34,$AF$34*100*($AG$34-$DH103),0)</f>
        <v>0</v>
      </c>
      <c r="EO103" s="124">
        <f t="shared" ref="EO103:EO134" si="208">IF($DH103&lt;$AG$35,$AF$35*100*($AG$35-$DH103),0)</f>
        <v>0</v>
      </c>
      <c r="EP103" s="124">
        <f t="shared" ref="EP103:EP134" si="209">IF($DH103&lt;$AG$36,$AF$36*100*($AG$36-$DH103),0)</f>
        <v>0</v>
      </c>
      <c r="EQ103" s="124">
        <f t="shared" ref="EQ103:EQ134" si="210">IF($DH103&lt;$AG$37,$AF$37*100*($AG$37-$DH103),0)</f>
        <v>0</v>
      </c>
      <c r="ER103" s="124">
        <f t="shared" ref="ER103:ER134" si="211">IF($DH103&lt;$AG$38,$AF$38*100*($AG$38-$DH103),0)</f>
        <v>0</v>
      </c>
      <c r="ES103" s="124">
        <f t="shared" ref="ES103:ES134" si="212">IF($DH103&lt;$AG$39,$AF$39*100*($AG$39-$DH103),0)</f>
        <v>0</v>
      </c>
      <c r="ET103" s="124">
        <f t="shared" ref="ET103:ET134" si="213">IF($DH103&lt;$AG$40,$AF$40*100*($AG$40-$DH103),0)</f>
        <v>0</v>
      </c>
      <c r="EU103" s="124">
        <f t="shared" ref="EU103:EU134" si="214">IF($DH103&lt;$AG$41,$AF$41*100*($AG$41-$DH103),0)</f>
        <v>0</v>
      </c>
      <c r="EV103" s="124">
        <f t="shared" ref="EV103:EV134" si="215">IF($DH103&lt;$AG$42,$AF$42*100*($AG$42-$DH103),0)</f>
        <v>0</v>
      </c>
      <c r="EW103" s="209">
        <f t="shared" ref="EW103:EW134" si="216">SUM(DI103:EV103)</f>
        <v>0</v>
      </c>
      <c r="EX103" s="72"/>
      <c r="EY103" s="123">
        <f t="shared" ref="EY103:EY134" si="217">EY3</f>
        <v>1064.1799556769529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8">SUM(EZ103:GM103)</f>
        <v>0</v>
      </c>
    </row>
    <row r="104" spans="112:196">
      <c r="DH104" s="123">
        <f t="shared" si="175"/>
        <v>1120.1894270283715</v>
      </c>
      <c r="DI104" s="124">
        <f t="shared" si="176"/>
        <v>0</v>
      </c>
      <c r="DJ104" s="124">
        <f t="shared" si="177"/>
        <v>0</v>
      </c>
      <c r="DK104" s="124">
        <f t="shared" si="178"/>
        <v>0</v>
      </c>
      <c r="DL104" s="124">
        <f t="shared" si="179"/>
        <v>0</v>
      </c>
      <c r="DM104" s="124">
        <f t="shared" si="180"/>
        <v>0</v>
      </c>
      <c r="DN104" s="124">
        <f t="shared" si="181"/>
        <v>0</v>
      </c>
      <c r="DO104" s="124">
        <f t="shared" si="182"/>
        <v>0</v>
      </c>
      <c r="DP104" s="124">
        <f t="shared" si="183"/>
        <v>0</v>
      </c>
      <c r="DQ104" s="124">
        <f t="shared" si="184"/>
        <v>0</v>
      </c>
      <c r="DR104" s="124">
        <f t="shared" si="185"/>
        <v>0</v>
      </c>
      <c r="DS104" s="124">
        <f t="shared" si="186"/>
        <v>0</v>
      </c>
      <c r="DT104" s="124">
        <f t="shared" si="187"/>
        <v>0</v>
      </c>
      <c r="DU104" s="124">
        <f t="shared" si="188"/>
        <v>0</v>
      </c>
      <c r="DV104" s="124">
        <f t="shared" si="189"/>
        <v>0</v>
      </c>
      <c r="DW104" s="124">
        <f t="shared" si="190"/>
        <v>0</v>
      </c>
      <c r="DX104" s="124">
        <f t="shared" si="191"/>
        <v>0</v>
      </c>
      <c r="DY104" s="124">
        <f t="shared" si="192"/>
        <v>0</v>
      </c>
      <c r="DZ104" s="124">
        <f t="shared" si="193"/>
        <v>0</v>
      </c>
      <c r="EA104" s="124">
        <f t="shared" si="194"/>
        <v>0</v>
      </c>
      <c r="EB104" s="124">
        <f t="shared" si="195"/>
        <v>0</v>
      </c>
      <c r="EC104" s="124">
        <f t="shared" si="196"/>
        <v>0</v>
      </c>
      <c r="ED104" s="124">
        <f t="shared" si="197"/>
        <v>0</v>
      </c>
      <c r="EE104" s="124">
        <f t="shared" si="198"/>
        <v>0</v>
      </c>
      <c r="EF104" s="124">
        <f t="shared" si="199"/>
        <v>0</v>
      </c>
      <c r="EG104" s="124">
        <f t="shared" si="200"/>
        <v>0</v>
      </c>
      <c r="EH104" s="124">
        <f t="shared" si="201"/>
        <v>0</v>
      </c>
      <c r="EI104" s="124">
        <f t="shared" si="202"/>
        <v>0</v>
      </c>
      <c r="EJ104" s="124">
        <f t="shared" si="203"/>
        <v>0</v>
      </c>
      <c r="EK104" s="124">
        <f t="shared" si="204"/>
        <v>0</v>
      </c>
      <c r="EL104" s="124">
        <f t="shared" si="205"/>
        <v>0</v>
      </c>
      <c r="EM104" s="124">
        <f t="shared" si="206"/>
        <v>0</v>
      </c>
      <c r="EN104" s="124">
        <f t="shared" si="207"/>
        <v>0</v>
      </c>
      <c r="EO104" s="124">
        <f t="shared" si="208"/>
        <v>0</v>
      </c>
      <c r="EP104" s="124">
        <f t="shared" si="209"/>
        <v>0</v>
      </c>
      <c r="EQ104" s="124">
        <f t="shared" si="210"/>
        <v>0</v>
      </c>
      <c r="ER104" s="124">
        <f t="shared" si="211"/>
        <v>0</v>
      </c>
      <c r="ES104" s="124">
        <f t="shared" si="212"/>
        <v>0</v>
      </c>
      <c r="ET104" s="124">
        <f t="shared" si="213"/>
        <v>0</v>
      </c>
      <c r="EU104" s="124">
        <f t="shared" si="214"/>
        <v>0</v>
      </c>
      <c r="EV104" s="124">
        <f t="shared" si="215"/>
        <v>0</v>
      </c>
      <c r="EW104" s="209">
        <f t="shared" si="216"/>
        <v>0</v>
      </c>
      <c r="EX104" s="72"/>
      <c r="EY104" s="123">
        <f t="shared" si="217"/>
        <v>1120.1894270283715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8"/>
        <v>0</v>
      </c>
    </row>
    <row r="105" spans="112:196">
      <c r="DH105" s="123">
        <f t="shared" si="175"/>
        <v>1179.1467652930228</v>
      </c>
      <c r="DI105" s="124">
        <f t="shared" si="176"/>
        <v>0</v>
      </c>
      <c r="DJ105" s="124">
        <f t="shared" si="177"/>
        <v>0</v>
      </c>
      <c r="DK105" s="124">
        <f t="shared" si="178"/>
        <v>0</v>
      </c>
      <c r="DL105" s="124">
        <f t="shared" si="179"/>
        <v>0</v>
      </c>
      <c r="DM105" s="124">
        <f t="shared" si="180"/>
        <v>0</v>
      </c>
      <c r="DN105" s="124">
        <f t="shared" si="181"/>
        <v>0</v>
      </c>
      <c r="DO105" s="124">
        <f t="shared" si="182"/>
        <v>0</v>
      </c>
      <c r="DP105" s="124">
        <f t="shared" si="183"/>
        <v>0</v>
      </c>
      <c r="DQ105" s="124">
        <f t="shared" si="184"/>
        <v>0</v>
      </c>
      <c r="DR105" s="124">
        <f t="shared" si="185"/>
        <v>0</v>
      </c>
      <c r="DS105" s="124">
        <f t="shared" si="186"/>
        <v>0</v>
      </c>
      <c r="DT105" s="124">
        <f t="shared" si="187"/>
        <v>0</v>
      </c>
      <c r="DU105" s="124">
        <f t="shared" si="188"/>
        <v>0</v>
      </c>
      <c r="DV105" s="124">
        <f t="shared" si="189"/>
        <v>0</v>
      </c>
      <c r="DW105" s="124">
        <f t="shared" si="190"/>
        <v>0</v>
      </c>
      <c r="DX105" s="124">
        <f t="shared" si="191"/>
        <v>0</v>
      </c>
      <c r="DY105" s="124">
        <f t="shared" si="192"/>
        <v>0</v>
      </c>
      <c r="DZ105" s="124">
        <f t="shared" si="193"/>
        <v>0</v>
      </c>
      <c r="EA105" s="124">
        <f t="shared" si="194"/>
        <v>0</v>
      </c>
      <c r="EB105" s="124">
        <f t="shared" si="195"/>
        <v>0</v>
      </c>
      <c r="EC105" s="124">
        <f t="shared" si="196"/>
        <v>0</v>
      </c>
      <c r="ED105" s="124">
        <f t="shared" si="197"/>
        <v>0</v>
      </c>
      <c r="EE105" s="124">
        <f t="shared" si="198"/>
        <v>0</v>
      </c>
      <c r="EF105" s="124">
        <f t="shared" si="199"/>
        <v>0</v>
      </c>
      <c r="EG105" s="124">
        <f t="shared" si="200"/>
        <v>0</v>
      </c>
      <c r="EH105" s="124">
        <f t="shared" si="201"/>
        <v>0</v>
      </c>
      <c r="EI105" s="124">
        <f t="shared" si="202"/>
        <v>0</v>
      </c>
      <c r="EJ105" s="124">
        <f t="shared" si="203"/>
        <v>0</v>
      </c>
      <c r="EK105" s="124">
        <f t="shared" si="204"/>
        <v>0</v>
      </c>
      <c r="EL105" s="124">
        <f t="shared" si="205"/>
        <v>0</v>
      </c>
      <c r="EM105" s="124">
        <f t="shared" si="206"/>
        <v>0</v>
      </c>
      <c r="EN105" s="124">
        <f t="shared" si="207"/>
        <v>0</v>
      </c>
      <c r="EO105" s="124">
        <f t="shared" si="208"/>
        <v>0</v>
      </c>
      <c r="EP105" s="124">
        <f t="shared" si="209"/>
        <v>0</v>
      </c>
      <c r="EQ105" s="124">
        <f t="shared" si="210"/>
        <v>0</v>
      </c>
      <c r="ER105" s="124">
        <f t="shared" si="211"/>
        <v>0</v>
      </c>
      <c r="ES105" s="124">
        <f t="shared" si="212"/>
        <v>0</v>
      </c>
      <c r="ET105" s="124">
        <f t="shared" si="213"/>
        <v>0</v>
      </c>
      <c r="EU105" s="124">
        <f t="shared" si="214"/>
        <v>0</v>
      </c>
      <c r="EV105" s="124">
        <f t="shared" si="215"/>
        <v>0</v>
      </c>
      <c r="EW105" s="209">
        <f t="shared" si="216"/>
        <v>0</v>
      </c>
      <c r="EX105" s="72"/>
      <c r="EY105" s="123">
        <f t="shared" si="217"/>
        <v>1179.1467652930228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8"/>
        <v>0</v>
      </c>
    </row>
    <row r="106" spans="112:196">
      <c r="DH106" s="123">
        <f t="shared" si="175"/>
        <v>1241.2071213610766</v>
      </c>
      <c r="DI106" s="124">
        <f t="shared" si="176"/>
        <v>0</v>
      </c>
      <c r="DJ106" s="124">
        <f t="shared" si="177"/>
        <v>0</v>
      </c>
      <c r="DK106" s="124">
        <f t="shared" si="178"/>
        <v>0</v>
      </c>
      <c r="DL106" s="124">
        <f t="shared" si="179"/>
        <v>0</v>
      </c>
      <c r="DM106" s="124">
        <f t="shared" si="180"/>
        <v>0</v>
      </c>
      <c r="DN106" s="124">
        <f t="shared" si="181"/>
        <v>0</v>
      </c>
      <c r="DO106" s="124">
        <f t="shared" si="182"/>
        <v>0</v>
      </c>
      <c r="DP106" s="124">
        <f t="shared" si="183"/>
        <v>0</v>
      </c>
      <c r="DQ106" s="124">
        <f t="shared" si="184"/>
        <v>0</v>
      </c>
      <c r="DR106" s="124">
        <f t="shared" si="185"/>
        <v>0</v>
      </c>
      <c r="DS106" s="124">
        <f t="shared" si="186"/>
        <v>0</v>
      </c>
      <c r="DT106" s="124">
        <f t="shared" si="187"/>
        <v>0</v>
      </c>
      <c r="DU106" s="124">
        <f t="shared" si="188"/>
        <v>0</v>
      </c>
      <c r="DV106" s="124">
        <f t="shared" si="189"/>
        <v>0</v>
      </c>
      <c r="DW106" s="124">
        <f t="shared" si="190"/>
        <v>0</v>
      </c>
      <c r="DX106" s="124">
        <f t="shared" si="191"/>
        <v>0</v>
      </c>
      <c r="DY106" s="124">
        <f t="shared" si="192"/>
        <v>0</v>
      </c>
      <c r="DZ106" s="124">
        <f t="shared" si="193"/>
        <v>0</v>
      </c>
      <c r="EA106" s="124">
        <f t="shared" si="194"/>
        <v>0</v>
      </c>
      <c r="EB106" s="124">
        <f t="shared" si="195"/>
        <v>0</v>
      </c>
      <c r="EC106" s="124">
        <f t="shared" si="196"/>
        <v>0</v>
      </c>
      <c r="ED106" s="124">
        <f t="shared" si="197"/>
        <v>0</v>
      </c>
      <c r="EE106" s="124">
        <f t="shared" si="198"/>
        <v>0</v>
      </c>
      <c r="EF106" s="124">
        <f t="shared" si="199"/>
        <v>0</v>
      </c>
      <c r="EG106" s="124">
        <f t="shared" si="200"/>
        <v>0</v>
      </c>
      <c r="EH106" s="124">
        <f t="shared" si="201"/>
        <v>0</v>
      </c>
      <c r="EI106" s="124">
        <f t="shared" si="202"/>
        <v>0</v>
      </c>
      <c r="EJ106" s="124">
        <f t="shared" si="203"/>
        <v>0</v>
      </c>
      <c r="EK106" s="124">
        <f t="shared" si="204"/>
        <v>0</v>
      </c>
      <c r="EL106" s="124">
        <f t="shared" si="205"/>
        <v>0</v>
      </c>
      <c r="EM106" s="124">
        <f t="shared" si="206"/>
        <v>0</v>
      </c>
      <c r="EN106" s="124">
        <f t="shared" si="207"/>
        <v>0</v>
      </c>
      <c r="EO106" s="124">
        <f t="shared" si="208"/>
        <v>0</v>
      </c>
      <c r="EP106" s="124">
        <f t="shared" si="209"/>
        <v>0</v>
      </c>
      <c r="EQ106" s="124">
        <f t="shared" si="210"/>
        <v>0</v>
      </c>
      <c r="ER106" s="124">
        <f t="shared" si="211"/>
        <v>0</v>
      </c>
      <c r="ES106" s="124">
        <f t="shared" si="212"/>
        <v>0</v>
      </c>
      <c r="ET106" s="124">
        <f t="shared" si="213"/>
        <v>0</v>
      </c>
      <c r="EU106" s="124">
        <f t="shared" si="214"/>
        <v>0</v>
      </c>
      <c r="EV106" s="124">
        <f t="shared" si="215"/>
        <v>0</v>
      </c>
      <c r="EW106" s="209">
        <f t="shared" si="216"/>
        <v>0</v>
      </c>
      <c r="EX106" s="72"/>
      <c r="EY106" s="123">
        <f t="shared" si="217"/>
        <v>1241.2071213610766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8"/>
        <v>0</v>
      </c>
    </row>
    <row r="107" spans="112:196">
      <c r="DH107" s="123">
        <f t="shared" si="175"/>
        <v>1306.5338119590281</v>
      </c>
      <c r="DI107" s="124">
        <f t="shared" si="176"/>
        <v>0</v>
      </c>
      <c r="DJ107" s="124">
        <f t="shared" si="177"/>
        <v>0</v>
      </c>
      <c r="DK107" s="124">
        <f t="shared" si="178"/>
        <v>0</v>
      </c>
      <c r="DL107" s="124">
        <f t="shared" si="179"/>
        <v>0</v>
      </c>
      <c r="DM107" s="124">
        <f t="shared" si="180"/>
        <v>0</v>
      </c>
      <c r="DN107" s="124">
        <f t="shared" si="181"/>
        <v>0</v>
      </c>
      <c r="DO107" s="124">
        <f t="shared" si="182"/>
        <v>0</v>
      </c>
      <c r="DP107" s="124">
        <f t="shared" si="183"/>
        <v>0</v>
      </c>
      <c r="DQ107" s="124">
        <f t="shared" si="184"/>
        <v>0</v>
      </c>
      <c r="DR107" s="124">
        <f t="shared" si="185"/>
        <v>0</v>
      </c>
      <c r="DS107" s="124">
        <f t="shared" si="186"/>
        <v>0</v>
      </c>
      <c r="DT107" s="124">
        <f t="shared" si="187"/>
        <v>0</v>
      </c>
      <c r="DU107" s="124">
        <f t="shared" si="188"/>
        <v>0</v>
      </c>
      <c r="DV107" s="124">
        <f t="shared" si="189"/>
        <v>0</v>
      </c>
      <c r="DW107" s="124">
        <f t="shared" si="190"/>
        <v>0</v>
      </c>
      <c r="DX107" s="124">
        <f t="shared" si="191"/>
        <v>0</v>
      </c>
      <c r="DY107" s="124">
        <f t="shared" si="192"/>
        <v>0</v>
      </c>
      <c r="DZ107" s="124">
        <f t="shared" si="193"/>
        <v>0</v>
      </c>
      <c r="EA107" s="124">
        <f t="shared" si="194"/>
        <v>0</v>
      </c>
      <c r="EB107" s="124">
        <f t="shared" si="195"/>
        <v>0</v>
      </c>
      <c r="EC107" s="124">
        <f t="shared" si="196"/>
        <v>0</v>
      </c>
      <c r="ED107" s="124">
        <f t="shared" si="197"/>
        <v>0</v>
      </c>
      <c r="EE107" s="124">
        <f t="shared" si="198"/>
        <v>0</v>
      </c>
      <c r="EF107" s="124">
        <f t="shared" si="199"/>
        <v>0</v>
      </c>
      <c r="EG107" s="124">
        <f t="shared" si="200"/>
        <v>0</v>
      </c>
      <c r="EH107" s="124">
        <f t="shared" si="201"/>
        <v>0</v>
      </c>
      <c r="EI107" s="124">
        <f t="shared" si="202"/>
        <v>0</v>
      </c>
      <c r="EJ107" s="124">
        <f t="shared" si="203"/>
        <v>0</v>
      </c>
      <c r="EK107" s="124">
        <f t="shared" si="204"/>
        <v>0</v>
      </c>
      <c r="EL107" s="124">
        <f t="shared" si="205"/>
        <v>0</v>
      </c>
      <c r="EM107" s="124">
        <f t="shared" si="206"/>
        <v>0</v>
      </c>
      <c r="EN107" s="124">
        <f t="shared" si="207"/>
        <v>0</v>
      </c>
      <c r="EO107" s="124">
        <f t="shared" si="208"/>
        <v>0</v>
      </c>
      <c r="EP107" s="124">
        <f t="shared" si="209"/>
        <v>0</v>
      </c>
      <c r="EQ107" s="124">
        <f t="shared" si="210"/>
        <v>0</v>
      </c>
      <c r="ER107" s="124">
        <f t="shared" si="211"/>
        <v>0</v>
      </c>
      <c r="ES107" s="124">
        <f t="shared" si="212"/>
        <v>0</v>
      </c>
      <c r="ET107" s="124">
        <f t="shared" si="213"/>
        <v>0</v>
      </c>
      <c r="EU107" s="124">
        <f t="shared" si="214"/>
        <v>0</v>
      </c>
      <c r="EV107" s="124">
        <f t="shared" si="215"/>
        <v>0</v>
      </c>
      <c r="EW107" s="209">
        <f t="shared" si="216"/>
        <v>0</v>
      </c>
      <c r="EX107" s="72"/>
      <c r="EY107" s="123">
        <f t="shared" si="217"/>
        <v>1306.5338119590281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8"/>
        <v>0</v>
      </c>
    </row>
    <row r="108" spans="112:196">
      <c r="DH108" s="123">
        <f t="shared" si="175"/>
        <v>1375.298749430556</v>
      </c>
      <c r="DI108" s="124">
        <f t="shared" si="176"/>
        <v>0</v>
      </c>
      <c r="DJ108" s="124">
        <f t="shared" si="177"/>
        <v>0</v>
      </c>
      <c r="DK108" s="124">
        <f t="shared" si="178"/>
        <v>0</v>
      </c>
      <c r="DL108" s="124">
        <f t="shared" si="179"/>
        <v>0</v>
      </c>
      <c r="DM108" s="124">
        <f t="shared" si="180"/>
        <v>0</v>
      </c>
      <c r="DN108" s="124">
        <f t="shared" si="181"/>
        <v>0</v>
      </c>
      <c r="DO108" s="124">
        <f t="shared" si="182"/>
        <v>0</v>
      </c>
      <c r="DP108" s="124">
        <f t="shared" si="183"/>
        <v>0</v>
      </c>
      <c r="DQ108" s="124">
        <f t="shared" si="184"/>
        <v>0</v>
      </c>
      <c r="DR108" s="124">
        <f t="shared" si="185"/>
        <v>0</v>
      </c>
      <c r="DS108" s="124">
        <f t="shared" si="186"/>
        <v>0</v>
      </c>
      <c r="DT108" s="124">
        <f t="shared" si="187"/>
        <v>0</v>
      </c>
      <c r="DU108" s="124">
        <f t="shared" si="188"/>
        <v>0</v>
      </c>
      <c r="DV108" s="124">
        <f t="shared" si="189"/>
        <v>0</v>
      </c>
      <c r="DW108" s="124">
        <f t="shared" si="190"/>
        <v>0</v>
      </c>
      <c r="DX108" s="124">
        <f t="shared" si="191"/>
        <v>0</v>
      </c>
      <c r="DY108" s="124">
        <f t="shared" si="192"/>
        <v>0</v>
      </c>
      <c r="DZ108" s="124">
        <f t="shared" si="193"/>
        <v>0</v>
      </c>
      <c r="EA108" s="124">
        <f t="shared" si="194"/>
        <v>0</v>
      </c>
      <c r="EB108" s="124">
        <f t="shared" si="195"/>
        <v>0</v>
      </c>
      <c r="EC108" s="124">
        <f t="shared" si="196"/>
        <v>0</v>
      </c>
      <c r="ED108" s="124">
        <f t="shared" si="197"/>
        <v>0</v>
      </c>
      <c r="EE108" s="124">
        <f t="shared" si="198"/>
        <v>0</v>
      </c>
      <c r="EF108" s="124">
        <f t="shared" si="199"/>
        <v>0</v>
      </c>
      <c r="EG108" s="124">
        <f t="shared" si="200"/>
        <v>0</v>
      </c>
      <c r="EH108" s="124">
        <f t="shared" si="201"/>
        <v>0</v>
      </c>
      <c r="EI108" s="124">
        <f t="shared" si="202"/>
        <v>0</v>
      </c>
      <c r="EJ108" s="124">
        <f t="shared" si="203"/>
        <v>0</v>
      </c>
      <c r="EK108" s="124">
        <f t="shared" si="204"/>
        <v>0</v>
      </c>
      <c r="EL108" s="124">
        <f t="shared" si="205"/>
        <v>0</v>
      </c>
      <c r="EM108" s="124">
        <f t="shared" si="206"/>
        <v>0</v>
      </c>
      <c r="EN108" s="124">
        <f t="shared" si="207"/>
        <v>0</v>
      </c>
      <c r="EO108" s="124">
        <f t="shared" si="208"/>
        <v>0</v>
      </c>
      <c r="EP108" s="124">
        <f t="shared" si="209"/>
        <v>0</v>
      </c>
      <c r="EQ108" s="124">
        <f t="shared" si="210"/>
        <v>0</v>
      </c>
      <c r="ER108" s="124">
        <f t="shared" si="211"/>
        <v>0</v>
      </c>
      <c r="ES108" s="124">
        <f t="shared" si="212"/>
        <v>0</v>
      </c>
      <c r="ET108" s="124">
        <f t="shared" si="213"/>
        <v>0</v>
      </c>
      <c r="EU108" s="124">
        <f t="shared" si="214"/>
        <v>0</v>
      </c>
      <c r="EV108" s="124">
        <f t="shared" si="215"/>
        <v>0</v>
      </c>
      <c r="EW108" s="209">
        <f t="shared" si="216"/>
        <v>0</v>
      </c>
      <c r="EX108" s="72"/>
      <c r="EY108" s="123">
        <f t="shared" si="217"/>
        <v>1375.298749430556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8"/>
        <v>0</v>
      </c>
    </row>
    <row r="109" spans="112:196">
      <c r="DH109" s="123">
        <f t="shared" si="175"/>
        <v>1447.6828941374274</v>
      </c>
      <c r="DI109" s="124">
        <f t="shared" si="176"/>
        <v>0</v>
      </c>
      <c r="DJ109" s="124">
        <f t="shared" si="177"/>
        <v>0</v>
      </c>
      <c r="DK109" s="124">
        <f t="shared" si="178"/>
        <v>0</v>
      </c>
      <c r="DL109" s="124">
        <f t="shared" si="179"/>
        <v>0</v>
      </c>
      <c r="DM109" s="124">
        <f t="shared" si="180"/>
        <v>0</v>
      </c>
      <c r="DN109" s="124">
        <f t="shared" si="181"/>
        <v>0</v>
      </c>
      <c r="DO109" s="124">
        <f t="shared" si="182"/>
        <v>0</v>
      </c>
      <c r="DP109" s="124">
        <f t="shared" si="183"/>
        <v>0</v>
      </c>
      <c r="DQ109" s="124">
        <f t="shared" si="184"/>
        <v>0</v>
      </c>
      <c r="DR109" s="124">
        <f t="shared" si="185"/>
        <v>0</v>
      </c>
      <c r="DS109" s="124">
        <f t="shared" si="186"/>
        <v>0</v>
      </c>
      <c r="DT109" s="124">
        <f t="shared" si="187"/>
        <v>0</v>
      </c>
      <c r="DU109" s="124">
        <f t="shared" si="188"/>
        <v>0</v>
      </c>
      <c r="DV109" s="124">
        <f t="shared" si="189"/>
        <v>0</v>
      </c>
      <c r="DW109" s="124">
        <f t="shared" si="190"/>
        <v>0</v>
      </c>
      <c r="DX109" s="124">
        <f t="shared" si="191"/>
        <v>0</v>
      </c>
      <c r="DY109" s="124">
        <f t="shared" si="192"/>
        <v>0</v>
      </c>
      <c r="DZ109" s="124">
        <f t="shared" si="193"/>
        <v>0</v>
      </c>
      <c r="EA109" s="124">
        <f t="shared" si="194"/>
        <v>0</v>
      </c>
      <c r="EB109" s="124">
        <f t="shared" si="195"/>
        <v>0</v>
      </c>
      <c r="EC109" s="124">
        <f t="shared" si="196"/>
        <v>0</v>
      </c>
      <c r="ED109" s="124">
        <f t="shared" si="197"/>
        <v>0</v>
      </c>
      <c r="EE109" s="124">
        <f t="shared" si="198"/>
        <v>0</v>
      </c>
      <c r="EF109" s="124">
        <f t="shared" si="199"/>
        <v>0</v>
      </c>
      <c r="EG109" s="124">
        <f t="shared" si="200"/>
        <v>0</v>
      </c>
      <c r="EH109" s="124">
        <f t="shared" si="201"/>
        <v>0</v>
      </c>
      <c r="EI109" s="124">
        <f t="shared" si="202"/>
        <v>0</v>
      </c>
      <c r="EJ109" s="124">
        <f t="shared" si="203"/>
        <v>0</v>
      </c>
      <c r="EK109" s="124">
        <f t="shared" si="204"/>
        <v>0</v>
      </c>
      <c r="EL109" s="124">
        <f t="shared" si="205"/>
        <v>0</v>
      </c>
      <c r="EM109" s="124">
        <f t="shared" si="206"/>
        <v>0</v>
      </c>
      <c r="EN109" s="124">
        <f t="shared" si="207"/>
        <v>0</v>
      </c>
      <c r="EO109" s="124">
        <f t="shared" si="208"/>
        <v>0</v>
      </c>
      <c r="EP109" s="124">
        <f t="shared" si="209"/>
        <v>0</v>
      </c>
      <c r="EQ109" s="124">
        <f t="shared" si="210"/>
        <v>0</v>
      </c>
      <c r="ER109" s="124">
        <f t="shared" si="211"/>
        <v>0</v>
      </c>
      <c r="ES109" s="124">
        <f t="shared" si="212"/>
        <v>0</v>
      </c>
      <c r="ET109" s="124">
        <f t="shared" si="213"/>
        <v>0</v>
      </c>
      <c r="EU109" s="124">
        <f t="shared" si="214"/>
        <v>0</v>
      </c>
      <c r="EV109" s="124">
        <f t="shared" si="215"/>
        <v>0</v>
      </c>
      <c r="EW109" s="209">
        <f t="shared" si="216"/>
        <v>0</v>
      </c>
      <c r="EX109" s="72"/>
      <c r="EY109" s="123">
        <f t="shared" si="217"/>
        <v>1447.6828941374274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8"/>
        <v>0</v>
      </c>
    </row>
    <row r="110" spans="112:196">
      <c r="DH110" s="123">
        <f t="shared" si="175"/>
        <v>1523.8767306709763</v>
      </c>
      <c r="DI110" s="124">
        <f t="shared" si="176"/>
        <v>0</v>
      </c>
      <c r="DJ110" s="124">
        <f t="shared" si="177"/>
        <v>0</v>
      </c>
      <c r="DK110" s="124">
        <f t="shared" si="178"/>
        <v>0</v>
      </c>
      <c r="DL110" s="124">
        <f t="shared" si="179"/>
        <v>0</v>
      </c>
      <c r="DM110" s="124">
        <f t="shared" si="180"/>
        <v>0</v>
      </c>
      <c r="DN110" s="124">
        <f t="shared" si="181"/>
        <v>0</v>
      </c>
      <c r="DO110" s="124">
        <f t="shared" si="182"/>
        <v>0</v>
      </c>
      <c r="DP110" s="124">
        <f t="shared" si="183"/>
        <v>0</v>
      </c>
      <c r="DQ110" s="124">
        <f t="shared" si="184"/>
        <v>0</v>
      </c>
      <c r="DR110" s="124">
        <f t="shared" si="185"/>
        <v>0</v>
      </c>
      <c r="DS110" s="124">
        <f t="shared" si="186"/>
        <v>0</v>
      </c>
      <c r="DT110" s="124">
        <f t="shared" si="187"/>
        <v>0</v>
      </c>
      <c r="DU110" s="124">
        <f t="shared" si="188"/>
        <v>0</v>
      </c>
      <c r="DV110" s="124">
        <f t="shared" si="189"/>
        <v>0</v>
      </c>
      <c r="DW110" s="124">
        <f t="shared" si="190"/>
        <v>0</v>
      </c>
      <c r="DX110" s="124">
        <f t="shared" si="191"/>
        <v>0</v>
      </c>
      <c r="DY110" s="124">
        <f t="shared" si="192"/>
        <v>0</v>
      </c>
      <c r="DZ110" s="124">
        <f t="shared" si="193"/>
        <v>0</v>
      </c>
      <c r="EA110" s="124">
        <f t="shared" si="194"/>
        <v>0</v>
      </c>
      <c r="EB110" s="124">
        <f t="shared" si="195"/>
        <v>0</v>
      </c>
      <c r="EC110" s="124">
        <f t="shared" si="196"/>
        <v>0</v>
      </c>
      <c r="ED110" s="124">
        <f t="shared" si="197"/>
        <v>0</v>
      </c>
      <c r="EE110" s="124">
        <f t="shared" si="198"/>
        <v>0</v>
      </c>
      <c r="EF110" s="124">
        <f t="shared" si="199"/>
        <v>0</v>
      </c>
      <c r="EG110" s="124">
        <f t="shared" si="200"/>
        <v>0</v>
      </c>
      <c r="EH110" s="124">
        <f t="shared" si="201"/>
        <v>0</v>
      </c>
      <c r="EI110" s="124">
        <f t="shared" si="202"/>
        <v>0</v>
      </c>
      <c r="EJ110" s="124">
        <f t="shared" si="203"/>
        <v>0</v>
      </c>
      <c r="EK110" s="124">
        <f t="shared" si="204"/>
        <v>0</v>
      </c>
      <c r="EL110" s="124">
        <f t="shared" si="205"/>
        <v>0</v>
      </c>
      <c r="EM110" s="124">
        <f t="shared" si="206"/>
        <v>0</v>
      </c>
      <c r="EN110" s="124">
        <f t="shared" si="207"/>
        <v>0</v>
      </c>
      <c r="EO110" s="124">
        <f t="shared" si="208"/>
        <v>0</v>
      </c>
      <c r="EP110" s="124">
        <f t="shared" si="209"/>
        <v>0</v>
      </c>
      <c r="EQ110" s="124">
        <f t="shared" si="210"/>
        <v>0</v>
      </c>
      <c r="ER110" s="124">
        <f t="shared" si="211"/>
        <v>0</v>
      </c>
      <c r="ES110" s="124">
        <f t="shared" si="212"/>
        <v>0</v>
      </c>
      <c r="ET110" s="124">
        <f t="shared" si="213"/>
        <v>0</v>
      </c>
      <c r="EU110" s="124">
        <f t="shared" si="214"/>
        <v>0</v>
      </c>
      <c r="EV110" s="124">
        <f t="shared" si="215"/>
        <v>0</v>
      </c>
      <c r="EW110" s="209">
        <f t="shared" si="216"/>
        <v>0</v>
      </c>
      <c r="EX110" s="72"/>
      <c r="EY110" s="123">
        <f t="shared" si="217"/>
        <v>1523.8767306709763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8"/>
        <v>0</v>
      </c>
    </row>
    <row r="111" spans="112:196">
      <c r="DH111" s="123">
        <f t="shared" si="175"/>
        <v>1604.0807691273435</v>
      </c>
      <c r="DI111" s="124">
        <f t="shared" si="176"/>
        <v>0</v>
      </c>
      <c r="DJ111" s="124">
        <f t="shared" si="177"/>
        <v>0</v>
      </c>
      <c r="DK111" s="124">
        <f t="shared" si="178"/>
        <v>0</v>
      </c>
      <c r="DL111" s="124">
        <f t="shared" si="179"/>
        <v>0</v>
      </c>
      <c r="DM111" s="124">
        <f t="shared" si="180"/>
        <v>0</v>
      </c>
      <c r="DN111" s="124">
        <f t="shared" si="181"/>
        <v>0</v>
      </c>
      <c r="DO111" s="124">
        <f t="shared" si="182"/>
        <v>0</v>
      </c>
      <c r="DP111" s="124">
        <f t="shared" si="183"/>
        <v>0</v>
      </c>
      <c r="DQ111" s="124">
        <f t="shared" si="184"/>
        <v>0</v>
      </c>
      <c r="DR111" s="124">
        <f t="shared" si="185"/>
        <v>0</v>
      </c>
      <c r="DS111" s="124">
        <f t="shared" si="186"/>
        <v>0</v>
      </c>
      <c r="DT111" s="124">
        <f t="shared" si="187"/>
        <v>0</v>
      </c>
      <c r="DU111" s="124">
        <f t="shared" si="188"/>
        <v>0</v>
      </c>
      <c r="DV111" s="124">
        <f t="shared" si="189"/>
        <v>0</v>
      </c>
      <c r="DW111" s="124">
        <f t="shared" si="190"/>
        <v>0</v>
      </c>
      <c r="DX111" s="124">
        <f t="shared" si="191"/>
        <v>0</v>
      </c>
      <c r="DY111" s="124">
        <f t="shared" si="192"/>
        <v>0</v>
      </c>
      <c r="DZ111" s="124">
        <f t="shared" si="193"/>
        <v>0</v>
      </c>
      <c r="EA111" s="124">
        <f t="shared" si="194"/>
        <v>0</v>
      </c>
      <c r="EB111" s="124">
        <f t="shared" si="195"/>
        <v>0</v>
      </c>
      <c r="EC111" s="124">
        <f t="shared" si="196"/>
        <v>0</v>
      </c>
      <c r="ED111" s="124">
        <f t="shared" si="197"/>
        <v>0</v>
      </c>
      <c r="EE111" s="124">
        <f t="shared" si="198"/>
        <v>0</v>
      </c>
      <c r="EF111" s="124">
        <f t="shared" si="199"/>
        <v>0</v>
      </c>
      <c r="EG111" s="124">
        <f t="shared" si="200"/>
        <v>0</v>
      </c>
      <c r="EH111" s="124">
        <f t="shared" si="201"/>
        <v>0</v>
      </c>
      <c r="EI111" s="124">
        <f t="shared" si="202"/>
        <v>0</v>
      </c>
      <c r="EJ111" s="124">
        <f t="shared" si="203"/>
        <v>0</v>
      </c>
      <c r="EK111" s="124">
        <f t="shared" si="204"/>
        <v>0</v>
      </c>
      <c r="EL111" s="124">
        <f t="shared" si="205"/>
        <v>0</v>
      </c>
      <c r="EM111" s="124">
        <f t="shared" si="206"/>
        <v>0</v>
      </c>
      <c r="EN111" s="124">
        <f t="shared" si="207"/>
        <v>0</v>
      </c>
      <c r="EO111" s="124">
        <f t="shared" si="208"/>
        <v>0</v>
      </c>
      <c r="EP111" s="124">
        <f t="shared" si="209"/>
        <v>0</v>
      </c>
      <c r="EQ111" s="124">
        <f t="shared" si="210"/>
        <v>0</v>
      </c>
      <c r="ER111" s="124">
        <f t="shared" si="211"/>
        <v>0</v>
      </c>
      <c r="ES111" s="124">
        <f t="shared" si="212"/>
        <v>0</v>
      </c>
      <c r="ET111" s="124">
        <f t="shared" si="213"/>
        <v>0</v>
      </c>
      <c r="EU111" s="124">
        <f t="shared" si="214"/>
        <v>0</v>
      </c>
      <c r="EV111" s="124">
        <f t="shared" si="215"/>
        <v>0</v>
      </c>
      <c r="EW111" s="209">
        <f t="shared" si="216"/>
        <v>0</v>
      </c>
      <c r="EX111" s="72"/>
      <c r="EY111" s="123">
        <f t="shared" si="217"/>
        <v>1604.0807691273435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8"/>
        <v>0</v>
      </c>
    </row>
    <row r="112" spans="112:196">
      <c r="DH112" s="123">
        <f t="shared" si="175"/>
        <v>1688.5060727656248</v>
      </c>
      <c r="DI112" s="124">
        <f t="shared" si="176"/>
        <v>0</v>
      </c>
      <c r="DJ112" s="124">
        <f t="shared" si="177"/>
        <v>0</v>
      </c>
      <c r="DK112" s="124">
        <f t="shared" si="178"/>
        <v>0</v>
      </c>
      <c r="DL112" s="124">
        <f t="shared" si="179"/>
        <v>0</v>
      </c>
      <c r="DM112" s="124">
        <f t="shared" si="180"/>
        <v>0</v>
      </c>
      <c r="DN112" s="124">
        <f t="shared" si="181"/>
        <v>0</v>
      </c>
      <c r="DO112" s="124">
        <f t="shared" si="182"/>
        <v>0</v>
      </c>
      <c r="DP112" s="124">
        <f t="shared" si="183"/>
        <v>0</v>
      </c>
      <c r="DQ112" s="124">
        <f t="shared" si="184"/>
        <v>0</v>
      </c>
      <c r="DR112" s="124">
        <f t="shared" si="185"/>
        <v>0</v>
      </c>
      <c r="DS112" s="124">
        <f t="shared" si="186"/>
        <v>0</v>
      </c>
      <c r="DT112" s="124">
        <f t="shared" si="187"/>
        <v>0</v>
      </c>
      <c r="DU112" s="124">
        <f t="shared" si="188"/>
        <v>0</v>
      </c>
      <c r="DV112" s="124">
        <f t="shared" si="189"/>
        <v>0</v>
      </c>
      <c r="DW112" s="124">
        <f t="shared" si="190"/>
        <v>0</v>
      </c>
      <c r="DX112" s="124">
        <f t="shared" si="191"/>
        <v>0</v>
      </c>
      <c r="DY112" s="124">
        <f t="shared" si="192"/>
        <v>0</v>
      </c>
      <c r="DZ112" s="124">
        <f t="shared" si="193"/>
        <v>0</v>
      </c>
      <c r="EA112" s="124">
        <f t="shared" si="194"/>
        <v>0</v>
      </c>
      <c r="EB112" s="124">
        <f t="shared" si="195"/>
        <v>0</v>
      </c>
      <c r="EC112" s="124">
        <f t="shared" si="196"/>
        <v>0</v>
      </c>
      <c r="ED112" s="124">
        <f t="shared" si="197"/>
        <v>0</v>
      </c>
      <c r="EE112" s="124">
        <f t="shared" si="198"/>
        <v>0</v>
      </c>
      <c r="EF112" s="124">
        <f t="shared" si="199"/>
        <v>0</v>
      </c>
      <c r="EG112" s="124">
        <f t="shared" si="200"/>
        <v>0</v>
      </c>
      <c r="EH112" s="124">
        <f t="shared" si="201"/>
        <v>0</v>
      </c>
      <c r="EI112" s="124">
        <f t="shared" si="202"/>
        <v>0</v>
      </c>
      <c r="EJ112" s="124">
        <f t="shared" si="203"/>
        <v>0</v>
      </c>
      <c r="EK112" s="124">
        <f t="shared" si="204"/>
        <v>0</v>
      </c>
      <c r="EL112" s="124">
        <f t="shared" si="205"/>
        <v>0</v>
      </c>
      <c r="EM112" s="124">
        <f t="shared" si="206"/>
        <v>0</v>
      </c>
      <c r="EN112" s="124">
        <f t="shared" si="207"/>
        <v>0</v>
      </c>
      <c r="EO112" s="124">
        <f t="shared" si="208"/>
        <v>0</v>
      </c>
      <c r="EP112" s="124">
        <f t="shared" si="209"/>
        <v>0</v>
      </c>
      <c r="EQ112" s="124">
        <f t="shared" si="210"/>
        <v>0</v>
      </c>
      <c r="ER112" s="124">
        <f t="shared" si="211"/>
        <v>0</v>
      </c>
      <c r="ES112" s="124">
        <f t="shared" si="212"/>
        <v>0</v>
      </c>
      <c r="ET112" s="124">
        <f t="shared" si="213"/>
        <v>0</v>
      </c>
      <c r="EU112" s="124">
        <f t="shared" si="214"/>
        <v>0</v>
      </c>
      <c r="EV112" s="124">
        <f t="shared" si="215"/>
        <v>0</v>
      </c>
      <c r="EW112" s="209">
        <f t="shared" si="216"/>
        <v>0</v>
      </c>
      <c r="EX112" s="72"/>
      <c r="EY112" s="123">
        <f t="shared" si="217"/>
        <v>1688.5060727656248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8"/>
        <v>0</v>
      </c>
    </row>
    <row r="113" spans="112:196">
      <c r="DH113" s="123">
        <f t="shared" si="175"/>
        <v>1777.3748134374998</v>
      </c>
      <c r="DI113" s="124">
        <f t="shared" si="176"/>
        <v>0</v>
      </c>
      <c r="DJ113" s="124">
        <f t="shared" si="177"/>
        <v>0</v>
      </c>
      <c r="DK113" s="124">
        <f t="shared" si="178"/>
        <v>0</v>
      </c>
      <c r="DL113" s="124">
        <f t="shared" si="179"/>
        <v>0</v>
      </c>
      <c r="DM113" s="124">
        <f t="shared" si="180"/>
        <v>0</v>
      </c>
      <c r="DN113" s="124">
        <f t="shared" si="181"/>
        <v>0</v>
      </c>
      <c r="DO113" s="124">
        <f t="shared" si="182"/>
        <v>0</v>
      </c>
      <c r="DP113" s="124">
        <f t="shared" si="183"/>
        <v>0</v>
      </c>
      <c r="DQ113" s="124">
        <f t="shared" si="184"/>
        <v>0</v>
      </c>
      <c r="DR113" s="124">
        <f t="shared" si="185"/>
        <v>0</v>
      </c>
      <c r="DS113" s="124">
        <f t="shared" si="186"/>
        <v>0</v>
      </c>
      <c r="DT113" s="124">
        <f t="shared" si="187"/>
        <v>0</v>
      </c>
      <c r="DU113" s="124">
        <f t="shared" si="188"/>
        <v>0</v>
      </c>
      <c r="DV113" s="124">
        <f t="shared" si="189"/>
        <v>0</v>
      </c>
      <c r="DW113" s="124">
        <f t="shared" si="190"/>
        <v>0</v>
      </c>
      <c r="DX113" s="124">
        <f t="shared" si="191"/>
        <v>0</v>
      </c>
      <c r="DY113" s="124">
        <f t="shared" si="192"/>
        <v>0</v>
      </c>
      <c r="DZ113" s="124">
        <f t="shared" si="193"/>
        <v>0</v>
      </c>
      <c r="EA113" s="124">
        <f t="shared" si="194"/>
        <v>0</v>
      </c>
      <c r="EB113" s="124">
        <f t="shared" si="195"/>
        <v>0</v>
      </c>
      <c r="EC113" s="124">
        <f t="shared" si="196"/>
        <v>0</v>
      </c>
      <c r="ED113" s="124">
        <f t="shared" si="197"/>
        <v>0</v>
      </c>
      <c r="EE113" s="124">
        <f t="shared" si="198"/>
        <v>0</v>
      </c>
      <c r="EF113" s="124">
        <f t="shared" si="199"/>
        <v>0</v>
      </c>
      <c r="EG113" s="124">
        <f t="shared" si="200"/>
        <v>0</v>
      </c>
      <c r="EH113" s="124">
        <f t="shared" si="201"/>
        <v>0</v>
      </c>
      <c r="EI113" s="124">
        <f t="shared" si="202"/>
        <v>0</v>
      </c>
      <c r="EJ113" s="124">
        <f t="shared" si="203"/>
        <v>0</v>
      </c>
      <c r="EK113" s="124">
        <f t="shared" si="204"/>
        <v>0</v>
      </c>
      <c r="EL113" s="124">
        <f t="shared" si="205"/>
        <v>0</v>
      </c>
      <c r="EM113" s="124">
        <f t="shared" si="206"/>
        <v>0</v>
      </c>
      <c r="EN113" s="124">
        <f t="shared" si="207"/>
        <v>0</v>
      </c>
      <c r="EO113" s="124">
        <f t="shared" si="208"/>
        <v>0</v>
      </c>
      <c r="EP113" s="124">
        <f t="shared" si="209"/>
        <v>0</v>
      </c>
      <c r="EQ113" s="124">
        <f t="shared" si="210"/>
        <v>0</v>
      </c>
      <c r="ER113" s="124">
        <f t="shared" si="211"/>
        <v>0</v>
      </c>
      <c r="ES113" s="124">
        <f t="shared" si="212"/>
        <v>0</v>
      </c>
      <c r="ET113" s="124">
        <f t="shared" si="213"/>
        <v>0</v>
      </c>
      <c r="EU113" s="124">
        <f t="shared" si="214"/>
        <v>0</v>
      </c>
      <c r="EV113" s="124">
        <f t="shared" si="215"/>
        <v>0</v>
      </c>
      <c r="EW113" s="209">
        <f t="shared" si="216"/>
        <v>0</v>
      </c>
      <c r="EX113" s="72"/>
      <c r="EY113" s="123">
        <f t="shared" si="217"/>
        <v>1777.3748134374998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8"/>
        <v>0</v>
      </c>
    </row>
    <row r="114" spans="112:196">
      <c r="DH114" s="123">
        <f t="shared" si="175"/>
        <v>1870.9208562499998</v>
      </c>
      <c r="DI114" s="124">
        <f t="shared" si="176"/>
        <v>0</v>
      </c>
      <c r="DJ114" s="124">
        <f t="shared" si="177"/>
        <v>0</v>
      </c>
      <c r="DK114" s="124">
        <f t="shared" si="178"/>
        <v>0</v>
      </c>
      <c r="DL114" s="124">
        <f t="shared" si="179"/>
        <v>0</v>
      </c>
      <c r="DM114" s="124">
        <f t="shared" si="180"/>
        <v>0</v>
      </c>
      <c r="DN114" s="124">
        <f t="shared" si="181"/>
        <v>0</v>
      </c>
      <c r="DO114" s="124">
        <f t="shared" si="182"/>
        <v>0</v>
      </c>
      <c r="DP114" s="124">
        <f t="shared" si="183"/>
        <v>0</v>
      </c>
      <c r="DQ114" s="124">
        <f t="shared" si="184"/>
        <v>0</v>
      </c>
      <c r="DR114" s="124">
        <f t="shared" si="185"/>
        <v>0</v>
      </c>
      <c r="DS114" s="124">
        <f t="shared" si="186"/>
        <v>0</v>
      </c>
      <c r="DT114" s="124">
        <f t="shared" si="187"/>
        <v>0</v>
      </c>
      <c r="DU114" s="124">
        <f t="shared" si="188"/>
        <v>0</v>
      </c>
      <c r="DV114" s="124">
        <f t="shared" si="189"/>
        <v>0</v>
      </c>
      <c r="DW114" s="124">
        <f t="shared" si="190"/>
        <v>0</v>
      </c>
      <c r="DX114" s="124">
        <f t="shared" si="191"/>
        <v>0</v>
      </c>
      <c r="DY114" s="124">
        <f t="shared" si="192"/>
        <v>0</v>
      </c>
      <c r="DZ114" s="124">
        <f t="shared" si="193"/>
        <v>0</v>
      </c>
      <c r="EA114" s="124">
        <f t="shared" si="194"/>
        <v>0</v>
      </c>
      <c r="EB114" s="124">
        <f t="shared" si="195"/>
        <v>0</v>
      </c>
      <c r="EC114" s="124">
        <f t="shared" si="196"/>
        <v>0</v>
      </c>
      <c r="ED114" s="124">
        <f t="shared" si="197"/>
        <v>0</v>
      </c>
      <c r="EE114" s="124">
        <f t="shared" si="198"/>
        <v>0</v>
      </c>
      <c r="EF114" s="124">
        <f t="shared" si="199"/>
        <v>0</v>
      </c>
      <c r="EG114" s="124">
        <f t="shared" si="200"/>
        <v>0</v>
      </c>
      <c r="EH114" s="124">
        <f t="shared" si="201"/>
        <v>0</v>
      </c>
      <c r="EI114" s="124">
        <f t="shared" si="202"/>
        <v>0</v>
      </c>
      <c r="EJ114" s="124">
        <f t="shared" si="203"/>
        <v>0</v>
      </c>
      <c r="EK114" s="124">
        <f t="shared" si="204"/>
        <v>0</v>
      </c>
      <c r="EL114" s="124">
        <f t="shared" si="205"/>
        <v>0</v>
      </c>
      <c r="EM114" s="124">
        <f t="shared" si="206"/>
        <v>0</v>
      </c>
      <c r="EN114" s="124">
        <f t="shared" si="207"/>
        <v>0</v>
      </c>
      <c r="EO114" s="124">
        <f t="shared" si="208"/>
        <v>0</v>
      </c>
      <c r="EP114" s="124">
        <f t="shared" si="209"/>
        <v>0</v>
      </c>
      <c r="EQ114" s="124">
        <f t="shared" si="210"/>
        <v>0</v>
      </c>
      <c r="ER114" s="124">
        <f t="shared" si="211"/>
        <v>0</v>
      </c>
      <c r="ES114" s="124">
        <f t="shared" si="212"/>
        <v>0</v>
      </c>
      <c r="ET114" s="124">
        <f t="shared" si="213"/>
        <v>0</v>
      </c>
      <c r="EU114" s="124">
        <f t="shared" si="214"/>
        <v>0</v>
      </c>
      <c r="EV114" s="124">
        <f t="shared" si="215"/>
        <v>0</v>
      </c>
      <c r="EW114" s="209">
        <f t="shared" si="216"/>
        <v>0</v>
      </c>
      <c r="EX114" s="72"/>
      <c r="EY114" s="123">
        <f t="shared" si="217"/>
        <v>1870.9208562499998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8"/>
        <v>0</v>
      </c>
    </row>
    <row r="115" spans="112:196">
      <c r="DH115" s="123">
        <f t="shared" si="175"/>
        <v>1969.3903749999999</v>
      </c>
      <c r="DI115" s="124">
        <f t="shared" si="176"/>
        <v>0</v>
      </c>
      <c r="DJ115" s="124">
        <f t="shared" si="177"/>
        <v>0</v>
      </c>
      <c r="DK115" s="124">
        <f t="shared" si="178"/>
        <v>0</v>
      </c>
      <c r="DL115" s="124">
        <f t="shared" si="179"/>
        <v>0</v>
      </c>
      <c r="DM115" s="124">
        <f t="shared" si="180"/>
        <v>0</v>
      </c>
      <c r="DN115" s="124">
        <f t="shared" si="181"/>
        <v>0</v>
      </c>
      <c r="DO115" s="124">
        <f t="shared" si="182"/>
        <v>0</v>
      </c>
      <c r="DP115" s="124">
        <f t="shared" si="183"/>
        <v>0</v>
      </c>
      <c r="DQ115" s="124">
        <f t="shared" si="184"/>
        <v>0</v>
      </c>
      <c r="DR115" s="124">
        <f t="shared" si="185"/>
        <v>0</v>
      </c>
      <c r="DS115" s="124">
        <f t="shared" si="186"/>
        <v>0</v>
      </c>
      <c r="DT115" s="124">
        <f t="shared" si="187"/>
        <v>0</v>
      </c>
      <c r="DU115" s="124">
        <f t="shared" si="188"/>
        <v>0</v>
      </c>
      <c r="DV115" s="124">
        <f t="shared" si="189"/>
        <v>0</v>
      </c>
      <c r="DW115" s="124">
        <f t="shared" si="190"/>
        <v>0</v>
      </c>
      <c r="DX115" s="124">
        <f t="shared" si="191"/>
        <v>0</v>
      </c>
      <c r="DY115" s="124">
        <f t="shared" si="192"/>
        <v>0</v>
      </c>
      <c r="DZ115" s="124">
        <f t="shared" si="193"/>
        <v>0</v>
      </c>
      <c r="EA115" s="124">
        <f t="shared" si="194"/>
        <v>0</v>
      </c>
      <c r="EB115" s="124">
        <f t="shared" si="195"/>
        <v>0</v>
      </c>
      <c r="EC115" s="124">
        <f t="shared" si="196"/>
        <v>0</v>
      </c>
      <c r="ED115" s="124">
        <f t="shared" si="197"/>
        <v>0</v>
      </c>
      <c r="EE115" s="124">
        <f t="shared" si="198"/>
        <v>0</v>
      </c>
      <c r="EF115" s="124">
        <f t="shared" si="199"/>
        <v>0</v>
      </c>
      <c r="EG115" s="124">
        <f t="shared" si="200"/>
        <v>0</v>
      </c>
      <c r="EH115" s="124">
        <f t="shared" si="201"/>
        <v>0</v>
      </c>
      <c r="EI115" s="124">
        <f t="shared" si="202"/>
        <v>0</v>
      </c>
      <c r="EJ115" s="124">
        <f t="shared" si="203"/>
        <v>0</v>
      </c>
      <c r="EK115" s="124">
        <f t="shared" si="204"/>
        <v>0</v>
      </c>
      <c r="EL115" s="124">
        <f t="shared" si="205"/>
        <v>0</v>
      </c>
      <c r="EM115" s="124">
        <f t="shared" si="206"/>
        <v>0</v>
      </c>
      <c r="EN115" s="124">
        <f t="shared" si="207"/>
        <v>0</v>
      </c>
      <c r="EO115" s="124">
        <f t="shared" si="208"/>
        <v>0</v>
      </c>
      <c r="EP115" s="124">
        <f t="shared" si="209"/>
        <v>0</v>
      </c>
      <c r="EQ115" s="124">
        <f t="shared" si="210"/>
        <v>0</v>
      </c>
      <c r="ER115" s="124">
        <f t="shared" si="211"/>
        <v>0</v>
      </c>
      <c r="ES115" s="124">
        <f t="shared" si="212"/>
        <v>0</v>
      </c>
      <c r="ET115" s="124">
        <f t="shared" si="213"/>
        <v>0</v>
      </c>
      <c r="EU115" s="124">
        <f t="shared" si="214"/>
        <v>0</v>
      </c>
      <c r="EV115" s="124">
        <f t="shared" si="215"/>
        <v>0</v>
      </c>
      <c r="EW115" s="209">
        <f t="shared" si="216"/>
        <v>0</v>
      </c>
      <c r="EX115" s="72"/>
      <c r="EY115" s="123">
        <f t="shared" si="217"/>
        <v>1969.3903749999999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8"/>
        <v>0</v>
      </c>
    </row>
    <row r="116" spans="112:196">
      <c r="DH116" s="123">
        <f t="shared" si="175"/>
        <v>2073.0425</v>
      </c>
      <c r="DI116" s="124">
        <f t="shared" si="176"/>
        <v>0</v>
      </c>
      <c r="DJ116" s="124">
        <f t="shared" si="177"/>
        <v>0</v>
      </c>
      <c r="DK116" s="124">
        <f t="shared" si="178"/>
        <v>0</v>
      </c>
      <c r="DL116" s="124">
        <f t="shared" si="179"/>
        <v>0</v>
      </c>
      <c r="DM116" s="124">
        <f t="shared" si="180"/>
        <v>0</v>
      </c>
      <c r="DN116" s="124">
        <f t="shared" si="181"/>
        <v>0</v>
      </c>
      <c r="DO116" s="124">
        <f t="shared" si="182"/>
        <v>0</v>
      </c>
      <c r="DP116" s="124">
        <f t="shared" si="183"/>
        <v>0</v>
      </c>
      <c r="DQ116" s="124">
        <f t="shared" si="184"/>
        <v>0</v>
      </c>
      <c r="DR116" s="124">
        <f t="shared" si="185"/>
        <v>0</v>
      </c>
      <c r="DS116" s="124">
        <f t="shared" si="186"/>
        <v>0</v>
      </c>
      <c r="DT116" s="124">
        <f t="shared" si="187"/>
        <v>0</v>
      </c>
      <c r="DU116" s="124">
        <f t="shared" si="188"/>
        <v>0</v>
      </c>
      <c r="DV116" s="124">
        <f t="shared" si="189"/>
        <v>0</v>
      </c>
      <c r="DW116" s="124">
        <f t="shared" si="190"/>
        <v>0</v>
      </c>
      <c r="DX116" s="124">
        <f t="shared" si="191"/>
        <v>0</v>
      </c>
      <c r="DY116" s="124">
        <f t="shared" si="192"/>
        <v>0</v>
      </c>
      <c r="DZ116" s="124">
        <f t="shared" si="193"/>
        <v>0</v>
      </c>
      <c r="EA116" s="124">
        <f t="shared" si="194"/>
        <v>0</v>
      </c>
      <c r="EB116" s="124">
        <f t="shared" si="195"/>
        <v>0</v>
      </c>
      <c r="EC116" s="124">
        <f t="shared" si="196"/>
        <v>0</v>
      </c>
      <c r="ED116" s="124">
        <f t="shared" si="197"/>
        <v>0</v>
      </c>
      <c r="EE116" s="124">
        <f t="shared" si="198"/>
        <v>0</v>
      </c>
      <c r="EF116" s="124">
        <f t="shared" si="199"/>
        <v>0</v>
      </c>
      <c r="EG116" s="124">
        <f t="shared" si="200"/>
        <v>0</v>
      </c>
      <c r="EH116" s="124">
        <f t="shared" si="201"/>
        <v>0</v>
      </c>
      <c r="EI116" s="124">
        <f t="shared" si="202"/>
        <v>0</v>
      </c>
      <c r="EJ116" s="124">
        <f t="shared" si="203"/>
        <v>0</v>
      </c>
      <c r="EK116" s="124">
        <f t="shared" si="204"/>
        <v>0</v>
      </c>
      <c r="EL116" s="124">
        <f t="shared" si="205"/>
        <v>0</v>
      </c>
      <c r="EM116" s="124">
        <f t="shared" si="206"/>
        <v>0</v>
      </c>
      <c r="EN116" s="124">
        <f t="shared" si="207"/>
        <v>0</v>
      </c>
      <c r="EO116" s="124">
        <f t="shared" si="208"/>
        <v>0</v>
      </c>
      <c r="EP116" s="124">
        <f t="shared" si="209"/>
        <v>0</v>
      </c>
      <c r="EQ116" s="124">
        <f t="shared" si="210"/>
        <v>0</v>
      </c>
      <c r="ER116" s="124">
        <f t="shared" si="211"/>
        <v>0</v>
      </c>
      <c r="ES116" s="124">
        <f t="shared" si="212"/>
        <v>0</v>
      </c>
      <c r="ET116" s="124">
        <f t="shared" si="213"/>
        <v>0</v>
      </c>
      <c r="EU116" s="124">
        <f t="shared" si="214"/>
        <v>0</v>
      </c>
      <c r="EV116" s="124">
        <f t="shared" si="215"/>
        <v>0</v>
      </c>
      <c r="EW116" s="209">
        <f t="shared" si="216"/>
        <v>0</v>
      </c>
      <c r="EX116" s="72"/>
      <c r="EY116" s="123">
        <f t="shared" si="217"/>
        <v>2073.0425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8"/>
        <v>0</v>
      </c>
    </row>
    <row r="117" spans="112:196">
      <c r="DH117" s="123">
        <f t="shared" si="175"/>
        <v>2182.15</v>
      </c>
      <c r="DI117" s="124">
        <f t="shared" si="176"/>
        <v>0</v>
      </c>
      <c r="DJ117" s="124">
        <f t="shared" si="177"/>
        <v>0</v>
      </c>
      <c r="DK117" s="124">
        <f t="shared" si="178"/>
        <v>0</v>
      </c>
      <c r="DL117" s="124">
        <f t="shared" si="179"/>
        <v>0</v>
      </c>
      <c r="DM117" s="124">
        <f t="shared" si="180"/>
        <v>0</v>
      </c>
      <c r="DN117" s="124">
        <f t="shared" si="181"/>
        <v>0</v>
      </c>
      <c r="DO117" s="124">
        <f t="shared" si="182"/>
        <v>0</v>
      </c>
      <c r="DP117" s="124">
        <f t="shared" si="183"/>
        <v>0</v>
      </c>
      <c r="DQ117" s="124">
        <f t="shared" si="184"/>
        <v>0</v>
      </c>
      <c r="DR117" s="124">
        <f t="shared" si="185"/>
        <v>0</v>
      </c>
      <c r="DS117" s="124">
        <f t="shared" si="186"/>
        <v>0</v>
      </c>
      <c r="DT117" s="124">
        <f t="shared" si="187"/>
        <v>0</v>
      </c>
      <c r="DU117" s="124">
        <f t="shared" si="188"/>
        <v>0</v>
      </c>
      <c r="DV117" s="124">
        <f t="shared" si="189"/>
        <v>0</v>
      </c>
      <c r="DW117" s="124">
        <f t="shared" si="190"/>
        <v>0</v>
      </c>
      <c r="DX117" s="124">
        <f t="shared" si="191"/>
        <v>0</v>
      </c>
      <c r="DY117" s="124">
        <f t="shared" si="192"/>
        <v>0</v>
      </c>
      <c r="DZ117" s="124">
        <f t="shared" si="193"/>
        <v>0</v>
      </c>
      <c r="EA117" s="124">
        <f t="shared" si="194"/>
        <v>0</v>
      </c>
      <c r="EB117" s="124">
        <f t="shared" si="195"/>
        <v>0</v>
      </c>
      <c r="EC117" s="124">
        <f t="shared" si="196"/>
        <v>0</v>
      </c>
      <c r="ED117" s="124">
        <f t="shared" si="197"/>
        <v>0</v>
      </c>
      <c r="EE117" s="124">
        <f t="shared" si="198"/>
        <v>0</v>
      </c>
      <c r="EF117" s="124">
        <f t="shared" si="199"/>
        <v>0</v>
      </c>
      <c r="EG117" s="124">
        <f t="shared" si="200"/>
        <v>0</v>
      </c>
      <c r="EH117" s="124">
        <f t="shared" si="201"/>
        <v>0</v>
      </c>
      <c r="EI117" s="124">
        <f t="shared" si="202"/>
        <v>0</v>
      </c>
      <c r="EJ117" s="124">
        <f t="shared" si="203"/>
        <v>0</v>
      </c>
      <c r="EK117" s="124">
        <f t="shared" si="204"/>
        <v>0</v>
      </c>
      <c r="EL117" s="124">
        <f t="shared" si="205"/>
        <v>0</v>
      </c>
      <c r="EM117" s="124">
        <f t="shared" si="206"/>
        <v>0</v>
      </c>
      <c r="EN117" s="124">
        <f t="shared" si="207"/>
        <v>0</v>
      </c>
      <c r="EO117" s="124">
        <f t="shared" si="208"/>
        <v>0</v>
      </c>
      <c r="EP117" s="124">
        <f t="shared" si="209"/>
        <v>0</v>
      </c>
      <c r="EQ117" s="124">
        <f t="shared" si="210"/>
        <v>0</v>
      </c>
      <c r="ER117" s="124">
        <f t="shared" si="211"/>
        <v>0</v>
      </c>
      <c r="ES117" s="124">
        <f t="shared" si="212"/>
        <v>0</v>
      </c>
      <c r="ET117" s="124">
        <f t="shared" si="213"/>
        <v>0</v>
      </c>
      <c r="EU117" s="124">
        <f t="shared" si="214"/>
        <v>0</v>
      </c>
      <c r="EV117" s="124">
        <f t="shared" si="215"/>
        <v>0</v>
      </c>
      <c r="EW117" s="209">
        <f t="shared" si="216"/>
        <v>0</v>
      </c>
      <c r="EX117" s="72"/>
      <c r="EY117" s="123">
        <f t="shared" si="217"/>
        <v>2182.15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8"/>
        <v>0</v>
      </c>
    </row>
    <row r="118" spans="112:196">
      <c r="DH118" s="123">
        <f t="shared" si="175"/>
        <v>2297</v>
      </c>
      <c r="DI118" s="124">
        <f t="shared" si="176"/>
        <v>0</v>
      </c>
      <c r="DJ118" s="124">
        <f t="shared" si="177"/>
        <v>0</v>
      </c>
      <c r="DK118" s="124">
        <f t="shared" si="178"/>
        <v>0</v>
      </c>
      <c r="DL118" s="124">
        <f t="shared" si="179"/>
        <v>0</v>
      </c>
      <c r="DM118" s="124">
        <f t="shared" si="180"/>
        <v>0</v>
      </c>
      <c r="DN118" s="124">
        <f t="shared" si="181"/>
        <v>0</v>
      </c>
      <c r="DO118" s="124">
        <f t="shared" si="182"/>
        <v>0</v>
      </c>
      <c r="DP118" s="124">
        <f t="shared" si="183"/>
        <v>0</v>
      </c>
      <c r="DQ118" s="124">
        <f t="shared" si="184"/>
        <v>0</v>
      </c>
      <c r="DR118" s="124">
        <f t="shared" si="185"/>
        <v>0</v>
      </c>
      <c r="DS118" s="124">
        <f t="shared" si="186"/>
        <v>0</v>
      </c>
      <c r="DT118" s="124">
        <f t="shared" si="187"/>
        <v>0</v>
      </c>
      <c r="DU118" s="124">
        <f t="shared" si="188"/>
        <v>0</v>
      </c>
      <c r="DV118" s="124">
        <f t="shared" si="189"/>
        <v>0</v>
      </c>
      <c r="DW118" s="124">
        <f t="shared" si="190"/>
        <v>0</v>
      </c>
      <c r="DX118" s="124">
        <f t="shared" si="191"/>
        <v>0</v>
      </c>
      <c r="DY118" s="124">
        <f t="shared" si="192"/>
        <v>0</v>
      </c>
      <c r="DZ118" s="124">
        <f t="shared" si="193"/>
        <v>0</v>
      </c>
      <c r="EA118" s="124">
        <f t="shared" si="194"/>
        <v>0</v>
      </c>
      <c r="EB118" s="124">
        <f t="shared" si="195"/>
        <v>0</v>
      </c>
      <c r="EC118" s="124">
        <f t="shared" si="196"/>
        <v>0</v>
      </c>
      <c r="ED118" s="124">
        <f t="shared" si="197"/>
        <v>0</v>
      </c>
      <c r="EE118" s="124">
        <f t="shared" si="198"/>
        <v>0</v>
      </c>
      <c r="EF118" s="124">
        <f t="shared" si="199"/>
        <v>0</v>
      </c>
      <c r="EG118" s="124">
        <f t="shared" si="200"/>
        <v>0</v>
      </c>
      <c r="EH118" s="124">
        <f t="shared" si="201"/>
        <v>0</v>
      </c>
      <c r="EI118" s="124">
        <f t="shared" si="202"/>
        <v>0</v>
      </c>
      <c r="EJ118" s="124">
        <f t="shared" si="203"/>
        <v>0</v>
      </c>
      <c r="EK118" s="124">
        <f t="shared" si="204"/>
        <v>0</v>
      </c>
      <c r="EL118" s="124">
        <f t="shared" si="205"/>
        <v>0</v>
      </c>
      <c r="EM118" s="124">
        <f t="shared" si="206"/>
        <v>0</v>
      </c>
      <c r="EN118" s="124">
        <f t="shared" si="207"/>
        <v>0</v>
      </c>
      <c r="EO118" s="124">
        <f t="shared" si="208"/>
        <v>0</v>
      </c>
      <c r="EP118" s="124">
        <f t="shared" si="209"/>
        <v>0</v>
      </c>
      <c r="EQ118" s="124">
        <f t="shared" si="210"/>
        <v>0</v>
      </c>
      <c r="ER118" s="124">
        <f t="shared" si="211"/>
        <v>0</v>
      </c>
      <c r="ES118" s="124">
        <f t="shared" si="212"/>
        <v>0</v>
      </c>
      <c r="ET118" s="124">
        <f t="shared" si="213"/>
        <v>0</v>
      </c>
      <c r="EU118" s="124">
        <f t="shared" si="214"/>
        <v>0</v>
      </c>
      <c r="EV118" s="124">
        <f t="shared" si="215"/>
        <v>0</v>
      </c>
      <c r="EW118" s="209">
        <f t="shared" si="216"/>
        <v>0</v>
      </c>
      <c r="EX118" s="72"/>
      <c r="EY118" s="123">
        <f t="shared" si="217"/>
        <v>2297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8"/>
        <v>0</v>
      </c>
    </row>
    <row r="119" spans="112:196">
      <c r="DH119" s="123">
        <f t="shared" si="175"/>
        <v>2411.85</v>
      </c>
      <c r="DI119" s="124">
        <f t="shared" si="176"/>
        <v>0</v>
      </c>
      <c r="DJ119" s="124">
        <f t="shared" si="177"/>
        <v>0</v>
      </c>
      <c r="DK119" s="124">
        <f t="shared" si="178"/>
        <v>0</v>
      </c>
      <c r="DL119" s="124">
        <f t="shared" si="179"/>
        <v>0</v>
      </c>
      <c r="DM119" s="124">
        <f t="shared" si="180"/>
        <v>0</v>
      </c>
      <c r="DN119" s="124">
        <f t="shared" si="181"/>
        <v>0</v>
      </c>
      <c r="DO119" s="124">
        <f t="shared" si="182"/>
        <v>0</v>
      </c>
      <c r="DP119" s="124">
        <f t="shared" si="183"/>
        <v>0</v>
      </c>
      <c r="DQ119" s="124">
        <f t="shared" si="184"/>
        <v>0</v>
      </c>
      <c r="DR119" s="124">
        <f t="shared" si="185"/>
        <v>0</v>
      </c>
      <c r="DS119" s="124">
        <f t="shared" si="186"/>
        <v>0</v>
      </c>
      <c r="DT119" s="124">
        <f t="shared" si="187"/>
        <v>0</v>
      </c>
      <c r="DU119" s="124">
        <f t="shared" si="188"/>
        <v>0</v>
      </c>
      <c r="DV119" s="124">
        <f t="shared" si="189"/>
        <v>0</v>
      </c>
      <c r="DW119" s="124">
        <f t="shared" si="190"/>
        <v>0</v>
      </c>
      <c r="DX119" s="124">
        <f t="shared" si="191"/>
        <v>0</v>
      </c>
      <c r="DY119" s="124">
        <f t="shared" si="192"/>
        <v>0</v>
      </c>
      <c r="DZ119" s="124">
        <f t="shared" si="193"/>
        <v>0</v>
      </c>
      <c r="EA119" s="124">
        <f t="shared" si="194"/>
        <v>0</v>
      </c>
      <c r="EB119" s="124">
        <f t="shared" si="195"/>
        <v>0</v>
      </c>
      <c r="EC119" s="124">
        <f t="shared" si="196"/>
        <v>0</v>
      </c>
      <c r="ED119" s="124">
        <f t="shared" si="197"/>
        <v>0</v>
      </c>
      <c r="EE119" s="124">
        <f t="shared" si="198"/>
        <v>0</v>
      </c>
      <c r="EF119" s="124">
        <f t="shared" si="199"/>
        <v>0</v>
      </c>
      <c r="EG119" s="124">
        <f t="shared" si="200"/>
        <v>0</v>
      </c>
      <c r="EH119" s="124">
        <f t="shared" si="201"/>
        <v>0</v>
      </c>
      <c r="EI119" s="124">
        <f t="shared" si="202"/>
        <v>0</v>
      </c>
      <c r="EJ119" s="124">
        <f t="shared" si="203"/>
        <v>0</v>
      </c>
      <c r="EK119" s="124">
        <f t="shared" si="204"/>
        <v>0</v>
      </c>
      <c r="EL119" s="124">
        <f t="shared" si="205"/>
        <v>0</v>
      </c>
      <c r="EM119" s="124">
        <f t="shared" si="206"/>
        <v>0</v>
      </c>
      <c r="EN119" s="124">
        <f t="shared" si="207"/>
        <v>0</v>
      </c>
      <c r="EO119" s="124">
        <f t="shared" si="208"/>
        <v>0</v>
      </c>
      <c r="EP119" s="124">
        <f t="shared" si="209"/>
        <v>0</v>
      </c>
      <c r="EQ119" s="124">
        <f t="shared" si="210"/>
        <v>0</v>
      </c>
      <c r="ER119" s="124">
        <f t="shared" si="211"/>
        <v>0</v>
      </c>
      <c r="ES119" s="124">
        <f t="shared" si="212"/>
        <v>0</v>
      </c>
      <c r="ET119" s="124">
        <f t="shared" si="213"/>
        <v>0</v>
      </c>
      <c r="EU119" s="124">
        <f t="shared" si="214"/>
        <v>0</v>
      </c>
      <c r="EV119" s="124">
        <f t="shared" si="215"/>
        <v>0</v>
      </c>
      <c r="EW119" s="209">
        <f t="shared" si="216"/>
        <v>0</v>
      </c>
      <c r="EX119" s="72"/>
      <c r="EY119" s="123">
        <f t="shared" si="217"/>
        <v>2411.85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8"/>
        <v>0</v>
      </c>
    </row>
    <row r="120" spans="112:196">
      <c r="DH120" s="123">
        <f t="shared" si="175"/>
        <v>2532.4425000000001</v>
      </c>
      <c r="DI120" s="124">
        <f t="shared" si="176"/>
        <v>0</v>
      </c>
      <c r="DJ120" s="124">
        <f t="shared" si="177"/>
        <v>0</v>
      </c>
      <c r="DK120" s="124">
        <f t="shared" si="178"/>
        <v>0</v>
      </c>
      <c r="DL120" s="124">
        <f t="shared" si="179"/>
        <v>0</v>
      </c>
      <c r="DM120" s="124">
        <f t="shared" si="180"/>
        <v>0</v>
      </c>
      <c r="DN120" s="124">
        <f t="shared" si="181"/>
        <v>0</v>
      </c>
      <c r="DO120" s="124">
        <f t="shared" si="182"/>
        <v>0</v>
      </c>
      <c r="DP120" s="124">
        <f t="shared" si="183"/>
        <v>0</v>
      </c>
      <c r="DQ120" s="124">
        <f t="shared" si="184"/>
        <v>0</v>
      </c>
      <c r="DR120" s="124">
        <f t="shared" si="185"/>
        <v>0</v>
      </c>
      <c r="DS120" s="124">
        <f t="shared" si="186"/>
        <v>0</v>
      </c>
      <c r="DT120" s="124">
        <f t="shared" si="187"/>
        <v>0</v>
      </c>
      <c r="DU120" s="124">
        <f t="shared" si="188"/>
        <v>0</v>
      </c>
      <c r="DV120" s="124">
        <f t="shared" si="189"/>
        <v>0</v>
      </c>
      <c r="DW120" s="124">
        <f t="shared" si="190"/>
        <v>0</v>
      </c>
      <c r="DX120" s="124">
        <f t="shared" si="191"/>
        <v>0</v>
      </c>
      <c r="DY120" s="124">
        <f t="shared" si="192"/>
        <v>0</v>
      </c>
      <c r="DZ120" s="124">
        <f t="shared" si="193"/>
        <v>0</v>
      </c>
      <c r="EA120" s="124">
        <f t="shared" si="194"/>
        <v>0</v>
      </c>
      <c r="EB120" s="124">
        <f t="shared" si="195"/>
        <v>0</v>
      </c>
      <c r="EC120" s="124">
        <f t="shared" si="196"/>
        <v>0</v>
      </c>
      <c r="ED120" s="124">
        <f t="shared" si="197"/>
        <v>0</v>
      </c>
      <c r="EE120" s="124">
        <f t="shared" si="198"/>
        <v>0</v>
      </c>
      <c r="EF120" s="124">
        <f t="shared" si="199"/>
        <v>0</v>
      </c>
      <c r="EG120" s="124">
        <f t="shared" si="200"/>
        <v>0</v>
      </c>
      <c r="EH120" s="124">
        <f t="shared" si="201"/>
        <v>0</v>
      </c>
      <c r="EI120" s="124">
        <f t="shared" si="202"/>
        <v>0</v>
      </c>
      <c r="EJ120" s="124">
        <f t="shared" si="203"/>
        <v>0</v>
      </c>
      <c r="EK120" s="124">
        <f t="shared" si="204"/>
        <v>0</v>
      </c>
      <c r="EL120" s="124">
        <f t="shared" si="205"/>
        <v>0</v>
      </c>
      <c r="EM120" s="124">
        <f t="shared" si="206"/>
        <v>0</v>
      </c>
      <c r="EN120" s="124">
        <f t="shared" si="207"/>
        <v>0</v>
      </c>
      <c r="EO120" s="124">
        <f t="shared" si="208"/>
        <v>0</v>
      </c>
      <c r="EP120" s="124">
        <f t="shared" si="209"/>
        <v>0</v>
      </c>
      <c r="EQ120" s="124">
        <f t="shared" si="210"/>
        <v>0</v>
      </c>
      <c r="ER120" s="124">
        <f t="shared" si="211"/>
        <v>0</v>
      </c>
      <c r="ES120" s="124">
        <f t="shared" si="212"/>
        <v>0</v>
      </c>
      <c r="ET120" s="124">
        <f t="shared" si="213"/>
        <v>0</v>
      </c>
      <c r="EU120" s="124">
        <f t="shared" si="214"/>
        <v>0</v>
      </c>
      <c r="EV120" s="124">
        <f t="shared" si="215"/>
        <v>0</v>
      </c>
      <c r="EW120" s="209">
        <f t="shared" si="216"/>
        <v>0</v>
      </c>
      <c r="EX120" s="72"/>
      <c r="EY120" s="123">
        <f t="shared" si="217"/>
        <v>2532.4425000000001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8"/>
        <v>0</v>
      </c>
    </row>
    <row r="121" spans="112:196">
      <c r="DH121" s="123">
        <f t="shared" si="175"/>
        <v>2659.0646250000004</v>
      </c>
      <c r="DI121" s="124">
        <f t="shared" si="176"/>
        <v>0</v>
      </c>
      <c r="DJ121" s="124">
        <f t="shared" si="177"/>
        <v>0</v>
      </c>
      <c r="DK121" s="124">
        <f t="shared" si="178"/>
        <v>0</v>
      </c>
      <c r="DL121" s="124">
        <f t="shared" si="179"/>
        <v>0</v>
      </c>
      <c r="DM121" s="124">
        <f t="shared" si="180"/>
        <v>0</v>
      </c>
      <c r="DN121" s="124">
        <f t="shared" si="181"/>
        <v>0</v>
      </c>
      <c r="DO121" s="124">
        <f t="shared" si="182"/>
        <v>0</v>
      </c>
      <c r="DP121" s="124">
        <f t="shared" si="183"/>
        <v>0</v>
      </c>
      <c r="DQ121" s="124">
        <f t="shared" si="184"/>
        <v>0</v>
      </c>
      <c r="DR121" s="124">
        <f t="shared" si="185"/>
        <v>0</v>
      </c>
      <c r="DS121" s="124">
        <f t="shared" si="186"/>
        <v>0</v>
      </c>
      <c r="DT121" s="124">
        <f t="shared" si="187"/>
        <v>0</v>
      </c>
      <c r="DU121" s="124">
        <f t="shared" si="188"/>
        <v>0</v>
      </c>
      <c r="DV121" s="124">
        <f t="shared" si="189"/>
        <v>0</v>
      </c>
      <c r="DW121" s="124">
        <f t="shared" si="190"/>
        <v>0</v>
      </c>
      <c r="DX121" s="124">
        <f t="shared" si="191"/>
        <v>0</v>
      </c>
      <c r="DY121" s="124">
        <f t="shared" si="192"/>
        <v>0</v>
      </c>
      <c r="DZ121" s="124">
        <f t="shared" si="193"/>
        <v>0</v>
      </c>
      <c r="EA121" s="124">
        <f t="shared" si="194"/>
        <v>0</v>
      </c>
      <c r="EB121" s="124">
        <f t="shared" si="195"/>
        <v>0</v>
      </c>
      <c r="EC121" s="124">
        <f t="shared" si="196"/>
        <v>0</v>
      </c>
      <c r="ED121" s="124">
        <f t="shared" si="197"/>
        <v>0</v>
      </c>
      <c r="EE121" s="124">
        <f t="shared" si="198"/>
        <v>0</v>
      </c>
      <c r="EF121" s="124">
        <f t="shared" si="199"/>
        <v>0</v>
      </c>
      <c r="EG121" s="124">
        <f t="shared" si="200"/>
        <v>0</v>
      </c>
      <c r="EH121" s="124">
        <f t="shared" si="201"/>
        <v>0</v>
      </c>
      <c r="EI121" s="124">
        <f t="shared" si="202"/>
        <v>0</v>
      </c>
      <c r="EJ121" s="124">
        <f t="shared" si="203"/>
        <v>0</v>
      </c>
      <c r="EK121" s="124">
        <f t="shared" si="204"/>
        <v>0</v>
      </c>
      <c r="EL121" s="124">
        <f t="shared" si="205"/>
        <v>0</v>
      </c>
      <c r="EM121" s="124">
        <f t="shared" si="206"/>
        <v>0</v>
      </c>
      <c r="EN121" s="124">
        <f t="shared" si="207"/>
        <v>0</v>
      </c>
      <c r="EO121" s="124">
        <f t="shared" si="208"/>
        <v>0</v>
      </c>
      <c r="EP121" s="124">
        <f t="shared" si="209"/>
        <v>0</v>
      </c>
      <c r="EQ121" s="124">
        <f t="shared" si="210"/>
        <v>0</v>
      </c>
      <c r="ER121" s="124">
        <f t="shared" si="211"/>
        <v>0</v>
      </c>
      <c r="ES121" s="124">
        <f t="shared" si="212"/>
        <v>0</v>
      </c>
      <c r="ET121" s="124">
        <f t="shared" si="213"/>
        <v>0</v>
      </c>
      <c r="EU121" s="124">
        <f t="shared" si="214"/>
        <v>0</v>
      </c>
      <c r="EV121" s="124">
        <f t="shared" si="215"/>
        <v>0</v>
      </c>
      <c r="EW121" s="209">
        <f t="shared" si="216"/>
        <v>0</v>
      </c>
      <c r="EX121" s="72"/>
      <c r="EY121" s="123">
        <f t="shared" si="217"/>
        <v>2659.0646250000004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8"/>
        <v>0</v>
      </c>
    </row>
    <row r="122" spans="112:196">
      <c r="DH122" s="123">
        <f t="shared" si="175"/>
        <v>2792.0178562500005</v>
      </c>
      <c r="DI122" s="124">
        <f t="shared" si="176"/>
        <v>0</v>
      </c>
      <c r="DJ122" s="124">
        <f t="shared" si="177"/>
        <v>0</v>
      </c>
      <c r="DK122" s="124">
        <f t="shared" si="178"/>
        <v>0</v>
      </c>
      <c r="DL122" s="124">
        <f t="shared" si="179"/>
        <v>0</v>
      </c>
      <c r="DM122" s="124">
        <f t="shared" si="180"/>
        <v>0</v>
      </c>
      <c r="DN122" s="124">
        <f t="shared" si="181"/>
        <v>0</v>
      </c>
      <c r="DO122" s="124">
        <f t="shared" si="182"/>
        <v>0</v>
      </c>
      <c r="DP122" s="124">
        <f t="shared" si="183"/>
        <v>0</v>
      </c>
      <c r="DQ122" s="124">
        <f t="shared" si="184"/>
        <v>0</v>
      </c>
      <c r="DR122" s="124">
        <f t="shared" si="185"/>
        <v>0</v>
      </c>
      <c r="DS122" s="124">
        <f t="shared" si="186"/>
        <v>0</v>
      </c>
      <c r="DT122" s="124">
        <f t="shared" si="187"/>
        <v>0</v>
      </c>
      <c r="DU122" s="124">
        <f t="shared" si="188"/>
        <v>0</v>
      </c>
      <c r="DV122" s="124">
        <f t="shared" si="189"/>
        <v>0</v>
      </c>
      <c r="DW122" s="124">
        <f t="shared" si="190"/>
        <v>0</v>
      </c>
      <c r="DX122" s="124">
        <f t="shared" si="191"/>
        <v>0</v>
      </c>
      <c r="DY122" s="124">
        <f t="shared" si="192"/>
        <v>0</v>
      </c>
      <c r="DZ122" s="124">
        <f t="shared" si="193"/>
        <v>0</v>
      </c>
      <c r="EA122" s="124">
        <f t="shared" si="194"/>
        <v>0</v>
      </c>
      <c r="EB122" s="124">
        <f t="shared" si="195"/>
        <v>0</v>
      </c>
      <c r="EC122" s="124">
        <f t="shared" si="196"/>
        <v>0</v>
      </c>
      <c r="ED122" s="124">
        <f t="shared" si="197"/>
        <v>0</v>
      </c>
      <c r="EE122" s="124">
        <f t="shared" si="198"/>
        <v>0</v>
      </c>
      <c r="EF122" s="124">
        <f t="shared" si="199"/>
        <v>0</v>
      </c>
      <c r="EG122" s="124">
        <f t="shared" si="200"/>
        <v>0</v>
      </c>
      <c r="EH122" s="124">
        <f t="shared" si="201"/>
        <v>0</v>
      </c>
      <c r="EI122" s="124">
        <f t="shared" si="202"/>
        <v>0</v>
      </c>
      <c r="EJ122" s="124">
        <f t="shared" si="203"/>
        <v>0</v>
      </c>
      <c r="EK122" s="124">
        <f t="shared" si="204"/>
        <v>0</v>
      </c>
      <c r="EL122" s="124">
        <f t="shared" si="205"/>
        <v>0</v>
      </c>
      <c r="EM122" s="124">
        <f t="shared" si="206"/>
        <v>0</v>
      </c>
      <c r="EN122" s="124">
        <f t="shared" si="207"/>
        <v>0</v>
      </c>
      <c r="EO122" s="124">
        <f t="shared" si="208"/>
        <v>0</v>
      </c>
      <c r="EP122" s="124">
        <f t="shared" si="209"/>
        <v>0</v>
      </c>
      <c r="EQ122" s="124">
        <f t="shared" si="210"/>
        <v>0</v>
      </c>
      <c r="ER122" s="124">
        <f t="shared" si="211"/>
        <v>0</v>
      </c>
      <c r="ES122" s="124">
        <f t="shared" si="212"/>
        <v>0</v>
      </c>
      <c r="ET122" s="124">
        <f t="shared" si="213"/>
        <v>0</v>
      </c>
      <c r="EU122" s="124">
        <f t="shared" si="214"/>
        <v>0</v>
      </c>
      <c r="EV122" s="124">
        <f t="shared" si="215"/>
        <v>0</v>
      </c>
      <c r="EW122" s="209">
        <f t="shared" si="216"/>
        <v>0</v>
      </c>
      <c r="EX122" s="72"/>
      <c r="EY122" s="123">
        <f t="shared" si="217"/>
        <v>2792.0178562500005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8"/>
        <v>0</v>
      </c>
    </row>
    <row r="123" spans="112:196">
      <c r="DH123" s="123">
        <f t="shared" si="175"/>
        <v>2931.6187490625007</v>
      </c>
      <c r="DI123" s="124">
        <f t="shared" si="176"/>
        <v>0</v>
      </c>
      <c r="DJ123" s="124">
        <f t="shared" si="177"/>
        <v>0</v>
      </c>
      <c r="DK123" s="124">
        <f t="shared" si="178"/>
        <v>0</v>
      </c>
      <c r="DL123" s="124">
        <f t="shared" si="179"/>
        <v>0</v>
      </c>
      <c r="DM123" s="124">
        <f t="shared" si="180"/>
        <v>0</v>
      </c>
      <c r="DN123" s="124">
        <f t="shared" si="181"/>
        <v>0</v>
      </c>
      <c r="DO123" s="124">
        <f t="shared" si="182"/>
        <v>0</v>
      </c>
      <c r="DP123" s="124">
        <f t="shared" si="183"/>
        <v>0</v>
      </c>
      <c r="DQ123" s="124">
        <f t="shared" si="184"/>
        <v>0</v>
      </c>
      <c r="DR123" s="124">
        <f t="shared" si="185"/>
        <v>0</v>
      </c>
      <c r="DS123" s="124">
        <f t="shared" si="186"/>
        <v>0</v>
      </c>
      <c r="DT123" s="124">
        <f t="shared" si="187"/>
        <v>0</v>
      </c>
      <c r="DU123" s="124">
        <f t="shared" si="188"/>
        <v>0</v>
      </c>
      <c r="DV123" s="124">
        <f t="shared" si="189"/>
        <v>0</v>
      </c>
      <c r="DW123" s="124">
        <f t="shared" si="190"/>
        <v>0</v>
      </c>
      <c r="DX123" s="124">
        <f t="shared" si="191"/>
        <v>0</v>
      </c>
      <c r="DY123" s="124">
        <f t="shared" si="192"/>
        <v>0</v>
      </c>
      <c r="DZ123" s="124">
        <f t="shared" si="193"/>
        <v>0</v>
      </c>
      <c r="EA123" s="124">
        <f t="shared" si="194"/>
        <v>0</v>
      </c>
      <c r="EB123" s="124">
        <f t="shared" si="195"/>
        <v>0</v>
      </c>
      <c r="EC123" s="124">
        <f t="shared" si="196"/>
        <v>0</v>
      </c>
      <c r="ED123" s="124">
        <f t="shared" si="197"/>
        <v>0</v>
      </c>
      <c r="EE123" s="124">
        <f t="shared" si="198"/>
        <v>0</v>
      </c>
      <c r="EF123" s="124">
        <f t="shared" si="199"/>
        <v>0</v>
      </c>
      <c r="EG123" s="124">
        <f t="shared" si="200"/>
        <v>0</v>
      </c>
      <c r="EH123" s="124">
        <f t="shared" si="201"/>
        <v>0</v>
      </c>
      <c r="EI123" s="124">
        <f t="shared" si="202"/>
        <v>0</v>
      </c>
      <c r="EJ123" s="124">
        <f t="shared" si="203"/>
        <v>0</v>
      </c>
      <c r="EK123" s="124">
        <f t="shared" si="204"/>
        <v>0</v>
      </c>
      <c r="EL123" s="124">
        <f t="shared" si="205"/>
        <v>0</v>
      </c>
      <c r="EM123" s="124">
        <f t="shared" si="206"/>
        <v>0</v>
      </c>
      <c r="EN123" s="124">
        <f t="shared" si="207"/>
        <v>0</v>
      </c>
      <c r="EO123" s="124">
        <f t="shared" si="208"/>
        <v>0</v>
      </c>
      <c r="EP123" s="124">
        <f t="shared" si="209"/>
        <v>0</v>
      </c>
      <c r="EQ123" s="124">
        <f t="shared" si="210"/>
        <v>0</v>
      </c>
      <c r="ER123" s="124">
        <f t="shared" si="211"/>
        <v>0</v>
      </c>
      <c r="ES123" s="124">
        <f t="shared" si="212"/>
        <v>0</v>
      </c>
      <c r="ET123" s="124">
        <f t="shared" si="213"/>
        <v>0</v>
      </c>
      <c r="EU123" s="124">
        <f t="shared" si="214"/>
        <v>0</v>
      </c>
      <c r="EV123" s="124">
        <f t="shared" si="215"/>
        <v>0</v>
      </c>
      <c r="EW123" s="209">
        <f t="shared" si="216"/>
        <v>0</v>
      </c>
      <c r="EX123" s="72"/>
      <c r="EY123" s="123">
        <f t="shared" si="217"/>
        <v>2931.6187490625007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8"/>
        <v>0</v>
      </c>
    </row>
    <row r="124" spans="112:196">
      <c r="DH124" s="123">
        <f t="shared" si="175"/>
        <v>3078.1996865156257</v>
      </c>
      <c r="DI124" s="124">
        <f t="shared" si="176"/>
        <v>0</v>
      </c>
      <c r="DJ124" s="124">
        <f t="shared" si="177"/>
        <v>0</v>
      </c>
      <c r="DK124" s="124">
        <f t="shared" si="178"/>
        <v>0</v>
      </c>
      <c r="DL124" s="124">
        <f t="shared" si="179"/>
        <v>0</v>
      </c>
      <c r="DM124" s="124">
        <f t="shared" si="180"/>
        <v>0</v>
      </c>
      <c r="DN124" s="124">
        <f t="shared" si="181"/>
        <v>0</v>
      </c>
      <c r="DO124" s="124">
        <f t="shared" si="182"/>
        <v>0</v>
      </c>
      <c r="DP124" s="124">
        <f t="shared" si="183"/>
        <v>0</v>
      </c>
      <c r="DQ124" s="124">
        <f t="shared" si="184"/>
        <v>0</v>
      </c>
      <c r="DR124" s="124">
        <f t="shared" si="185"/>
        <v>0</v>
      </c>
      <c r="DS124" s="124">
        <f t="shared" si="186"/>
        <v>0</v>
      </c>
      <c r="DT124" s="124">
        <f t="shared" si="187"/>
        <v>0</v>
      </c>
      <c r="DU124" s="124">
        <f t="shared" si="188"/>
        <v>0</v>
      </c>
      <c r="DV124" s="124">
        <f t="shared" si="189"/>
        <v>0</v>
      </c>
      <c r="DW124" s="124">
        <f t="shared" si="190"/>
        <v>0</v>
      </c>
      <c r="DX124" s="124">
        <f t="shared" si="191"/>
        <v>0</v>
      </c>
      <c r="DY124" s="124">
        <f t="shared" si="192"/>
        <v>0</v>
      </c>
      <c r="DZ124" s="124">
        <f t="shared" si="193"/>
        <v>0</v>
      </c>
      <c r="EA124" s="124">
        <f t="shared" si="194"/>
        <v>0</v>
      </c>
      <c r="EB124" s="124">
        <f t="shared" si="195"/>
        <v>0</v>
      </c>
      <c r="EC124" s="124">
        <f t="shared" si="196"/>
        <v>0</v>
      </c>
      <c r="ED124" s="124">
        <f t="shared" si="197"/>
        <v>0</v>
      </c>
      <c r="EE124" s="124">
        <f t="shared" si="198"/>
        <v>0</v>
      </c>
      <c r="EF124" s="124">
        <f t="shared" si="199"/>
        <v>0</v>
      </c>
      <c r="EG124" s="124">
        <f t="shared" si="200"/>
        <v>0</v>
      </c>
      <c r="EH124" s="124">
        <f t="shared" si="201"/>
        <v>0</v>
      </c>
      <c r="EI124" s="124">
        <f t="shared" si="202"/>
        <v>0</v>
      </c>
      <c r="EJ124" s="124">
        <f t="shared" si="203"/>
        <v>0</v>
      </c>
      <c r="EK124" s="124">
        <f t="shared" si="204"/>
        <v>0</v>
      </c>
      <c r="EL124" s="124">
        <f t="shared" si="205"/>
        <v>0</v>
      </c>
      <c r="EM124" s="124">
        <f t="shared" si="206"/>
        <v>0</v>
      </c>
      <c r="EN124" s="124">
        <f t="shared" si="207"/>
        <v>0</v>
      </c>
      <c r="EO124" s="124">
        <f t="shared" si="208"/>
        <v>0</v>
      </c>
      <c r="EP124" s="124">
        <f t="shared" si="209"/>
        <v>0</v>
      </c>
      <c r="EQ124" s="124">
        <f t="shared" si="210"/>
        <v>0</v>
      </c>
      <c r="ER124" s="124">
        <f t="shared" si="211"/>
        <v>0</v>
      </c>
      <c r="ES124" s="124">
        <f t="shared" si="212"/>
        <v>0</v>
      </c>
      <c r="ET124" s="124">
        <f t="shared" si="213"/>
        <v>0</v>
      </c>
      <c r="EU124" s="124">
        <f t="shared" si="214"/>
        <v>0</v>
      </c>
      <c r="EV124" s="124">
        <f t="shared" si="215"/>
        <v>0</v>
      </c>
      <c r="EW124" s="209">
        <f t="shared" si="216"/>
        <v>0</v>
      </c>
      <c r="EX124" s="72"/>
      <c r="EY124" s="123">
        <f t="shared" si="217"/>
        <v>3078.1996865156257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8"/>
        <v>0</v>
      </c>
    </row>
    <row r="125" spans="112:196">
      <c r="DH125" s="123">
        <f t="shared" si="175"/>
        <v>3232.109670841407</v>
      </c>
      <c r="DI125" s="124">
        <f t="shared" si="176"/>
        <v>0</v>
      </c>
      <c r="DJ125" s="124">
        <f t="shared" si="177"/>
        <v>0</v>
      </c>
      <c r="DK125" s="124">
        <f t="shared" si="178"/>
        <v>0</v>
      </c>
      <c r="DL125" s="124">
        <f t="shared" si="179"/>
        <v>0</v>
      </c>
      <c r="DM125" s="124">
        <f t="shared" si="180"/>
        <v>0</v>
      </c>
      <c r="DN125" s="124">
        <f t="shared" si="181"/>
        <v>0</v>
      </c>
      <c r="DO125" s="124">
        <f t="shared" si="182"/>
        <v>0</v>
      </c>
      <c r="DP125" s="124">
        <f t="shared" si="183"/>
        <v>0</v>
      </c>
      <c r="DQ125" s="124">
        <f t="shared" si="184"/>
        <v>0</v>
      </c>
      <c r="DR125" s="124">
        <f t="shared" si="185"/>
        <v>0</v>
      </c>
      <c r="DS125" s="124">
        <f t="shared" si="186"/>
        <v>0</v>
      </c>
      <c r="DT125" s="124">
        <f t="shared" si="187"/>
        <v>0</v>
      </c>
      <c r="DU125" s="124">
        <f t="shared" si="188"/>
        <v>0</v>
      </c>
      <c r="DV125" s="124">
        <f t="shared" si="189"/>
        <v>0</v>
      </c>
      <c r="DW125" s="124">
        <f t="shared" si="190"/>
        <v>0</v>
      </c>
      <c r="DX125" s="124">
        <f t="shared" si="191"/>
        <v>0</v>
      </c>
      <c r="DY125" s="124">
        <f t="shared" si="192"/>
        <v>0</v>
      </c>
      <c r="DZ125" s="124">
        <f t="shared" si="193"/>
        <v>0</v>
      </c>
      <c r="EA125" s="124">
        <f t="shared" si="194"/>
        <v>0</v>
      </c>
      <c r="EB125" s="124">
        <f t="shared" si="195"/>
        <v>0</v>
      </c>
      <c r="EC125" s="124">
        <f t="shared" si="196"/>
        <v>0</v>
      </c>
      <c r="ED125" s="124">
        <f t="shared" si="197"/>
        <v>0</v>
      </c>
      <c r="EE125" s="124">
        <f t="shared" si="198"/>
        <v>0</v>
      </c>
      <c r="EF125" s="124">
        <f t="shared" si="199"/>
        <v>0</v>
      </c>
      <c r="EG125" s="124">
        <f t="shared" si="200"/>
        <v>0</v>
      </c>
      <c r="EH125" s="124">
        <f t="shared" si="201"/>
        <v>0</v>
      </c>
      <c r="EI125" s="124">
        <f t="shared" si="202"/>
        <v>0</v>
      </c>
      <c r="EJ125" s="124">
        <f t="shared" si="203"/>
        <v>0</v>
      </c>
      <c r="EK125" s="124">
        <f t="shared" si="204"/>
        <v>0</v>
      </c>
      <c r="EL125" s="124">
        <f t="shared" si="205"/>
        <v>0</v>
      </c>
      <c r="EM125" s="124">
        <f t="shared" si="206"/>
        <v>0</v>
      </c>
      <c r="EN125" s="124">
        <f t="shared" si="207"/>
        <v>0</v>
      </c>
      <c r="EO125" s="124">
        <f t="shared" si="208"/>
        <v>0</v>
      </c>
      <c r="EP125" s="124">
        <f t="shared" si="209"/>
        <v>0</v>
      </c>
      <c r="EQ125" s="124">
        <f t="shared" si="210"/>
        <v>0</v>
      </c>
      <c r="ER125" s="124">
        <f t="shared" si="211"/>
        <v>0</v>
      </c>
      <c r="ES125" s="124">
        <f t="shared" si="212"/>
        <v>0</v>
      </c>
      <c r="ET125" s="124">
        <f t="shared" si="213"/>
        <v>0</v>
      </c>
      <c r="EU125" s="124">
        <f t="shared" si="214"/>
        <v>0</v>
      </c>
      <c r="EV125" s="124">
        <f t="shared" si="215"/>
        <v>0</v>
      </c>
      <c r="EW125" s="209">
        <f t="shared" si="216"/>
        <v>0</v>
      </c>
      <c r="EX125" s="72"/>
      <c r="EY125" s="123">
        <f t="shared" si="217"/>
        <v>3232.109670841407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8"/>
        <v>0</v>
      </c>
    </row>
    <row r="126" spans="112:196">
      <c r="DH126" s="123">
        <f t="shared" si="175"/>
        <v>3393.7151543834775</v>
      </c>
      <c r="DI126" s="124">
        <f t="shared" si="176"/>
        <v>0</v>
      </c>
      <c r="DJ126" s="124">
        <f t="shared" si="177"/>
        <v>0</v>
      </c>
      <c r="DK126" s="124">
        <f t="shared" si="178"/>
        <v>0</v>
      </c>
      <c r="DL126" s="124">
        <f t="shared" si="179"/>
        <v>0</v>
      </c>
      <c r="DM126" s="124">
        <f t="shared" si="180"/>
        <v>0</v>
      </c>
      <c r="DN126" s="124">
        <f t="shared" si="181"/>
        <v>0</v>
      </c>
      <c r="DO126" s="124">
        <f t="shared" si="182"/>
        <v>0</v>
      </c>
      <c r="DP126" s="124">
        <f t="shared" si="183"/>
        <v>0</v>
      </c>
      <c r="DQ126" s="124">
        <f t="shared" si="184"/>
        <v>0</v>
      </c>
      <c r="DR126" s="124">
        <f t="shared" si="185"/>
        <v>0</v>
      </c>
      <c r="DS126" s="124">
        <f t="shared" si="186"/>
        <v>0</v>
      </c>
      <c r="DT126" s="124">
        <f t="shared" si="187"/>
        <v>0</v>
      </c>
      <c r="DU126" s="124">
        <f t="shared" si="188"/>
        <v>0</v>
      </c>
      <c r="DV126" s="124">
        <f t="shared" si="189"/>
        <v>0</v>
      </c>
      <c r="DW126" s="124">
        <f t="shared" si="190"/>
        <v>0</v>
      </c>
      <c r="DX126" s="124">
        <f t="shared" si="191"/>
        <v>0</v>
      </c>
      <c r="DY126" s="124">
        <f t="shared" si="192"/>
        <v>0</v>
      </c>
      <c r="DZ126" s="124">
        <f t="shared" si="193"/>
        <v>0</v>
      </c>
      <c r="EA126" s="124">
        <f t="shared" si="194"/>
        <v>0</v>
      </c>
      <c r="EB126" s="124">
        <f t="shared" si="195"/>
        <v>0</v>
      </c>
      <c r="EC126" s="124">
        <f t="shared" si="196"/>
        <v>0</v>
      </c>
      <c r="ED126" s="124">
        <f t="shared" si="197"/>
        <v>0</v>
      </c>
      <c r="EE126" s="124">
        <f t="shared" si="198"/>
        <v>0</v>
      </c>
      <c r="EF126" s="124">
        <f t="shared" si="199"/>
        <v>0</v>
      </c>
      <c r="EG126" s="124">
        <f t="shared" si="200"/>
        <v>0</v>
      </c>
      <c r="EH126" s="124">
        <f t="shared" si="201"/>
        <v>0</v>
      </c>
      <c r="EI126" s="124">
        <f t="shared" si="202"/>
        <v>0</v>
      </c>
      <c r="EJ126" s="124">
        <f t="shared" si="203"/>
        <v>0</v>
      </c>
      <c r="EK126" s="124">
        <f t="shared" si="204"/>
        <v>0</v>
      </c>
      <c r="EL126" s="124">
        <f t="shared" si="205"/>
        <v>0</v>
      </c>
      <c r="EM126" s="124">
        <f t="shared" si="206"/>
        <v>0</v>
      </c>
      <c r="EN126" s="124">
        <f t="shared" si="207"/>
        <v>0</v>
      </c>
      <c r="EO126" s="124">
        <f t="shared" si="208"/>
        <v>0</v>
      </c>
      <c r="EP126" s="124">
        <f t="shared" si="209"/>
        <v>0</v>
      </c>
      <c r="EQ126" s="124">
        <f t="shared" si="210"/>
        <v>0</v>
      </c>
      <c r="ER126" s="124">
        <f t="shared" si="211"/>
        <v>0</v>
      </c>
      <c r="ES126" s="124">
        <f t="shared" si="212"/>
        <v>0</v>
      </c>
      <c r="ET126" s="124">
        <f t="shared" si="213"/>
        <v>0</v>
      </c>
      <c r="EU126" s="124">
        <f t="shared" si="214"/>
        <v>0</v>
      </c>
      <c r="EV126" s="124">
        <f t="shared" si="215"/>
        <v>0</v>
      </c>
      <c r="EW126" s="209">
        <f t="shared" si="216"/>
        <v>0</v>
      </c>
      <c r="EX126" s="72"/>
      <c r="EY126" s="123">
        <f t="shared" si="217"/>
        <v>3393.7151543834775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8"/>
        <v>0</v>
      </c>
    </row>
    <row r="127" spans="112:196">
      <c r="DH127" s="123">
        <f t="shared" si="175"/>
        <v>3563.4009121026515</v>
      </c>
      <c r="DI127" s="124">
        <f t="shared" si="176"/>
        <v>0</v>
      </c>
      <c r="DJ127" s="124">
        <f t="shared" si="177"/>
        <v>0</v>
      </c>
      <c r="DK127" s="124">
        <f t="shared" si="178"/>
        <v>0</v>
      </c>
      <c r="DL127" s="124">
        <f t="shared" si="179"/>
        <v>0</v>
      </c>
      <c r="DM127" s="124">
        <f t="shared" si="180"/>
        <v>0</v>
      </c>
      <c r="DN127" s="124">
        <f t="shared" si="181"/>
        <v>0</v>
      </c>
      <c r="DO127" s="124">
        <f t="shared" si="182"/>
        <v>0</v>
      </c>
      <c r="DP127" s="124">
        <f t="shared" si="183"/>
        <v>0</v>
      </c>
      <c r="DQ127" s="124">
        <f t="shared" si="184"/>
        <v>0</v>
      </c>
      <c r="DR127" s="124">
        <f t="shared" si="185"/>
        <v>0</v>
      </c>
      <c r="DS127" s="124">
        <f t="shared" si="186"/>
        <v>0</v>
      </c>
      <c r="DT127" s="124">
        <f t="shared" si="187"/>
        <v>0</v>
      </c>
      <c r="DU127" s="124">
        <f t="shared" si="188"/>
        <v>0</v>
      </c>
      <c r="DV127" s="124">
        <f t="shared" si="189"/>
        <v>0</v>
      </c>
      <c r="DW127" s="124">
        <f t="shared" si="190"/>
        <v>0</v>
      </c>
      <c r="DX127" s="124">
        <f t="shared" si="191"/>
        <v>0</v>
      </c>
      <c r="DY127" s="124">
        <f t="shared" si="192"/>
        <v>0</v>
      </c>
      <c r="DZ127" s="124">
        <f t="shared" si="193"/>
        <v>0</v>
      </c>
      <c r="EA127" s="124">
        <f t="shared" si="194"/>
        <v>0</v>
      </c>
      <c r="EB127" s="124">
        <f t="shared" si="195"/>
        <v>0</v>
      </c>
      <c r="EC127" s="124">
        <f t="shared" si="196"/>
        <v>0</v>
      </c>
      <c r="ED127" s="124">
        <f t="shared" si="197"/>
        <v>0</v>
      </c>
      <c r="EE127" s="124">
        <f t="shared" si="198"/>
        <v>0</v>
      </c>
      <c r="EF127" s="124">
        <f t="shared" si="199"/>
        <v>0</v>
      </c>
      <c r="EG127" s="124">
        <f t="shared" si="200"/>
        <v>0</v>
      </c>
      <c r="EH127" s="124">
        <f t="shared" si="201"/>
        <v>0</v>
      </c>
      <c r="EI127" s="124">
        <f t="shared" si="202"/>
        <v>0</v>
      </c>
      <c r="EJ127" s="124">
        <f t="shared" si="203"/>
        <v>0</v>
      </c>
      <c r="EK127" s="124">
        <f t="shared" si="204"/>
        <v>0</v>
      </c>
      <c r="EL127" s="124">
        <f t="shared" si="205"/>
        <v>0</v>
      </c>
      <c r="EM127" s="124">
        <f t="shared" si="206"/>
        <v>0</v>
      </c>
      <c r="EN127" s="124">
        <f t="shared" si="207"/>
        <v>0</v>
      </c>
      <c r="EO127" s="124">
        <f t="shared" si="208"/>
        <v>0</v>
      </c>
      <c r="EP127" s="124">
        <f t="shared" si="209"/>
        <v>0</v>
      </c>
      <c r="EQ127" s="124">
        <f t="shared" si="210"/>
        <v>0</v>
      </c>
      <c r="ER127" s="124">
        <f t="shared" si="211"/>
        <v>0</v>
      </c>
      <c r="ES127" s="124">
        <f t="shared" si="212"/>
        <v>0</v>
      </c>
      <c r="ET127" s="124">
        <f t="shared" si="213"/>
        <v>0</v>
      </c>
      <c r="EU127" s="124">
        <f t="shared" si="214"/>
        <v>0</v>
      </c>
      <c r="EV127" s="124">
        <f t="shared" si="215"/>
        <v>0</v>
      </c>
      <c r="EW127" s="209">
        <f t="shared" si="216"/>
        <v>0</v>
      </c>
      <c r="EX127" s="72"/>
      <c r="EY127" s="123">
        <f t="shared" si="217"/>
        <v>3563.4009121026515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8"/>
        <v>0</v>
      </c>
    </row>
    <row r="128" spans="112:196">
      <c r="DH128" s="123">
        <f t="shared" si="175"/>
        <v>3741.5709577077841</v>
      </c>
      <c r="DI128" s="124">
        <f t="shared" si="176"/>
        <v>0</v>
      </c>
      <c r="DJ128" s="124">
        <f t="shared" si="177"/>
        <v>0</v>
      </c>
      <c r="DK128" s="124">
        <f t="shared" si="178"/>
        <v>0</v>
      </c>
      <c r="DL128" s="124">
        <f t="shared" si="179"/>
        <v>0</v>
      </c>
      <c r="DM128" s="124">
        <f t="shared" si="180"/>
        <v>0</v>
      </c>
      <c r="DN128" s="124">
        <f t="shared" si="181"/>
        <v>0</v>
      </c>
      <c r="DO128" s="124">
        <f t="shared" si="182"/>
        <v>0</v>
      </c>
      <c r="DP128" s="124">
        <f t="shared" si="183"/>
        <v>0</v>
      </c>
      <c r="DQ128" s="124">
        <f t="shared" si="184"/>
        <v>0</v>
      </c>
      <c r="DR128" s="124">
        <f t="shared" si="185"/>
        <v>0</v>
      </c>
      <c r="DS128" s="124">
        <f t="shared" si="186"/>
        <v>0</v>
      </c>
      <c r="DT128" s="124">
        <f t="shared" si="187"/>
        <v>0</v>
      </c>
      <c r="DU128" s="124">
        <f t="shared" si="188"/>
        <v>0</v>
      </c>
      <c r="DV128" s="124">
        <f t="shared" si="189"/>
        <v>0</v>
      </c>
      <c r="DW128" s="124">
        <f t="shared" si="190"/>
        <v>0</v>
      </c>
      <c r="DX128" s="124">
        <f t="shared" si="191"/>
        <v>0</v>
      </c>
      <c r="DY128" s="124">
        <f t="shared" si="192"/>
        <v>0</v>
      </c>
      <c r="DZ128" s="124">
        <f t="shared" si="193"/>
        <v>0</v>
      </c>
      <c r="EA128" s="124">
        <f t="shared" si="194"/>
        <v>0</v>
      </c>
      <c r="EB128" s="124">
        <f t="shared" si="195"/>
        <v>0</v>
      </c>
      <c r="EC128" s="124">
        <f t="shared" si="196"/>
        <v>0</v>
      </c>
      <c r="ED128" s="124">
        <f t="shared" si="197"/>
        <v>0</v>
      </c>
      <c r="EE128" s="124">
        <f t="shared" si="198"/>
        <v>0</v>
      </c>
      <c r="EF128" s="124">
        <f t="shared" si="199"/>
        <v>0</v>
      </c>
      <c r="EG128" s="124">
        <f t="shared" si="200"/>
        <v>0</v>
      </c>
      <c r="EH128" s="124">
        <f t="shared" si="201"/>
        <v>0</v>
      </c>
      <c r="EI128" s="124">
        <f t="shared" si="202"/>
        <v>0</v>
      </c>
      <c r="EJ128" s="124">
        <f t="shared" si="203"/>
        <v>0</v>
      </c>
      <c r="EK128" s="124">
        <f t="shared" si="204"/>
        <v>0</v>
      </c>
      <c r="EL128" s="124">
        <f t="shared" si="205"/>
        <v>0</v>
      </c>
      <c r="EM128" s="124">
        <f t="shared" si="206"/>
        <v>0</v>
      </c>
      <c r="EN128" s="124">
        <f t="shared" si="207"/>
        <v>0</v>
      </c>
      <c r="EO128" s="124">
        <f t="shared" si="208"/>
        <v>0</v>
      </c>
      <c r="EP128" s="124">
        <f t="shared" si="209"/>
        <v>0</v>
      </c>
      <c r="EQ128" s="124">
        <f t="shared" si="210"/>
        <v>0</v>
      </c>
      <c r="ER128" s="124">
        <f t="shared" si="211"/>
        <v>0</v>
      </c>
      <c r="ES128" s="124">
        <f t="shared" si="212"/>
        <v>0</v>
      </c>
      <c r="ET128" s="124">
        <f t="shared" si="213"/>
        <v>0</v>
      </c>
      <c r="EU128" s="124">
        <f t="shared" si="214"/>
        <v>0</v>
      </c>
      <c r="EV128" s="124">
        <f t="shared" si="215"/>
        <v>0</v>
      </c>
      <c r="EW128" s="209">
        <f t="shared" si="216"/>
        <v>0</v>
      </c>
      <c r="EX128" s="72"/>
      <c r="EY128" s="123">
        <f t="shared" si="217"/>
        <v>3741.5709577077841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8"/>
        <v>0</v>
      </c>
    </row>
    <row r="129" spans="112:196">
      <c r="DH129" s="123">
        <f t="shared" si="175"/>
        <v>3928.6495055931737</v>
      </c>
      <c r="DI129" s="124">
        <f t="shared" si="176"/>
        <v>0</v>
      </c>
      <c r="DJ129" s="124">
        <f t="shared" si="177"/>
        <v>0</v>
      </c>
      <c r="DK129" s="124">
        <f t="shared" si="178"/>
        <v>0</v>
      </c>
      <c r="DL129" s="124">
        <f t="shared" si="179"/>
        <v>0</v>
      </c>
      <c r="DM129" s="124">
        <f t="shared" si="180"/>
        <v>0</v>
      </c>
      <c r="DN129" s="124">
        <f t="shared" si="181"/>
        <v>0</v>
      </c>
      <c r="DO129" s="124">
        <f t="shared" si="182"/>
        <v>0</v>
      </c>
      <c r="DP129" s="124">
        <f t="shared" si="183"/>
        <v>0</v>
      </c>
      <c r="DQ129" s="124">
        <f t="shared" si="184"/>
        <v>0</v>
      </c>
      <c r="DR129" s="124">
        <f t="shared" si="185"/>
        <v>0</v>
      </c>
      <c r="DS129" s="124">
        <f t="shared" si="186"/>
        <v>0</v>
      </c>
      <c r="DT129" s="124">
        <f t="shared" si="187"/>
        <v>0</v>
      </c>
      <c r="DU129" s="124">
        <f t="shared" si="188"/>
        <v>0</v>
      </c>
      <c r="DV129" s="124">
        <f t="shared" si="189"/>
        <v>0</v>
      </c>
      <c r="DW129" s="124">
        <f t="shared" si="190"/>
        <v>0</v>
      </c>
      <c r="DX129" s="124">
        <f t="shared" si="191"/>
        <v>0</v>
      </c>
      <c r="DY129" s="124">
        <f t="shared" si="192"/>
        <v>0</v>
      </c>
      <c r="DZ129" s="124">
        <f t="shared" si="193"/>
        <v>0</v>
      </c>
      <c r="EA129" s="124">
        <f t="shared" si="194"/>
        <v>0</v>
      </c>
      <c r="EB129" s="124">
        <f t="shared" si="195"/>
        <v>0</v>
      </c>
      <c r="EC129" s="124">
        <f t="shared" si="196"/>
        <v>0</v>
      </c>
      <c r="ED129" s="124">
        <f t="shared" si="197"/>
        <v>0</v>
      </c>
      <c r="EE129" s="124">
        <f t="shared" si="198"/>
        <v>0</v>
      </c>
      <c r="EF129" s="124">
        <f t="shared" si="199"/>
        <v>0</v>
      </c>
      <c r="EG129" s="124">
        <f t="shared" si="200"/>
        <v>0</v>
      </c>
      <c r="EH129" s="124">
        <f t="shared" si="201"/>
        <v>0</v>
      </c>
      <c r="EI129" s="124">
        <f t="shared" si="202"/>
        <v>0</v>
      </c>
      <c r="EJ129" s="124">
        <f t="shared" si="203"/>
        <v>0</v>
      </c>
      <c r="EK129" s="124">
        <f t="shared" si="204"/>
        <v>0</v>
      </c>
      <c r="EL129" s="124">
        <f t="shared" si="205"/>
        <v>0</v>
      </c>
      <c r="EM129" s="124">
        <f t="shared" si="206"/>
        <v>0</v>
      </c>
      <c r="EN129" s="124">
        <f t="shared" si="207"/>
        <v>0</v>
      </c>
      <c r="EO129" s="124">
        <f t="shared" si="208"/>
        <v>0</v>
      </c>
      <c r="EP129" s="124">
        <f t="shared" si="209"/>
        <v>0</v>
      </c>
      <c r="EQ129" s="124">
        <f t="shared" si="210"/>
        <v>0</v>
      </c>
      <c r="ER129" s="124">
        <f t="shared" si="211"/>
        <v>0</v>
      </c>
      <c r="ES129" s="124">
        <f t="shared" si="212"/>
        <v>0</v>
      </c>
      <c r="ET129" s="124">
        <f t="shared" si="213"/>
        <v>0</v>
      </c>
      <c r="EU129" s="124">
        <f t="shared" si="214"/>
        <v>0</v>
      </c>
      <c r="EV129" s="124">
        <f t="shared" si="215"/>
        <v>0</v>
      </c>
      <c r="EW129" s="209">
        <f t="shared" si="216"/>
        <v>0</v>
      </c>
      <c r="EX129" s="72"/>
      <c r="EY129" s="123">
        <f t="shared" si="217"/>
        <v>3928.6495055931737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8"/>
        <v>0</v>
      </c>
    </row>
    <row r="130" spans="112:196">
      <c r="DH130" s="123">
        <f t="shared" si="175"/>
        <v>4125.0819808728329</v>
      </c>
      <c r="DI130" s="124">
        <f t="shared" si="176"/>
        <v>0</v>
      </c>
      <c r="DJ130" s="124">
        <f t="shared" si="177"/>
        <v>0</v>
      </c>
      <c r="DK130" s="124">
        <f t="shared" si="178"/>
        <v>0</v>
      </c>
      <c r="DL130" s="124">
        <f t="shared" si="179"/>
        <v>0</v>
      </c>
      <c r="DM130" s="124">
        <f t="shared" si="180"/>
        <v>0</v>
      </c>
      <c r="DN130" s="124">
        <f t="shared" si="181"/>
        <v>0</v>
      </c>
      <c r="DO130" s="124">
        <f t="shared" si="182"/>
        <v>0</v>
      </c>
      <c r="DP130" s="124">
        <f t="shared" si="183"/>
        <v>0</v>
      </c>
      <c r="DQ130" s="124">
        <f t="shared" si="184"/>
        <v>0</v>
      </c>
      <c r="DR130" s="124">
        <f t="shared" si="185"/>
        <v>0</v>
      </c>
      <c r="DS130" s="124">
        <f t="shared" si="186"/>
        <v>0</v>
      </c>
      <c r="DT130" s="124">
        <f t="shared" si="187"/>
        <v>0</v>
      </c>
      <c r="DU130" s="124">
        <f t="shared" si="188"/>
        <v>0</v>
      </c>
      <c r="DV130" s="124">
        <f t="shared" si="189"/>
        <v>0</v>
      </c>
      <c r="DW130" s="124">
        <f t="shared" si="190"/>
        <v>0</v>
      </c>
      <c r="DX130" s="124">
        <f t="shared" si="191"/>
        <v>0</v>
      </c>
      <c r="DY130" s="124">
        <f t="shared" si="192"/>
        <v>0</v>
      </c>
      <c r="DZ130" s="124">
        <f t="shared" si="193"/>
        <v>0</v>
      </c>
      <c r="EA130" s="124">
        <f t="shared" si="194"/>
        <v>0</v>
      </c>
      <c r="EB130" s="124">
        <f t="shared" si="195"/>
        <v>0</v>
      </c>
      <c r="EC130" s="124">
        <f t="shared" si="196"/>
        <v>0</v>
      </c>
      <c r="ED130" s="124">
        <f t="shared" si="197"/>
        <v>0</v>
      </c>
      <c r="EE130" s="124">
        <f t="shared" si="198"/>
        <v>0</v>
      </c>
      <c r="EF130" s="124">
        <f t="shared" si="199"/>
        <v>0</v>
      </c>
      <c r="EG130" s="124">
        <f t="shared" si="200"/>
        <v>0</v>
      </c>
      <c r="EH130" s="124">
        <f t="shared" si="201"/>
        <v>0</v>
      </c>
      <c r="EI130" s="124">
        <f t="shared" si="202"/>
        <v>0</v>
      </c>
      <c r="EJ130" s="124">
        <f t="shared" si="203"/>
        <v>0</v>
      </c>
      <c r="EK130" s="124">
        <f t="shared" si="204"/>
        <v>0</v>
      </c>
      <c r="EL130" s="124">
        <f t="shared" si="205"/>
        <v>0</v>
      </c>
      <c r="EM130" s="124">
        <f t="shared" si="206"/>
        <v>0</v>
      </c>
      <c r="EN130" s="124">
        <f t="shared" si="207"/>
        <v>0</v>
      </c>
      <c r="EO130" s="124">
        <f t="shared" si="208"/>
        <v>0</v>
      </c>
      <c r="EP130" s="124">
        <f t="shared" si="209"/>
        <v>0</v>
      </c>
      <c r="EQ130" s="124">
        <f t="shared" si="210"/>
        <v>0</v>
      </c>
      <c r="ER130" s="124">
        <f t="shared" si="211"/>
        <v>0</v>
      </c>
      <c r="ES130" s="124">
        <f t="shared" si="212"/>
        <v>0</v>
      </c>
      <c r="ET130" s="124">
        <f t="shared" si="213"/>
        <v>0</v>
      </c>
      <c r="EU130" s="124">
        <f t="shared" si="214"/>
        <v>0</v>
      </c>
      <c r="EV130" s="124">
        <f t="shared" si="215"/>
        <v>0</v>
      </c>
      <c r="EW130" s="209">
        <f t="shared" si="216"/>
        <v>0</v>
      </c>
      <c r="EX130" s="72"/>
      <c r="EY130" s="123">
        <f t="shared" si="217"/>
        <v>4125.0819808728329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8"/>
        <v>0</v>
      </c>
    </row>
    <row r="131" spans="112:196">
      <c r="DH131" s="123">
        <f t="shared" si="175"/>
        <v>4331.3360799164748</v>
      </c>
      <c r="DI131" s="124">
        <f t="shared" si="176"/>
        <v>0</v>
      </c>
      <c r="DJ131" s="124">
        <f t="shared" si="177"/>
        <v>0</v>
      </c>
      <c r="DK131" s="124">
        <f t="shared" si="178"/>
        <v>0</v>
      </c>
      <c r="DL131" s="124">
        <f t="shared" si="179"/>
        <v>0</v>
      </c>
      <c r="DM131" s="124">
        <f t="shared" si="180"/>
        <v>0</v>
      </c>
      <c r="DN131" s="124">
        <f t="shared" si="181"/>
        <v>0</v>
      </c>
      <c r="DO131" s="124">
        <f t="shared" si="182"/>
        <v>0</v>
      </c>
      <c r="DP131" s="124">
        <f t="shared" si="183"/>
        <v>0</v>
      </c>
      <c r="DQ131" s="124">
        <f t="shared" si="184"/>
        <v>0</v>
      </c>
      <c r="DR131" s="124">
        <f t="shared" si="185"/>
        <v>0</v>
      </c>
      <c r="DS131" s="124">
        <f t="shared" si="186"/>
        <v>0</v>
      </c>
      <c r="DT131" s="124">
        <f t="shared" si="187"/>
        <v>0</v>
      </c>
      <c r="DU131" s="124">
        <f t="shared" si="188"/>
        <v>0</v>
      </c>
      <c r="DV131" s="124">
        <f t="shared" si="189"/>
        <v>0</v>
      </c>
      <c r="DW131" s="124">
        <f t="shared" si="190"/>
        <v>0</v>
      </c>
      <c r="DX131" s="124">
        <f t="shared" si="191"/>
        <v>0</v>
      </c>
      <c r="DY131" s="124">
        <f t="shared" si="192"/>
        <v>0</v>
      </c>
      <c r="DZ131" s="124">
        <f t="shared" si="193"/>
        <v>0</v>
      </c>
      <c r="EA131" s="124">
        <f t="shared" si="194"/>
        <v>0</v>
      </c>
      <c r="EB131" s="124">
        <f t="shared" si="195"/>
        <v>0</v>
      </c>
      <c r="EC131" s="124">
        <f t="shared" si="196"/>
        <v>0</v>
      </c>
      <c r="ED131" s="124">
        <f t="shared" si="197"/>
        <v>0</v>
      </c>
      <c r="EE131" s="124">
        <f t="shared" si="198"/>
        <v>0</v>
      </c>
      <c r="EF131" s="124">
        <f t="shared" si="199"/>
        <v>0</v>
      </c>
      <c r="EG131" s="124">
        <f t="shared" si="200"/>
        <v>0</v>
      </c>
      <c r="EH131" s="124">
        <f t="shared" si="201"/>
        <v>0</v>
      </c>
      <c r="EI131" s="124">
        <f t="shared" si="202"/>
        <v>0</v>
      </c>
      <c r="EJ131" s="124">
        <f t="shared" si="203"/>
        <v>0</v>
      </c>
      <c r="EK131" s="124">
        <f t="shared" si="204"/>
        <v>0</v>
      </c>
      <c r="EL131" s="124">
        <f t="shared" si="205"/>
        <v>0</v>
      </c>
      <c r="EM131" s="124">
        <f t="shared" si="206"/>
        <v>0</v>
      </c>
      <c r="EN131" s="124">
        <f t="shared" si="207"/>
        <v>0</v>
      </c>
      <c r="EO131" s="124">
        <f t="shared" si="208"/>
        <v>0</v>
      </c>
      <c r="EP131" s="124">
        <f t="shared" si="209"/>
        <v>0</v>
      </c>
      <c r="EQ131" s="124">
        <f t="shared" si="210"/>
        <v>0</v>
      </c>
      <c r="ER131" s="124">
        <f t="shared" si="211"/>
        <v>0</v>
      </c>
      <c r="ES131" s="124">
        <f t="shared" si="212"/>
        <v>0</v>
      </c>
      <c r="ET131" s="124">
        <f t="shared" si="213"/>
        <v>0</v>
      </c>
      <c r="EU131" s="124">
        <f t="shared" si="214"/>
        <v>0</v>
      </c>
      <c r="EV131" s="124">
        <f t="shared" si="215"/>
        <v>0</v>
      </c>
      <c r="EW131" s="209">
        <f t="shared" si="216"/>
        <v>0</v>
      </c>
      <c r="EX131" s="72"/>
      <c r="EY131" s="123">
        <f t="shared" si="217"/>
        <v>4331.3360799164748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8"/>
        <v>0</v>
      </c>
    </row>
    <row r="132" spans="112:196">
      <c r="DH132" s="123">
        <f t="shared" si="175"/>
        <v>4547.9028839122984</v>
      </c>
      <c r="DI132" s="124">
        <f t="shared" si="176"/>
        <v>0</v>
      </c>
      <c r="DJ132" s="124">
        <f t="shared" si="177"/>
        <v>0</v>
      </c>
      <c r="DK132" s="124">
        <f t="shared" si="178"/>
        <v>0</v>
      </c>
      <c r="DL132" s="124">
        <f t="shared" si="179"/>
        <v>0</v>
      </c>
      <c r="DM132" s="124">
        <f t="shared" si="180"/>
        <v>0</v>
      </c>
      <c r="DN132" s="124">
        <f t="shared" si="181"/>
        <v>0</v>
      </c>
      <c r="DO132" s="124">
        <f t="shared" si="182"/>
        <v>0</v>
      </c>
      <c r="DP132" s="124">
        <f t="shared" si="183"/>
        <v>0</v>
      </c>
      <c r="DQ132" s="124">
        <f t="shared" si="184"/>
        <v>0</v>
      </c>
      <c r="DR132" s="124">
        <f t="shared" si="185"/>
        <v>0</v>
      </c>
      <c r="DS132" s="124">
        <f t="shared" si="186"/>
        <v>0</v>
      </c>
      <c r="DT132" s="124">
        <f t="shared" si="187"/>
        <v>0</v>
      </c>
      <c r="DU132" s="124">
        <f t="shared" si="188"/>
        <v>0</v>
      </c>
      <c r="DV132" s="124">
        <f t="shared" si="189"/>
        <v>0</v>
      </c>
      <c r="DW132" s="124">
        <f t="shared" si="190"/>
        <v>0</v>
      </c>
      <c r="DX132" s="124">
        <f t="shared" si="191"/>
        <v>0</v>
      </c>
      <c r="DY132" s="124">
        <f t="shared" si="192"/>
        <v>0</v>
      </c>
      <c r="DZ132" s="124">
        <f t="shared" si="193"/>
        <v>0</v>
      </c>
      <c r="EA132" s="124">
        <f t="shared" si="194"/>
        <v>0</v>
      </c>
      <c r="EB132" s="124">
        <f t="shared" si="195"/>
        <v>0</v>
      </c>
      <c r="EC132" s="124">
        <f t="shared" si="196"/>
        <v>0</v>
      </c>
      <c r="ED132" s="124">
        <f t="shared" si="197"/>
        <v>0</v>
      </c>
      <c r="EE132" s="124">
        <f t="shared" si="198"/>
        <v>0</v>
      </c>
      <c r="EF132" s="124">
        <f t="shared" si="199"/>
        <v>0</v>
      </c>
      <c r="EG132" s="124">
        <f t="shared" si="200"/>
        <v>0</v>
      </c>
      <c r="EH132" s="124">
        <f t="shared" si="201"/>
        <v>0</v>
      </c>
      <c r="EI132" s="124">
        <f t="shared" si="202"/>
        <v>0</v>
      </c>
      <c r="EJ132" s="124">
        <f t="shared" si="203"/>
        <v>0</v>
      </c>
      <c r="EK132" s="124">
        <f t="shared" si="204"/>
        <v>0</v>
      </c>
      <c r="EL132" s="124">
        <f t="shared" si="205"/>
        <v>0</v>
      </c>
      <c r="EM132" s="124">
        <f t="shared" si="206"/>
        <v>0</v>
      </c>
      <c r="EN132" s="124">
        <f t="shared" si="207"/>
        <v>0</v>
      </c>
      <c r="EO132" s="124">
        <f t="shared" si="208"/>
        <v>0</v>
      </c>
      <c r="EP132" s="124">
        <f t="shared" si="209"/>
        <v>0</v>
      </c>
      <c r="EQ132" s="124">
        <f t="shared" si="210"/>
        <v>0</v>
      </c>
      <c r="ER132" s="124">
        <f t="shared" si="211"/>
        <v>0</v>
      </c>
      <c r="ES132" s="124">
        <f t="shared" si="212"/>
        <v>0</v>
      </c>
      <c r="ET132" s="124">
        <f t="shared" si="213"/>
        <v>0</v>
      </c>
      <c r="EU132" s="124">
        <f t="shared" si="214"/>
        <v>0</v>
      </c>
      <c r="EV132" s="124">
        <f t="shared" si="215"/>
        <v>0</v>
      </c>
      <c r="EW132" s="209">
        <f t="shared" si="216"/>
        <v>0</v>
      </c>
      <c r="EX132" s="72"/>
      <c r="EY132" s="123">
        <f t="shared" si="217"/>
        <v>4547.9028839122984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8"/>
        <v>0</v>
      </c>
    </row>
    <row r="133" spans="112:196">
      <c r="DH133" s="123">
        <f t="shared" si="175"/>
        <v>4775.2980281079135</v>
      </c>
      <c r="DI133" s="124">
        <f t="shared" si="176"/>
        <v>0</v>
      </c>
      <c r="DJ133" s="124">
        <f t="shared" si="177"/>
        <v>0</v>
      </c>
      <c r="DK133" s="124">
        <f t="shared" si="178"/>
        <v>0</v>
      </c>
      <c r="DL133" s="124">
        <f t="shared" si="179"/>
        <v>0</v>
      </c>
      <c r="DM133" s="124">
        <f t="shared" si="180"/>
        <v>0</v>
      </c>
      <c r="DN133" s="124">
        <f t="shared" si="181"/>
        <v>0</v>
      </c>
      <c r="DO133" s="124">
        <f t="shared" si="182"/>
        <v>0</v>
      </c>
      <c r="DP133" s="124">
        <f t="shared" si="183"/>
        <v>0</v>
      </c>
      <c r="DQ133" s="124">
        <f t="shared" si="184"/>
        <v>0</v>
      </c>
      <c r="DR133" s="124">
        <f t="shared" si="185"/>
        <v>0</v>
      </c>
      <c r="DS133" s="124">
        <f t="shared" si="186"/>
        <v>0</v>
      </c>
      <c r="DT133" s="124">
        <f t="shared" si="187"/>
        <v>0</v>
      </c>
      <c r="DU133" s="124">
        <f t="shared" si="188"/>
        <v>0</v>
      </c>
      <c r="DV133" s="124">
        <f t="shared" si="189"/>
        <v>0</v>
      </c>
      <c r="DW133" s="124">
        <f t="shared" si="190"/>
        <v>0</v>
      </c>
      <c r="DX133" s="124">
        <f t="shared" si="191"/>
        <v>0</v>
      </c>
      <c r="DY133" s="124">
        <f t="shared" si="192"/>
        <v>0</v>
      </c>
      <c r="DZ133" s="124">
        <f t="shared" si="193"/>
        <v>0</v>
      </c>
      <c r="EA133" s="124">
        <f t="shared" si="194"/>
        <v>0</v>
      </c>
      <c r="EB133" s="124">
        <f t="shared" si="195"/>
        <v>0</v>
      </c>
      <c r="EC133" s="124">
        <f t="shared" si="196"/>
        <v>0</v>
      </c>
      <c r="ED133" s="124">
        <f t="shared" si="197"/>
        <v>0</v>
      </c>
      <c r="EE133" s="124">
        <f t="shared" si="198"/>
        <v>0</v>
      </c>
      <c r="EF133" s="124">
        <f t="shared" si="199"/>
        <v>0</v>
      </c>
      <c r="EG133" s="124">
        <f t="shared" si="200"/>
        <v>0</v>
      </c>
      <c r="EH133" s="124">
        <f t="shared" si="201"/>
        <v>0</v>
      </c>
      <c r="EI133" s="124">
        <f t="shared" si="202"/>
        <v>0</v>
      </c>
      <c r="EJ133" s="124">
        <f t="shared" si="203"/>
        <v>0</v>
      </c>
      <c r="EK133" s="124">
        <f t="shared" si="204"/>
        <v>0</v>
      </c>
      <c r="EL133" s="124">
        <f t="shared" si="205"/>
        <v>0</v>
      </c>
      <c r="EM133" s="124">
        <f t="shared" si="206"/>
        <v>0</v>
      </c>
      <c r="EN133" s="124">
        <f t="shared" si="207"/>
        <v>0</v>
      </c>
      <c r="EO133" s="124">
        <f t="shared" si="208"/>
        <v>0</v>
      </c>
      <c r="EP133" s="124">
        <f t="shared" si="209"/>
        <v>0</v>
      </c>
      <c r="EQ133" s="124">
        <f t="shared" si="210"/>
        <v>0</v>
      </c>
      <c r="ER133" s="124">
        <f t="shared" si="211"/>
        <v>0</v>
      </c>
      <c r="ES133" s="124">
        <f t="shared" si="212"/>
        <v>0</v>
      </c>
      <c r="ET133" s="124">
        <f t="shared" si="213"/>
        <v>0</v>
      </c>
      <c r="EU133" s="124">
        <f t="shared" si="214"/>
        <v>0</v>
      </c>
      <c r="EV133" s="124">
        <f t="shared" si="215"/>
        <v>0</v>
      </c>
      <c r="EW133" s="209">
        <f t="shared" si="216"/>
        <v>0</v>
      </c>
      <c r="EX133" s="72"/>
      <c r="EY133" s="123">
        <f t="shared" si="217"/>
        <v>4775.2980281079135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8"/>
        <v>0</v>
      </c>
    </row>
    <row r="134" spans="112:196">
      <c r="DH134" s="199">
        <f t="shared" si="175"/>
        <v>5014.0629295133094</v>
      </c>
      <c r="DI134" s="200">
        <f t="shared" si="176"/>
        <v>0</v>
      </c>
      <c r="DJ134" s="200">
        <f t="shared" si="177"/>
        <v>0</v>
      </c>
      <c r="DK134" s="200">
        <f t="shared" si="178"/>
        <v>0</v>
      </c>
      <c r="DL134" s="200">
        <f t="shared" si="179"/>
        <v>0</v>
      </c>
      <c r="DM134" s="200">
        <f t="shared" si="180"/>
        <v>0</v>
      </c>
      <c r="DN134" s="200">
        <f t="shared" si="181"/>
        <v>0</v>
      </c>
      <c r="DO134" s="200">
        <f t="shared" si="182"/>
        <v>0</v>
      </c>
      <c r="DP134" s="200">
        <f t="shared" si="183"/>
        <v>0</v>
      </c>
      <c r="DQ134" s="200">
        <f t="shared" si="184"/>
        <v>0</v>
      </c>
      <c r="DR134" s="200">
        <f t="shared" si="185"/>
        <v>0</v>
      </c>
      <c r="DS134" s="200">
        <f t="shared" si="186"/>
        <v>0</v>
      </c>
      <c r="DT134" s="200">
        <f t="shared" si="187"/>
        <v>0</v>
      </c>
      <c r="DU134" s="200">
        <f t="shared" si="188"/>
        <v>0</v>
      </c>
      <c r="DV134" s="200">
        <f t="shared" si="189"/>
        <v>0</v>
      </c>
      <c r="DW134" s="200">
        <f t="shared" si="190"/>
        <v>0</v>
      </c>
      <c r="DX134" s="200">
        <f t="shared" si="191"/>
        <v>0</v>
      </c>
      <c r="DY134" s="200">
        <f t="shared" si="192"/>
        <v>0</v>
      </c>
      <c r="DZ134" s="200">
        <f t="shared" si="193"/>
        <v>0</v>
      </c>
      <c r="EA134" s="200">
        <f t="shared" si="194"/>
        <v>0</v>
      </c>
      <c r="EB134" s="200">
        <f t="shared" si="195"/>
        <v>0</v>
      </c>
      <c r="EC134" s="200">
        <f t="shared" si="196"/>
        <v>0</v>
      </c>
      <c r="ED134" s="200">
        <f t="shared" si="197"/>
        <v>0</v>
      </c>
      <c r="EE134" s="200">
        <f t="shared" si="198"/>
        <v>0</v>
      </c>
      <c r="EF134" s="200">
        <f t="shared" si="199"/>
        <v>0</v>
      </c>
      <c r="EG134" s="200">
        <f t="shared" si="200"/>
        <v>0</v>
      </c>
      <c r="EH134" s="200">
        <f t="shared" si="201"/>
        <v>0</v>
      </c>
      <c r="EI134" s="200">
        <f t="shared" si="202"/>
        <v>0</v>
      </c>
      <c r="EJ134" s="200">
        <f t="shared" si="203"/>
        <v>0</v>
      </c>
      <c r="EK134" s="200">
        <f t="shared" si="204"/>
        <v>0</v>
      </c>
      <c r="EL134" s="200">
        <f t="shared" si="205"/>
        <v>0</v>
      </c>
      <c r="EM134" s="200">
        <f t="shared" si="206"/>
        <v>0</v>
      </c>
      <c r="EN134" s="200">
        <f t="shared" si="207"/>
        <v>0</v>
      </c>
      <c r="EO134" s="200">
        <f t="shared" si="208"/>
        <v>0</v>
      </c>
      <c r="EP134" s="200">
        <f t="shared" si="209"/>
        <v>0</v>
      </c>
      <c r="EQ134" s="200">
        <f t="shared" si="210"/>
        <v>0</v>
      </c>
      <c r="ER134" s="200">
        <f t="shared" si="211"/>
        <v>0</v>
      </c>
      <c r="ES134" s="200">
        <f t="shared" si="212"/>
        <v>0</v>
      </c>
      <c r="ET134" s="200">
        <f t="shared" si="213"/>
        <v>0</v>
      </c>
      <c r="EU134" s="200">
        <f t="shared" si="214"/>
        <v>0</v>
      </c>
      <c r="EV134" s="200">
        <f t="shared" si="215"/>
        <v>0</v>
      </c>
      <c r="EW134" s="236">
        <f t="shared" si="216"/>
        <v>0</v>
      </c>
      <c r="EX134" s="72"/>
      <c r="EY134" s="199">
        <f t="shared" si="217"/>
        <v>5014.0629295133094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6 AG27:AG42 U27:U42">
    <cfRule type="expression" dxfId="490" priority="374">
      <formula>T3&gt;0</formula>
    </cfRule>
  </conditionalFormatting>
  <conditionalFormatting sqref="AG3:AG6 AG27:AG42 U27:U42">
    <cfRule type="expression" dxfId="489" priority="375">
      <formula>T3&lt;0</formula>
    </cfRule>
  </conditionalFormatting>
  <conditionalFormatting sqref="P3:Q34">
    <cfRule type="cellIs" dxfId="488" priority="376" operator="greaterThan">
      <formula>0</formula>
    </cfRule>
  </conditionalFormatting>
  <conditionalFormatting sqref="P3:Q34">
    <cfRule type="cellIs" dxfId="487" priority="377" operator="lessThan">
      <formula>0</formula>
    </cfRule>
  </conditionalFormatting>
  <conditionalFormatting sqref="B73:B74 B17:B18 B20:B30 AF3:AF17">
    <cfRule type="cellIs" dxfId="486" priority="378" operator="greaterThan">
      <formula>0</formula>
    </cfRule>
  </conditionalFormatting>
  <conditionalFormatting sqref="B73:B74 B17:B18 B20:B30 AF3:AF17">
    <cfRule type="cellIs" dxfId="485" priority="379" operator="lessThan">
      <formula>0</formula>
    </cfRule>
  </conditionalFormatting>
  <conditionalFormatting sqref="BD61:BD76">
    <cfRule type="cellIs" dxfId="484" priority="380" operator="greaterThan">
      <formula>0</formula>
    </cfRule>
  </conditionalFormatting>
  <conditionalFormatting sqref="BD61:BD76">
    <cfRule type="cellIs" dxfId="483" priority="381" operator="lessThan">
      <formula>0</formula>
    </cfRule>
  </conditionalFormatting>
  <conditionalFormatting sqref="BD6:BD8">
    <cfRule type="cellIs" dxfId="482" priority="382" operator="greaterThan">
      <formula>0</formula>
    </cfRule>
  </conditionalFormatting>
  <conditionalFormatting sqref="BD6:BD8">
    <cfRule type="cellIs" dxfId="481" priority="383" operator="lessThan">
      <formula>0</formula>
    </cfRule>
  </conditionalFormatting>
  <conditionalFormatting sqref="B43 B17:B18 B41 B20:B30 T3:T42 AF3:AF42">
    <cfRule type="cellIs" dxfId="480" priority="384" operator="greaterThan">
      <formula>0</formula>
    </cfRule>
  </conditionalFormatting>
  <conditionalFormatting sqref="B43 B17:B18 B41 B20:B30 T3:T42 AF3:AF42">
    <cfRule type="cellIs" dxfId="479" priority="385" operator="lessThan">
      <formula>0</formula>
    </cfRule>
  </conditionalFormatting>
  <conditionalFormatting sqref="B30">
    <cfRule type="cellIs" dxfId="478" priority="386" operator="greaterThan">
      <formula>0</formula>
    </cfRule>
  </conditionalFormatting>
  <conditionalFormatting sqref="B30">
    <cfRule type="cellIs" dxfId="477" priority="387" operator="lessThan">
      <formula>0</formula>
    </cfRule>
  </conditionalFormatting>
  <conditionalFormatting sqref="B75">
    <cfRule type="cellIs" dxfId="476" priority="388" operator="greaterThan">
      <formula>0</formula>
    </cfRule>
  </conditionalFormatting>
  <conditionalFormatting sqref="B75">
    <cfRule type="cellIs" dxfId="475" priority="389" operator="lessThan">
      <formula>0</formula>
    </cfRule>
  </conditionalFormatting>
  <conditionalFormatting sqref="BD9">
    <cfRule type="cellIs" dxfId="474" priority="390" operator="greaterThan">
      <formula>0</formula>
    </cfRule>
  </conditionalFormatting>
  <conditionalFormatting sqref="BD9">
    <cfRule type="cellIs" dxfId="473" priority="391" operator="lessThan">
      <formula>0</formula>
    </cfRule>
  </conditionalFormatting>
  <conditionalFormatting sqref="AX14:AX16">
    <cfRule type="cellIs" dxfId="472" priority="392" operator="greaterThan">
      <formula>0</formula>
    </cfRule>
  </conditionalFormatting>
  <conditionalFormatting sqref="AX14:AX16">
    <cfRule type="cellIs" dxfId="471" priority="393" operator="lessThan">
      <formula>0</formula>
    </cfRule>
  </conditionalFormatting>
  <conditionalFormatting sqref="AX28">
    <cfRule type="cellIs" dxfId="470" priority="394" operator="greaterThan">
      <formula>0</formula>
    </cfRule>
  </conditionalFormatting>
  <conditionalFormatting sqref="AX28">
    <cfRule type="cellIs" dxfId="469" priority="395" operator="lessThan">
      <formula>0</formula>
    </cfRule>
  </conditionalFormatting>
  <conditionalFormatting sqref="BD27">
    <cfRule type="cellIs" dxfId="468" priority="396" operator="greaterThan">
      <formula>0</formula>
    </cfRule>
  </conditionalFormatting>
  <conditionalFormatting sqref="BD27">
    <cfRule type="cellIs" dxfId="467" priority="397" operator="lessThan">
      <formula>0</formula>
    </cfRule>
  </conditionalFormatting>
  <conditionalFormatting sqref="BD22">
    <cfRule type="cellIs" dxfId="466" priority="398" operator="greaterThan">
      <formula>0</formula>
    </cfRule>
  </conditionalFormatting>
  <conditionalFormatting sqref="BD22">
    <cfRule type="cellIs" dxfId="465" priority="399" operator="lessThan">
      <formula>0</formula>
    </cfRule>
  </conditionalFormatting>
  <conditionalFormatting sqref="AX16:AX42">
    <cfRule type="cellIs" dxfId="464" priority="400" operator="greaterThan">
      <formula>0</formula>
    </cfRule>
  </conditionalFormatting>
  <conditionalFormatting sqref="AX16:AX42">
    <cfRule type="cellIs" dxfId="463" priority="401" operator="lessThan">
      <formula>0</formula>
    </cfRule>
  </conditionalFormatting>
  <conditionalFormatting sqref="AX24:AX27">
    <cfRule type="cellIs" dxfId="462" priority="402" operator="greaterThan">
      <formula>0</formula>
    </cfRule>
  </conditionalFormatting>
  <conditionalFormatting sqref="AX24:AX27">
    <cfRule type="cellIs" dxfId="461" priority="403" operator="lessThan">
      <formula>0</formula>
    </cfRule>
  </conditionalFormatting>
  <conditionalFormatting sqref="BD10:BD11 BD16:BD18 BD20:BD42">
    <cfRule type="cellIs" dxfId="460" priority="404" operator="greaterThan">
      <formula>0</formula>
    </cfRule>
  </conditionalFormatting>
  <conditionalFormatting sqref="BD10:BD11 BD16:BD18 BD20:BD42">
    <cfRule type="cellIs" dxfId="459" priority="405" operator="lessThan">
      <formula>0</formula>
    </cfRule>
  </conditionalFormatting>
  <conditionalFormatting sqref="BD12:BD15">
    <cfRule type="cellIs" dxfId="458" priority="406" operator="greaterThan">
      <formula>0</formula>
    </cfRule>
  </conditionalFormatting>
  <conditionalFormatting sqref="BD12:BD15">
    <cfRule type="cellIs" dxfId="457" priority="407" operator="lessThan">
      <formula>0</formula>
    </cfRule>
  </conditionalFormatting>
  <conditionalFormatting sqref="BD19">
    <cfRule type="cellIs" dxfId="456" priority="408" operator="greaterThan">
      <formula>0</formula>
    </cfRule>
  </conditionalFormatting>
  <conditionalFormatting sqref="BD19">
    <cfRule type="cellIs" dxfId="455" priority="409" operator="lessThan">
      <formula>0</formula>
    </cfRule>
  </conditionalFormatting>
  <conditionalFormatting sqref="AX29:AX36">
    <cfRule type="cellIs" dxfId="454" priority="410" operator="greaterThan">
      <formula>0</formula>
    </cfRule>
  </conditionalFormatting>
  <conditionalFormatting sqref="AX29:AX36">
    <cfRule type="cellIs" dxfId="453" priority="411" operator="lessThan">
      <formula>0</formula>
    </cfRule>
  </conditionalFormatting>
  <conditionalFormatting sqref="BD23:BD24">
    <cfRule type="cellIs" dxfId="452" priority="412" operator="greaterThan">
      <formula>0</formula>
    </cfRule>
  </conditionalFormatting>
  <conditionalFormatting sqref="BD23:BD24">
    <cfRule type="cellIs" dxfId="451" priority="413" operator="lessThan">
      <formula>0</formula>
    </cfRule>
  </conditionalFormatting>
  <conditionalFormatting sqref="BD25:BD26">
    <cfRule type="cellIs" dxfId="450" priority="414" operator="greaterThan">
      <formula>0</formula>
    </cfRule>
  </conditionalFormatting>
  <conditionalFormatting sqref="BD25:BD26">
    <cfRule type="cellIs" dxfId="449" priority="415" operator="lessThan">
      <formula>0</formula>
    </cfRule>
  </conditionalFormatting>
  <conditionalFormatting sqref="AX61:AX76">
    <cfRule type="cellIs" dxfId="448" priority="416" operator="greaterThan">
      <formula>0</formula>
    </cfRule>
  </conditionalFormatting>
  <conditionalFormatting sqref="AX61:AX76">
    <cfRule type="cellIs" dxfId="447" priority="417" operator="lessThan">
      <formula>0</formula>
    </cfRule>
  </conditionalFormatting>
  <conditionalFormatting sqref="AX50:AX53 AX55:AX68">
    <cfRule type="cellIs" dxfId="446" priority="418" operator="greaterThan">
      <formula>0</formula>
    </cfRule>
  </conditionalFormatting>
  <conditionalFormatting sqref="AX50:AX53 AX55:AX68">
    <cfRule type="cellIs" dxfId="445" priority="419" operator="lessThan">
      <formula>0</formula>
    </cfRule>
  </conditionalFormatting>
  <conditionalFormatting sqref="AX50">
    <cfRule type="cellIs" dxfId="444" priority="420" operator="greaterThan">
      <formula>0</formula>
    </cfRule>
  </conditionalFormatting>
  <conditionalFormatting sqref="AX50">
    <cfRule type="cellIs" dxfId="443" priority="421" operator="lessThan">
      <formula>0</formula>
    </cfRule>
  </conditionalFormatting>
  <conditionalFormatting sqref="AX70">
    <cfRule type="cellIs" dxfId="442" priority="422" operator="greaterThan">
      <formula>0</formula>
    </cfRule>
  </conditionalFormatting>
  <conditionalFormatting sqref="AX70">
    <cfRule type="cellIs" dxfId="441" priority="423" operator="lessThan">
      <formula>0</formula>
    </cfRule>
  </conditionalFormatting>
  <conditionalFormatting sqref="AX35:AX47 AX50">
    <cfRule type="cellIs" dxfId="440" priority="424" operator="greaterThan">
      <formula>0</formula>
    </cfRule>
  </conditionalFormatting>
  <conditionalFormatting sqref="AX35:AX47 AX50">
    <cfRule type="cellIs" dxfId="439" priority="425" operator="lessThan">
      <formula>0</formula>
    </cfRule>
  </conditionalFormatting>
  <conditionalFormatting sqref="AX43:AX47 AX50">
    <cfRule type="cellIs" dxfId="438" priority="426" operator="greaterThan">
      <formula>0</formula>
    </cfRule>
  </conditionalFormatting>
  <conditionalFormatting sqref="AX43:AX47 AX50">
    <cfRule type="cellIs" dxfId="437" priority="427" operator="lessThan">
      <formula>0</formula>
    </cfRule>
  </conditionalFormatting>
  <conditionalFormatting sqref="AX69">
    <cfRule type="cellIs" dxfId="436" priority="428" operator="greaterThan">
      <formula>0</formula>
    </cfRule>
  </conditionalFormatting>
  <conditionalFormatting sqref="AX69">
    <cfRule type="cellIs" dxfId="435" priority="429" operator="lessThan">
      <formula>0</formula>
    </cfRule>
  </conditionalFormatting>
  <conditionalFormatting sqref="AX59">
    <cfRule type="cellIs" dxfId="434" priority="430" operator="greaterThan">
      <formula>0</formula>
    </cfRule>
  </conditionalFormatting>
  <conditionalFormatting sqref="AX59">
    <cfRule type="cellIs" dxfId="433" priority="431" operator="lessThan">
      <formula>0</formula>
    </cfRule>
  </conditionalFormatting>
  <conditionalFormatting sqref="AX47:AX50">
    <cfRule type="cellIs" dxfId="432" priority="432" operator="greaterThan">
      <formula>0</formula>
    </cfRule>
  </conditionalFormatting>
  <conditionalFormatting sqref="AX47:AX50">
    <cfRule type="cellIs" dxfId="431" priority="433" operator="lessThan">
      <formula>0</formula>
    </cfRule>
  </conditionalFormatting>
  <conditionalFormatting sqref="AX59">
    <cfRule type="cellIs" dxfId="430" priority="434" operator="greaterThan">
      <formula>0</formula>
    </cfRule>
  </conditionalFormatting>
  <conditionalFormatting sqref="AX59">
    <cfRule type="cellIs" dxfId="429" priority="435" operator="lessThan">
      <formula>0</formula>
    </cfRule>
  </conditionalFormatting>
  <conditionalFormatting sqref="AX60">
    <cfRule type="cellIs" dxfId="428" priority="436" operator="greaterThan">
      <formula>0</formula>
    </cfRule>
  </conditionalFormatting>
  <conditionalFormatting sqref="AX60">
    <cfRule type="cellIs" dxfId="427" priority="437" operator="lessThan">
      <formula>0</formula>
    </cfRule>
  </conditionalFormatting>
  <conditionalFormatting sqref="AX61:AX63">
    <cfRule type="cellIs" dxfId="426" priority="438" operator="greaterThan">
      <formula>0</formula>
    </cfRule>
  </conditionalFormatting>
  <conditionalFormatting sqref="AX61:AX63">
    <cfRule type="cellIs" dxfId="425" priority="439" operator="lessThan">
      <formula>0</formula>
    </cfRule>
  </conditionalFormatting>
  <conditionalFormatting sqref="AX63">
    <cfRule type="cellIs" dxfId="424" priority="440" operator="greaterThan">
      <formula>0</formula>
    </cfRule>
  </conditionalFormatting>
  <conditionalFormatting sqref="AX63">
    <cfRule type="cellIs" dxfId="423" priority="441" operator="lessThan">
      <formula>0</formula>
    </cfRule>
  </conditionalFormatting>
  <conditionalFormatting sqref="AX64:AX65">
    <cfRule type="cellIs" dxfId="422" priority="442" operator="greaterThan">
      <formula>0</formula>
    </cfRule>
  </conditionalFormatting>
  <conditionalFormatting sqref="AX64:AX65">
    <cfRule type="cellIs" dxfId="421" priority="443" operator="lessThan">
      <formula>0</formula>
    </cfRule>
  </conditionalFormatting>
  <conditionalFormatting sqref="AX52:AX54">
    <cfRule type="cellIs" dxfId="420" priority="444" operator="greaterThan">
      <formula>0</formula>
    </cfRule>
  </conditionalFormatting>
  <conditionalFormatting sqref="AX52:AX54">
    <cfRule type="cellIs" dxfId="419" priority="445" operator="lessThan">
      <formula>0</formula>
    </cfRule>
  </conditionalFormatting>
  <conditionalFormatting sqref="AX65">
    <cfRule type="cellIs" dxfId="418" priority="446" operator="greaterThan">
      <formula>0</formula>
    </cfRule>
  </conditionalFormatting>
  <conditionalFormatting sqref="AX65">
    <cfRule type="cellIs" dxfId="417" priority="447" operator="lessThan">
      <formula>0</formula>
    </cfRule>
  </conditionalFormatting>
  <conditionalFormatting sqref="AX64">
    <cfRule type="cellIs" dxfId="416" priority="448" operator="greaterThan">
      <formula>0</formula>
    </cfRule>
  </conditionalFormatting>
  <conditionalFormatting sqref="AX64">
    <cfRule type="cellIs" dxfId="415" priority="449" operator="lessThan">
      <formula>0</formula>
    </cfRule>
  </conditionalFormatting>
  <conditionalFormatting sqref="AX54">
    <cfRule type="cellIs" dxfId="414" priority="450" operator="greaterThan">
      <formula>0</formula>
    </cfRule>
  </conditionalFormatting>
  <conditionalFormatting sqref="AX54">
    <cfRule type="cellIs" dxfId="413" priority="451" operator="lessThan">
      <formula>0</formula>
    </cfRule>
  </conditionalFormatting>
  <conditionalFormatting sqref="AX54">
    <cfRule type="cellIs" dxfId="412" priority="452" operator="greaterThan">
      <formula>0</formula>
    </cfRule>
  </conditionalFormatting>
  <conditionalFormatting sqref="AX54">
    <cfRule type="cellIs" dxfId="411" priority="453" operator="lessThan">
      <formula>0</formula>
    </cfRule>
  </conditionalFormatting>
  <conditionalFormatting sqref="AX55:AX68">
    <cfRule type="cellIs" dxfId="410" priority="454" operator="greaterThan">
      <formula>0</formula>
    </cfRule>
  </conditionalFormatting>
  <conditionalFormatting sqref="AX55:AX68">
    <cfRule type="cellIs" dxfId="409" priority="455" operator="lessThan">
      <formula>0</formula>
    </cfRule>
  </conditionalFormatting>
  <conditionalFormatting sqref="AX56:AX58">
    <cfRule type="cellIs" dxfId="408" priority="456" operator="greaterThan">
      <formula>0</formula>
    </cfRule>
  </conditionalFormatting>
  <conditionalFormatting sqref="AX56:AX58">
    <cfRule type="cellIs" dxfId="407" priority="457" operator="lessThan">
      <formula>0</formula>
    </cfRule>
  </conditionalFormatting>
  <conditionalFormatting sqref="AX58">
    <cfRule type="cellIs" dxfId="406" priority="458" operator="greaterThan">
      <formula>0</formula>
    </cfRule>
  </conditionalFormatting>
  <conditionalFormatting sqref="AX58">
    <cfRule type="cellIs" dxfId="405" priority="459" operator="lessThan">
      <formula>0</formula>
    </cfRule>
  </conditionalFormatting>
  <conditionalFormatting sqref="AX59:AX60">
    <cfRule type="cellIs" dxfId="404" priority="460" operator="greaterThan">
      <formula>0</formula>
    </cfRule>
  </conditionalFormatting>
  <conditionalFormatting sqref="AX59:AX60">
    <cfRule type="cellIs" dxfId="403" priority="461" operator="lessThan">
      <formula>0</formula>
    </cfRule>
  </conditionalFormatting>
  <conditionalFormatting sqref="BD28:BD29 BD34:BD36 BD38:BD68">
    <cfRule type="cellIs" dxfId="402" priority="462" operator="greaterThan">
      <formula>0</formula>
    </cfRule>
  </conditionalFormatting>
  <conditionalFormatting sqref="BD28:BD29 BD34:BD36 BD38:BD68">
    <cfRule type="cellIs" dxfId="401" priority="463" operator="lessThan">
      <formula>0</formula>
    </cfRule>
  </conditionalFormatting>
  <conditionalFormatting sqref="BD30:BD33">
    <cfRule type="cellIs" dxfId="400" priority="464" operator="greaterThan">
      <formula>0</formula>
    </cfRule>
  </conditionalFormatting>
  <conditionalFormatting sqref="BD30:BD33">
    <cfRule type="cellIs" dxfId="399" priority="465" operator="lessThan">
      <formula>0</formula>
    </cfRule>
  </conditionalFormatting>
  <conditionalFormatting sqref="BD57">
    <cfRule type="cellIs" dxfId="398" priority="466" operator="greaterThan">
      <formula>0</formula>
    </cfRule>
  </conditionalFormatting>
  <conditionalFormatting sqref="BD57">
    <cfRule type="cellIs" dxfId="397" priority="467" operator="lessThan">
      <formula>0</formula>
    </cfRule>
  </conditionalFormatting>
  <conditionalFormatting sqref="BD37">
    <cfRule type="cellIs" dxfId="396" priority="468" operator="greaterThan">
      <formula>0</formula>
    </cfRule>
  </conditionalFormatting>
  <conditionalFormatting sqref="BD37">
    <cfRule type="cellIs" dxfId="395" priority="469" operator="lessThan">
      <formula>0</formula>
    </cfRule>
  </conditionalFormatting>
  <conditionalFormatting sqref="AX5:AX14">
    <cfRule type="cellIs" dxfId="394" priority="470" operator="greaterThan">
      <formula>0</formula>
    </cfRule>
  </conditionalFormatting>
  <conditionalFormatting sqref="AX5:AX14">
    <cfRule type="cellIs" dxfId="393" priority="471" operator="lessThan">
      <formula>0</formula>
    </cfRule>
  </conditionalFormatting>
  <conditionalFormatting sqref="AX13">
    <cfRule type="cellIs" dxfId="392" priority="472" operator="greaterThan">
      <formula>0</formula>
    </cfRule>
  </conditionalFormatting>
  <conditionalFormatting sqref="AX13">
    <cfRule type="cellIs" dxfId="391" priority="473" operator="lessThan">
      <formula>0</formula>
    </cfRule>
  </conditionalFormatting>
  <conditionalFormatting sqref="B65:B72">
    <cfRule type="cellIs" dxfId="390" priority="474" operator="greaterThan">
      <formula>0</formula>
    </cfRule>
  </conditionalFormatting>
  <conditionalFormatting sqref="B65:B72">
    <cfRule type="cellIs" dxfId="389" priority="475" operator="lessThan">
      <formula>0</formula>
    </cfRule>
  </conditionalFormatting>
  <conditionalFormatting sqref="BJ3:BJ76">
    <cfRule type="cellIs" dxfId="388" priority="476" operator="greaterThan">
      <formula>0</formula>
    </cfRule>
  </conditionalFormatting>
  <conditionalFormatting sqref="BJ3:BJ76">
    <cfRule type="cellIs" dxfId="387" priority="477" operator="lessThan">
      <formula>0</formula>
    </cfRule>
  </conditionalFormatting>
  <conditionalFormatting sqref="AX21">
    <cfRule type="cellIs" dxfId="386" priority="478" operator="greaterThan">
      <formula>0</formula>
    </cfRule>
  </conditionalFormatting>
  <conditionalFormatting sqref="AX21">
    <cfRule type="cellIs" dxfId="385" priority="479" operator="lessThan">
      <formula>0</formula>
    </cfRule>
  </conditionalFormatting>
  <conditionalFormatting sqref="AX21">
    <cfRule type="cellIs" dxfId="384" priority="480" operator="greaterThan">
      <formula>0</formula>
    </cfRule>
  </conditionalFormatting>
  <conditionalFormatting sqref="AX21">
    <cfRule type="cellIs" dxfId="383" priority="481" operator="lessThan">
      <formula>0</formula>
    </cfRule>
  </conditionalFormatting>
  <conditionalFormatting sqref="AX14">
    <cfRule type="cellIs" dxfId="382" priority="482" operator="greaterThan">
      <formula>0</formula>
    </cfRule>
  </conditionalFormatting>
  <conditionalFormatting sqref="AX14">
    <cfRule type="cellIs" dxfId="381" priority="483" operator="lessThan">
      <formula>0</formula>
    </cfRule>
  </conditionalFormatting>
  <conditionalFormatting sqref="AX22">
    <cfRule type="cellIs" dxfId="380" priority="484" operator="greaterThan">
      <formula>0</formula>
    </cfRule>
  </conditionalFormatting>
  <conditionalFormatting sqref="AX22">
    <cfRule type="cellIs" dxfId="379" priority="485" operator="lessThan">
      <formula>0</formula>
    </cfRule>
  </conditionalFormatting>
  <conditionalFormatting sqref="AX22">
    <cfRule type="cellIs" dxfId="378" priority="486" operator="greaterThan">
      <formula>0</formula>
    </cfRule>
  </conditionalFormatting>
  <conditionalFormatting sqref="AX22">
    <cfRule type="cellIs" dxfId="377" priority="487" operator="lessThan">
      <formula>0</formula>
    </cfRule>
  </conditionalFormatting>
  <conditionalFormatting sqref="B64">
    <cfRule type="cellIs" dxfId="376" priority="488" operator="greaterThan">
      <formula>0</formula>
    </cfRule>
  </conditionalFormatting>
  <conditionalFormatting sqref="B64">
    <cfRule type="cellIs" dxfId="375" priority="489" operator="lessThan">
      <formula>0</formula>
    </cfRule>
  </conditionalFormatting>
  <conditionalFormatting sqref="B41 B43:B72 AF3:AF42">
    <cfRule type="cellIs" dxfId="374" priority="490" operator="greaterThan">
      <formula>0</formula>
    </cfRule>
  </conditionalFormatting>
  <conditionalFormatting sqref="B41 B43:B72 AF3:AF42">
    <cfRule type="cellIs" dxfId="373" priority="491" operator="lessThan">
      <formula>0</formula>
    </cfRule>
  </conditionalFormatting>
  <conditionalFormatting sqref="B41 B43:B72">
    <cfRule type="cellIs" dxfId="372" priority="492" operator="greaterThan">
      <formula>0</formula>
    </cfRule>
  </conditionalFormatting>
  <conditionalFormatting sqref="B41 B43:B72">
    <cfRule type="cellIs" dxfId="371" priority="493" operator="lessThan">
      <formula>0</formula>
    </cfRule>
  </conditionalFormatting>
  <conditionalFormatting sqref="B29">
    <cfRule type="cellIs" dxfId="370" priority="494" operator="greaterThan">
      <formula>0</formula>
    </cfRule>
  </conditionalFormatting>
  <conditionalFormatting sqref="B29">
    <cfRule type="cellIs" dxfId="369" priority="495" operator="lessThan">
      <formula>0</formula>
    </cfRule>
  </conditionalFormatting>
  <conditionalFormatting sqref="AX3">
    <cfRule type="cellIs" dxfId="368" priority="496" operator="greaterThan">
      <formula>0</formula>
    </cfRule>
  </conditionalFormatting>
  <conditionalFormatting sqref="AX3">
    <cfRule type="cellIs" dxfId="367" priority="497" operator="lessThan">
      <formula>0</formula>
    </cfRule>
  </conditionalFormatting>
  <conditionalFormatting sqref="AX4">
    <cfRule type="cellIs" dxfId="366" priority="498" operator="greaterThan">
      <formula>0</formula>
    </cfRule>
  </conditionalFormatting>
  <conditionalFormatting sqref="AX4">
    <cfRule type="cellIs" dxfId="365" priority="499" operator="lessThan">
      <formula>0</formula>
    </cfRule>
  </conditionalFormatting>
  <conditionalFormatting sqref="BD3">
    <cfRule type="cellIs" dxfId="364" priority="500" operator="greaterThan">
      <formula>0</formula>
    </cfRule>
  </conditionalFormatting>
  <conditionalFormatting sqref="BD3">
    <cfRule type="cellIs" dxfId="363" priority="501" operator="lessThan">
      <formula>0</formula>
    </cfRule>
  </conditionalFormatting>
  <conditionalFormatting sqref="T3:T42 AF3:AF42">
    <cfRule type="cellIs" dxfId="362" priority="502" operator="greaterThan">
      <formula>0</formula>
    </cfRule>
  </conditionalFormatting>
  <conditionalFormatting sqref="T3:T42 AF3:AF42">
    <cfRule type="cellIs" dxfId="361" priority="503" operator="lessThan">
      <formula>0</formula>
    </cfRule>
  </conditionalFormatting>
  <conditionalFormatting sqref="Q37">
    <cfRule type="cellIs" dxfId="360" priority="504" operator="lessThan">
      <formula>0</formula>
    </cfRule>
  </conditionalFormatting>
  <conditionalFormatting sqref="Q37">
    <cfRule type="cellIs" dxfId="359" priority="505" operator="greaterThan">
      <formula>0</formula>
    </cfRule>
  </conditionalFormatting>
  <conditionalFormatting sqref="I3:I37">
    <cfRule type="cellIs" dxfId="358" priority="372" operator="lessThan">
      <formula>0</formula>
    </cfRule>
    <cfRule type="cellIs" dxfId="357" priority="373" operator="greaterThan">
      <formula>0</formula>
    </cfRule>
  </conditionalFormatting>
  <conditionalFormatting sqref="I41:I72">
    <cfRule type="cellIs" dxfId="356" priority="370" operator="lessThan">
      <formula>0</formula>
    </cfRule>
    <cfRule type="cellIs" dxfId="355" priority="371" operator="greaterThan">
      <formula>0</formula>
    </cfRule>
  </conditionalFormatting>
  <conditionalFormatting sqref="I76">
    <cfRule type="cellIs" dxfId="354" priority="368" operator="lessThan">
      <formula>0</formula>
    </cfRule>
    <cfRule type="cellIs" dxfId="353" priority="369" operator="greaterThan">
      <formula>0</formula>
    </cfRule>
  </conditionalFormatting>
  <conditionalFormatting sqref="B5:B6">
    <cfRule type="cellIs" dxfId="352" priority="364" operator="greaterThan">
      <formula>0</formula>
    </cfRule>
  </conditionalFormatting>
  <conditionalFormatting sqref="B5:B6">
    <cfRule type="cellIs" dxfId="351" priority="365" operator="lessThan">
      <formula>0</formula>
    </cfRule>
  </conditionalFormatting>
  <conditionalFormatting sqref="B5:B6">
    <cfRule type="cellIs" dxfId="350" priority="366" operator="greaterThan">
      <formula>0</formula>
    </cfRule>
  </conditionalFormatting>
  <conditionalFormatting sqref="B5:B6">
    <cfRule type="cellIs" dxfId="349" priority="367" operator="lessThan">
      <formula>0</formula>
    </cfRule>
  </conditionalFormatting>
  <conditionalFormatting sqref="K4:L4 K7:L7 K10:L10 K13:L13 K16:L16 K19:L19 K22:L22 K25:L25 K28:L28 K31:L31 K34:L34">
    <cfRule type="cellIs" dxfId="348" priority="363" operator="greaterThan">
      <formula>J4</formula>
    </cfRule>
  </conditionalFormatting>
  <conditionalFormatting sqref="AP3:AP42"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47" priority="362" operator="greaterThan">
      <formula>0</formula>
    </cfRule>
  </conditionalFormatting>
  <conditionalFormatting sqref="AE43">
    <cfRule type="cellIs" dxfId="346" priority="359" operator="greaterThan">
      <formula>0</formula>
    </cfRule>
  </conditionalFormatting>
  <conditionalFormatting sqref="AE43">
    <cfRule type="cellIs" dxfId="345" priority="360" operator="lessThan">
      <formula>0</formula>
    </cfRule>
  </conditionalFormatting>
  <conditionalFormatting sqref="Q38">
    <cfRule type="cellIs" dxfId="344" priority="358" operator="lessThan">
      <formula>0</formula>
    </cfRule>
  </conditionalFormatting>
  <conditionalFormatting sqref="Q39">
    <cfRule type="cellIs" dxfId="343" priority="357" operator="lessThan">
      <formula>0</formula>
    </cfRule>
  </conditionalFormatting>
  <conditionalFormatting sqref="J4 J7 J10 J13 J16 J19 J22 J25 J28 J31 J34">
    <cfRule type="cellIs" dxfId="342" priority="356" operator="greaterThan">
      <formula>1.49</formula>
    </cfRule>
  </conditionalFormatting>
  <conditionalFormatting sqref="AD3:AD42">
    <cfRule type="cellIs" dxfId="341" priority="355" operator="equal">
      <formula>0</formula>
    </cfRule>
  </conditionalFormatting>
  <conditionalFormatting sqref="AP3:AP42">
    <cfRule type="cellIs" dxfId="340" priority="354" operator="equal">
      <formula>0</formula>
    </cfRule>
  </conditionalFormatting>
  <conditionalFormatting sqref="AP15:AP42">
    <cfRule type="cellIs" dxfId="339" priority="353" operator="equal">
      <formula>0</formula>
    </cfRule>
  </conditionalFormatting>
  <conditionalFormatting sqref="B42">
    <cfRule type="cellIs" dxfId="338" priority="347" operator="greaterThan">
      <formula>0</formula>
    </cfRule>
  </conditionalFormatting>
  <conditionalFormatting sqref="B42">
    <cfRule type="cellIs" dxfId="337" priority="348" operator="lessThan">
      <formula>0</formula>
    </cfRule>
  </conditionalFormatting>
  <conditionalFormatting sqref="B42">
    <cfRule type="cellIs" dxfId="336" priority="349" operator="greaterThan">
      <formula>0</formula>
    </cfRule>
  </conditionalFormatting>
  <conditionalFormatting sqref="B42">
    <cfRule type="cellIs" dxfId="335" priority="350" operator="lessThan">
      <formula>0</formula>
    </cfRule>
  </conditionalFormatting>
  <conditionalFormatting sqref="B42">
    <cfRule type="cellIs" dxfId="334" priority="351" operator="greaterThan">
      <formula>0</formula>
    </cfRule>
  </conditionalFormatting>
  <conditionalFormatting sqref="B42">
    <cfRule type="cellIs" dxfId="333" priority="352" operator="lessThan">
      <formula>0</formula>
    </cfRule>
  </conditionalFormatting>
  <conditionalFormatting sqref="S3:S42">
    <cfRule type="expression" dxfId="332" priority="346">
      <formula>$O$18-$U3&lt;0</formula>
    </cfRule>
  </conditionalFormatting>
  <conditionalFormatting sqref="AD3:AD42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31" priority="507" operator="greaterThan">
      <formula>0</formula>
    </cfRule>
  </conditionalFormatting>
  <conditionalFormatting sqref="S3:S42">
    <cfRule type="expression" dxfId="330" priority="344">
      <formula>$O$18-$U3&gt;0</formula>
    </cfRule>
  </conditionalFormatting>
  <conditionalFormatting sqref="AA3:AA8 AA27:AA42">
    <cfRule type="cellIs" dxfId="329" priority="342" operator="lessThan">
      <formula>V3</formula>
    </cfRule>
    <cfRule type="cellIs" dxfId="328" priority="343" operator="equal">
      <formula>0</formula>
    </cfRule>
  </conditionalFormatting>
  <conditionalFormatting sqref="BD5">
    <cfRule type="cellIs" dxfId="327" priority="338" operator="greaterThan">
      <formula>0</formula>
    </cfRule>
  </conditionalFormatting>
  <conditionalFormatting sqref="BD5">
    <cfRule type="cellIs" dxfId="326" priority="339" operator="lessThan">
      <formula>0</formula>
    </cfRule>
  </conditionalFormatting>
  <conditionalFormatting sqref="BD4">
    <cfRule type="cellIs" dxfId="325" priority="336" operator="greaterThan">
      <formula>0</formula>
    </cfRule>
  </conditionalFormatting>
  <conditionalFormatting sqref="BD4">
    <cfRule type="cellIs" dxfId="324" priority="337" operator="lessThan">
      <formula>0</formula>
    </cfRule>
  </conditionalFormatting>
  <conditionalFormatting sqref="AE3:AE42">
    <cfRule type="expression" dxfId="323" priority="335">
      <formula>$O$18-$AG3&gt;0</formula>
    </cfRule>
  </conditionalFormatting>
  <conditionalFormatting sqref="AE3:AE42">
    <cfRule type="expression" dxfId="322" priority="334">
      <formula>$O$18-$AG3&lt;0</formula>
    </cfRule>
  </conditionalFormatting>
  <conditionalFormatting sqref="P3:P3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 Y27:Z42">
    <cfRule type="cellIs" dxfId="321" priority="332" operator="equal">
      <formula>0</formula>
    </cfRule>
  </conditionalFormatting>
  <conditionalFormatting sqref="B14">
    <cfRule type="cellIs" dxfId="320" priority="325" operator="greaterThan">
      <formula>0</formula>
    </cfRule>
  </conditionalFormatting>
  <conditionalFormatting sqref="B14">
    <cfRule type="cellIs" dxfId="319" priority="326" operator="lessThan">
      <formula>0</formula>
    </cfRule>
  </conditionalFormatting>
  <conditionalFormatting sqref="B14">
    <cfRule type="cellIs" dxfId="318" priority="327" operator="greaterThan">
      <formula>0</formula>
    </cfRule>
  </conditionalFormatting>
  <conditionalFormatting sqref="B14">
    <cfRule type="cellIs" dxfId="317" priority="328" operator="lessThan">
      <formula>0</formula>
    </cfRule>
  </conditionalFormatting>
  <conditionalFormatting sqref="B13">
    <cfRule type="cellIs" dxfId="316" priority="321" operator="greaterThan">
      <formula>0</formula>
    </cfRule>
  </conditionalFormatting>
  <conditionalFormatting sqref="B13">
    <cfRule type="cellIs" dxfId="315" priority="322" operator="lessThan">
      <formula>0</formula>
    </cfRule>
  </conditionalFormatting>
  <conditionalFormatting sqref="B13">
    <cfRule type="cellIs" dxfId="314" priority="323" operator="greaterThan">
      <formula>0</formula>
    </cfRule>
  </conditionalFormatting>
  <conditionalFormatting sqref="B13">
    <cfRule type="cellIs" dxfId="313" priority="324" operator="lessThan">
      <formula>0</formula>
    </cfRule>
  </conditionalFormatting>
  <conditionalFormatting sqref="B17:B18">
    <cfRule type="cellIs" dxfId="312" priority="317" operator="greaterThan">
      <formula>0</formula>
    </cfRule>
  </conditionalFormatting>
  <conditionalFormatting sqref="B17:B18">
    <cfRule type="cellIs" dxfId="311" priority="318" operator="lessThan">
      <formula>0</formula>
    </cfRule>
  </conditionalFormatting>
  <conditionalFormatting sqref="B17:B18">
    <cfRule type="cellIs" dxfId="310" priority="319" operator="greaterThan">
      <formula>0</formula>
    </cfRule>
  </conditionalFormatting>
  <conditionalFormatting sqref="B17:B18">
    <cfRule type="cellIs" dxfId="309" priority="320" operator="lessThan">
      <formula>0</formula>
    </cfRule>
  </conditionalFormatting>
  <conditionalFormatting sqref="B13:B14">
    <cfRule type="cellIs" dxfId="308" priority="313" operator="greaterThan">
      <formula>0</formula>
    </cfRule>
  </conditionalFormatting>
  <conditionalFormatting sqref="B13:B14">
    <cfRule type="cellIs" dxfId="307" priority="314" operator="lessThan">
      <formula>0</formula>
    </cfRule>
  </conditionalFormatting>
  <conditionalFormatting sqref="B13:B14">
    <cfRule type="cellIs" dxfId="306" priority="315" operator="greaterThan">
      <formula>0</formula>
    </cfRule>
  </conditionalFormatting>
  <conditionalFormatting sqref="B13:B14">
    <cfRule type="cellIs" dxfId="305" priority="316" operator="lessThan">
      <formula>0</formula>
    </cfRule>
  </conditionalFormatting>
  <conditionalFormatting sqref="B5:B6">
    <cfRule type="cellIs" dxfId="304" priority="309" operator="greaterThan">
      <formula>0</formula>
    </cfRule>
  </conditionalFormatting>
  <conditionalFormatting sqref="B5:B6">
    <cfRule type="cellIs" dxfId="303" priority="310" operator="lessThan">
      <formula>0</formula>
    </cfRule>
  </conditionalFormatting>
  <conditionalFormatting sqref="B5:B6">
    <cfRule type="cellIs" dxfId="302" priority="311" operator="greaterThan">
      <formula>0</formula>
    </cfRule>
  </conditionalFormatting>
  <conditionalFormatting sqref="B5:B6">
    <cfRule type="cellIs" dxfId="301" priority="312" operator="lessThan">
      <formula>0</formula>
    </cfRule>
  </conditionalFormatting>
  <conditionalFormatting sqref="B12">
    <cfRule type="cellIs" dxfId="300" priority="249" operator="greaterThan">
      <formula>0</formula>
    </cfRule>
  </conditionalFormatting>
  <conditionalFormatting sqref="B12">
    <cfRule type="cellIs" dxfId="299" priority="250" operator="lessThan">
      <formula>0</formula>
    </cfRule>
  </conditionalFormatting>
  <conditionalFormatting sqref="B12">
    <cfRule type="cellIs" dxfId="298" priority="251" operator="greaterThan">
      <formula>0</formula>
    </cfRule>
  </conditionalFormatting>
  <conditionalFormatting sqref="B12">
    <cfRule type="cellIs" dxfId="297" priority="252" operator="lessThan">
      <formula>0</formula>
    </cfRule>
  </conditionalFormatting>
  <conditionalFormatting sqref="B15:B16">
    <cfRule type="cellIs" dxfId="296" priority="305" operator="greaterThan">
      <formula>0</formula>
    </cfRule>
  </conditionalFormatting>
  <conditionalFormatting sqref="B15:B16">
    <cfRule type="cellIs" dxfId="295" priority="306" operator="lessThan">
      <formula>0</formula>
    </cfRule>
  </conditionalFormatting>
  <conditionalFormatting sqref="B15:B16">
    <cfRule type="cellIs" dxfId="294" priority="307" operator="greaterThan">
      <formula>0</formula>
    </cfRule>
  </conditionalFormatting>
  <conditionalFormatting sqref="B15:B16">
    <cfRule type="cellIs" dxfId="293" priority="308" operator="lessThan">
      <formula>0</formula>
    </cfRule>
  </conditionalFormatting>
  <conditionalFormatting sqref="B16">
    <cfRule type="cellIs" dxfId="292" priority="301" operator="greaterThan">
      <formula>0</formula>
    </cfRule>
  </conditionalFormatting>
  <conditionalFormatting sqref="B16">
    <cfRule type="cellIs" dxfId="291" priority="302" operator="lessThan">
      <formula>0</formula>
    </cfRule>
  </conditionalFormatting>
  <conditionalFormatting sqref="B16">
    <cfRule type="cellIs" dxfId="290" priority="303" operator="greaterThan">
      <formula>0</formula>
    </cfRule>
  </conditionalFormatting>
  <conditionalFormatting sqref="B16">
    <cfRule type="cellIs" dxfId="289" priority="304" operator="lessThan">
      <formula>0</formula>
    </cfRule>
  </conditionalFormatting>
  <conditionalFormatting sqref="B16">
    <cfRule type="cellIs" dxfId="288" priority="297" operator="greaterThan">
      <formula>0</formula>
    </cfRule>
  </conditionalFormatting>
  <conditionalFormatting sqref="B16">
    <cfRule type="cellIs" dxfId="287" priority="298" operator="lessThan">
      <formula>0</formula>
    </cfRule>
  </conditionalFormatting>
  <conditionalFormatting sqref="B16">
    <cfRule type="cellIs" dxfId="286" priority="299" operator="greaterThan">
      <formula>0</formula>
    </cfRule>
  </conditionalFormatting>
  <conditionalFormatting sqref="B16">
    <cfRule type="cellIs" dxfId="285" priority="300" operator="lessThan">
      <formula>0</formula>
    </cfRule>
  </conditionalFormatting>
  <conditionalFormatting sqref="B15">
    <cfRule type="cellIs" dxfId="284" priority="293" operator="greaterThan">
      <formula>0</formula>
    </cfRule>
  </conditionalFormatting>
  <conditionalFormatting sqref="B15">
    <cfRule type="cellIs" dxfId="283" priority="294" operator="lessThan">
      <formula>0</formula>
    </cfRule>
  </conditionalFormatting>
  <conditionalFormatting sqref="B15">
    <cfRule type="cellIs" dxfId="282" priority="295" operator="greaterThan">
      <formula>0</formula>
    </cfRule>
  </conditionalFormatting>
  <conditionalFormatting sqref="B15">
    <cfRule type="cellIs" dxfId="281" priority="296" operator="lessThan">
      <formula>0</formula>
    </cfRule>
  </conditionalFormatting>
  <conditionalFormatting sqref="B15:B16">
    <cfRule type="cellIs" dxfId="280" priority="289" operator="greaterThan">
      <formula>0</formula>
    </cfRule>
  </conditionalFormatting>
  <conditionalFormatting sqref="B15:B16">
    <cfRule type="cellIs" dxfId="279" priority="290" operator="lessThan">
      <formula>0</formula>
    </cfRule>
  </conditionalFormatting>
  <conditionalFormatting sqref="B15:B16">
    <cfRule type="cellIs" dxfId="278" priority="291" operator="greaterThan">
      <formula>0</formula>
    </cfRule>
  </conditionalFormatting>
  <conditionalFormatting sqref="B15:B16">
    <cfRule type="cellIs" dxfId="277" priority="292" operator="lessThan">
      <formula>0</formula>
    </cfRule>
  </conditionalFormatting>
  <conditionalFormatting sqref="B15:B16">
    <cfRule type="cellIs" dxfId="276" priority="285" operator="greaterThan">
      <formula>0</formula>
    </cfRule>
  </conditionalFormatting>
  <conditionalFormatting sqref="B15:B16">
    <cfRule type="cellIs" dxfId="275" priority="286" operator="lessThan">
      <formula>0</formula>
    </cfRule>
  </conditionalFormatting>
  <conditionalFormatting sqref="B15:B16">
    <cfRule type="cellIs" dxfId="274" priority="287" operator="greaterThan">
      <formula>0</formula>
    </cfRule>
  </conditionalFormatting>
  <conditionalFormatting sqref="B15:B16">
    <cfRule type="cellIs" dxfId="273" priority="288" operator="lessThan">
      <formula>0</formula>
    </cfRule>
  </conditionalFormatting>
  <conditionalFormatting sqref="B11:B12">
    <cfRule type="cellIs" dxfId="272" priority="281" operator="greaterThan">
      <formula>0</formula>
    </cfRule>
  </conditionalFormatting>
  <conditionalFormatting sqref="B11:B12">
    <cfRule type="cellIs" dxfId="271" priority="282" operator="lessThan">
      <formula>0</formula>
    </cfRule>
  </conditionalFormatting>
  <conditionalFormatting sqref="B11:B12">
    <cfRule type="cellIs" dxfId="270" priority="283" operator="greaterThan">
      <formula>0</formula>
    </cfRule>
  </conditionalFormatting>
  <conditionalFormatting sqref="B11:B12">
    <cfRule type="cellIs" dxfId="269" priority="284" operator="lessThan">
      <formula>0</formula>
    </cfRule>
  </conditionalFormatting>
  <conditionalFormatting sqref="B11">
    <cfRule type="cellIs" dxfId="268" priority="277" operator="greaterThan">
      <formula>0</formula>
    </cfRule>
  </conditionalFormatting>
  <conditionalFormatting sqref="B11">
    <cfRule type="cellIs" dxfId="267" priority="278" operator="lessThan">
      <formula>0</formula>
    </cfRule>
  </conditionalFormatting>
  <conditionalFormatting sqref="B11">
    <cfRule type="cellIs" dxfId="266" priority="279" operator="greaterThan">
      <formula>0</formula>
    </cfRule>
  </conditionalFormatting>
  <conditionalFormatting sqref="B11">
    <cfRule type="cellIs" dxfId="265" priority="280" operator="lessThan">
      <formula>0</formula>
    </cfRule>
  </conditionalFormatting>
  <conditionalFormatting sqref="B12">
    <cfRule type="cellIs" dxfId="264" priority="273" operator="greaterThan">
      <formula>0</formula>
    </cfRule>
  </conditionalFormatting>
  <conditionalFormatting sqref="B12">
    <cfRule type="cellIs" dxfId="263" priority="274" operator="lessThan">
      <formula>0</formula>
    </cfRule>
  </conditionalFormatting>
  <conditionalFormatting sqref="B12">
    <cfRule type="cellIs" dxfId="262" priority="275" operator="greaterThan">
      <formula>0</formula>
    </cfRule>
  </conditionalFormatting>
  <conditionalFormatting sqref="B12">
    <cfRule type="cellIs" dxfId="261" priority="276" operator="lessThan">
      <formula>0</formula>
    </cfRule>
  </conditionalFormatting>
  <conditionalFormatting sqref="B5:B6">
    <cfRule type="cellIs" dxfId="260" priority="269" operator="greaterThan">
      <formula>0</formula>
    </cfRule>
  </conditionalFormatting>
  <conditionalFormatting sqref="B5:B6">
    <cfRule type="cellIs" dxfId="259" priority="270" operator="lessThan">
      <formula>0</formula>
    </cfRule>
  </conditionalFormatting>
  <conditionalFormatting sqref="B5:B6">
    <cfRule type="cellIs" dxfId="258" priority="271" operator="greaterThan">
      <formula>0</formula>
    </cfRule>
  </conditionalFormatting>
  <conditionalFormatting sqref="B5:B6">
    <cfRule type="cellIs" dxfId="257" priority="272" operator="lessThan">
      <formula>0</formula>
    </cfRule>
  </conditionalFormatting>
  <conditionalFormatting sqref="B5:B6">
    <cfRule type="cellIs" dxfId="256" priority="265" operator="greaterThan">
      <formula>0</formula>
    </cfRule>
  </conditionalFormatting>
  <conditionalFormatting sqref="B5:B6">
    <cfRule type="cellIs" dxfId="255" priority="266" operator="lessThan">
      <formula>0</formula>
    </cfRule>
  </conditionalFormatting>
  <conditionalFormatting sqref="B5:B6">
    <cfRule type="cellIs" dxfId="254" priority="267" operator="greaterThan">
      <formula>0</formula>
    </cfRule>
  </conditionalFormatting>
  <conditionalFormatting sqref="B5:B6">
    <cfRule type="cellIs" dxfId="253" priority="268" operator="lessThan">
      <formula>0</formula>
    </cfRule>
  </conditionalFormatting>
  <conditionalFormatting sqref="B5:B6">
    <cfRule type="cellIs" dxfId="252" priority="261" operator="greaterThan">
      <formula>0</formula>
    </cfRule>
  </conditionalFormatting>
  <conditionalFormatting sqref="B5:B6">
    <cfRule type="cellIs" dxfId="251" priority="262" operator="lessThan">
      <formula>0</formula>
    </cfRule>
  </conditionalFormatting>
  <conditionalFormatting sqref="B5:B6">
    <cfRule type="cellIs" dxfId="250" priority="263" operator="greaterThan">
      <formula>0</formula>
    </cfRule>
  </conditionalFormatting>
  <conditionalFormatting sqref="B5:B6">
    <cfRule type="cellIs" dxfId="249" priority="264" operator="lessThan">
      <formula>0</formula>
    </cfRule>
  </conditionalFormatting>
  <conditionalFormatting sqref="B11:B12">
    <cfRule type="cellIs" dxfId="248" priority="257" operator="greaterThan">
      <formula>0</formula>
    </cfRule>
  </conditionalFormatting>
  <conditionalFormatting sqref="B11:B12">
    <cfRule type="cellIs" dxfId="247" priority="258" operator="lessThan">
      <formula>0</formula>
    </cfRule>
  </conditionalFormatting>
  <conditionalFormatting sqref="B11:B12">
    <cfRule type="cellIs" dxfId="246" priority="259" operator="greaterThan">
      <formula>0</formula>
    </cfRule>
  </conditionalFormatting>
  <conditionalFormatting sqref="B11:B12">
    <cfRule type="cellIs" dxfId="245" priority="260" operator="lessThan">
      <formula>0</formula>
    </cfRule>
  </conditionalFormatting>
  <conditionalFormatting sqref="B12">
    <cfRule type="cellIs" dxfId="244" priority="253" operator="greaterThan">
      <formula>0</formula>
    </cfRule>
  </conditionalFormatting>
  <conditionalFormatting sqref="B12">
    <cfRule type="cellIs" dxfId="243" priority="254" operator="lessThan">
      <formula>0</formula>
    </cfRule>
  </conditionalFormatting>
  <conditionalFormatting sqref="B12">
    <cfRule type="cellIs" dxfId="242" priority="255" operator="greaterThan">
      <formula>0</formula>
    </cfRule>
  </conditionalFormatting>
  <conditionalFormatting sqref="B12">
    <cfRule type="cellIs" dxfId="241" priority="256" operator="lessThan">
      <formula>0</formula>
    </cfRule>
  </conditionalFormatting>
  <conditionalFormatting sqref="B11">
    <cfRule type="cellIs" dxfId="240" priority="245" operator="greaterThan">
      <formula>0</formula>
    </cfRule>
  </conditionalFormatting>
  <conditionalFormatting sqref="B11">
    <cfRule type="cellIs" dxfId="239" priority="246" operator="lessThan">
      <formula>0</formula>
    </cfRule>
  </conditionalFormatting>
  <conditionalFormatting sqref="B11">
    <cfRule type="cellIs" dxfId="238" priority="247" operator="greaterThan">
      <formula>0</formula>
    </cfRule>
  </conditionalFormatting>
  <conditionalFormatting sqref="B11">
    <cfRule type="cellIs" dxfId="237" priority="248" operator="lessThan">
      <formula>0</formula>
    </cfRule>
  </conditionalFormatting>
  <conditionalFormatting sqref="B11:B12">
    <cfRule type="cellIs" dxfId="236" priority="241" operator="greaterThan">
      <formula>0</formula>
    </cfRule>
  </conditionalFormatting>
  <conditionalFormatting sqref="B11:B12">
    <cfRule type="cellIs" dxfId="235" priority="242" operator="lessThan">
      <formula>0</formula>
    </cfRule>
  </conditionalFormatting>
  <conditionalFormatting sqref="B11:B12">
    <cfRule type="cellIs" dxfId="234" priority="243" operator="greaterThan">
      <formula>0</formula>
    </cfRule>
  </conditionalFormatting>
  <conditionalFormatting sqref="B11:B12">
    <cfRule type="cellIs" dxfId="233" priority="244" operator="lessThan">
      <formula>0</formula>
    </cfRule>
  </conditionalFormatting>
  <conditionalFormatting sqref="B11:B12">
    <cfRule type="cellIs" dxfId="232" priority="237" operator="greaterThan">
      <formula>0</formula>
    </cfRule>
  </conditionalFormatting>
  <conditionalFormatting sqref="B11:B12">
    <cfRule type="cellIs" dxfId="231" priority="238" operator="lessThan">
      <formula>0</formula>
    </cfRule>
  </conditionalFormatting>
  <conditionalFormatting sqref="B11:B12">
    <cfRule type="cellIs" dxfId="230" priority="239" operator="greaterThan">
      <formula>0</formula>
    </cfRule>
  </conditionalFormatting>
  <conditionalFormatting sqref="B11:B12">
    <cfRule type="cellIs" dxfId="229" priority="240" operator="lessThan">
      <formula>0</formula>
    </cfRule>
  </conditionalFormatting>
  <conditionalFormatting sqref="B40">
    <cfRule type="cellIs" dxfId="228" priority="231" operator="greaterThan">
      <formula>0</formula>
    </cfRule>
  </conditionalFormatting>
  <conditionalFormatting sqref="B40">
    <cfRule type="cellIs" dxfId="227" priority="232" operator="lessThan">
      <formula>0</formula>
    </cfRule>
  </conditionalFormatting>
  <conditionalFormatting sqref="B40">
    <cfRule type="cellIs" dxfId="226" priority="233" operator="greaterThan">
      <formula>0</formula>
    </cfRule>
  </conditionalFormatting>
  <conditionalFormatting sqref="B40">
    <cfRule type="cellIs" dxfId="225" priority="234" operator="lessThan">
      <formula>0</formula>
    </cfRule>
  </conditionalFormatting>
  <conditionalFormatting sqref="B40">
    <cfRule type="cellIs" dxfId="224" priority="235" operator="greaterThan">
      <formula>0</formula>
    </cfRule>
  </conditionalFormatting>
  <conditionalFormatting sqref="B40">
    <cfRule type="cellIs" dxfId="223" priority="236" operator="lessThan">
      <formula>0</formula>
    </cfRule>
  </conditionalFormatting>
  <conditionalFormatting sqref="I38:I40">
    <cfRule type="cellIs" dxfId="222" priority="229" operator="lessThan">
      <formula>0</formula>
    </cfRule>
    <cfRule type="cellIs" dxfId="221" priority="230" operator="greaterThan">
      <formula>0</formula>
    </cfRule>
  </conditionalFormatting>
  <conditionalFormatting sqref="B38">
    <cfRule type="cellIs" dxfId="220" priority="223" operator="greaterThan">
      <formula>0</formula>
    </cfRule>
  </conditionalFormatting>
  <conditionalFormatting sqref="B38">
    <cfRule type="cellIs" dxfId="219" priority="224" operator="lessThan">
      <formula>0</formula>
    </cfRule>
  </conditionalFormatting>
  <conditionalFormatting sqref="B38">
    <cfRule type="cellIs" dxfId="218" priority="225" operator="greaterThan">
      <formula>0</formula>
    </cfRule>
  </conditionalFormatting>
  <conditionalFormatting sqref="B38">
    <cfRule type="cellIs" dxfId="217" priority="226" operator="lessThan">
      <formula>0</formula>
    </cfRule>
  </conditionalFormatting>
  <conditionalFormatting sqref="B38">
    <cfRule type="cellIs" dxfId="216" priority="227" operator="greaterThan">
      <formula>0</formula>
    </cfRule>
  </conditionalFormatting>
  <conditionalFormatting sqref="B38">
    <cfRule type="cellIs" dxfId="215" priority="228" operator="lessThan">
      <formula>0</formula>
    </cfRule>
  </conditionalFormatting>
  <conditionalFormatting sqref="B39">
    <cfRule type="cellIs" dxfId="214" priority="217" operator="greaterThan">
      <formula>0</formula>
    </cfRule>
  </conditionalFormatting>
  <conditionalFormatting sqref="B39">
    <cfRule type="cellIs" dxfId="213" priority="218" operator="lessThan">
      <formula>0</formula>
    </cfRule>
  </conditionalFormatting>
  <conditionalFormatting sqref="B39">
    <cfRule type="cellIs" dxfId="212" priority="219" operator="greaterThan">
      <formula>0</formula>
    </cfRule>
  </conditionalFormatting>
  <conditionalFormatting sqref="B39">
    <cfRule type="cellIs" dxfId="211" priority="220" operator="lessThan">
      <formula>0</formula>
    </cfRule>
  </conditionalFormatting>
  <conditionalFormatting sqref="B39">
    <cfRule type="cellIs" dxfId="210" priority="221" operator="greaterThan">
      <formula>0</formula>
    </cfRule>
  </conditionalFormatting>
  <conditionalFormatting sqref="B39">
    <cfRule type="cellIs" dxfId="209" priority="222" operator="lessThan">
      <formula>0</formula>
    </cfRule>
  </conditionalFormatting>
  <conditionalFormatting sqref="B31:B34 B37">
    <cfRule type="cellIs" dxfId="208" priority="213" operator="greaterThan">
      <formula>0</formula>
    </cfRule>
  </conditionalFormatting>
  <conditionalFormatting sqref="B31:B34 B37">
    <cfRule type="cellIs" dxfId="207" priority="214" operator="lessThan">
      <formula>0</formula>
    </cfRule>
  </conditionalFormatting>
  <conditionalFormatting sqref="B31:B34 B37">
    <cfRule type="cellIs" dxfId="206" priority="215" operator="greaterThan">
      <formula>0</formula>
    </cfRule>
  </conditionalFormatting>
  <conditionalFormatting sqref="B31:B34 B37">
    <cfRule type="cellIs" dxfId="205" priority="216" operator="lessThan">
      <formula>0</formula>
    </cfRule>
  </conditionalFormatting>
  <conditionalFormatting sqref="B35:B36">
    <cfRule type="cellIs" dxfId="204" priority="205" operator="greaterThan">
      <formula>0</formula>
    </cfRule>
  </conditionalFormatting>
  <conditionalFormatting sqref="B35:B36">
    <cfRule type="cellIs" dxfId="203" priority="206" operator="lessThan">
      <formula>0</formula>
    </cfRule>
  </conditionalFormatting>
  <conditionalFormatting sqref="B35:B36">
    <cfRule type="cellIs" dxfId="202" priority="207" operator="greaterThan">
      <formula>0</formula>
    </cfRule>
  </conditionalFormatting>
  <conditionalFormatting sqref="B35:B36">
    <cfRule type="cellIs" dxfId="201" priority="208" operator="lessThan">
      <formula>0</formula>
    </cfRule>
  </conditionalFormatting>
  <conditionalFormatting sqref="B36">
    <cfRule type="cellIs" dxfId="200" priority="209" operator="greaterThan">
      <formula>0</formula>
    </cfRule>
  </conditionalFormatting>
  <conditionalFormatting sqref="B36">
    <cfRule type="cellIs" dxfId="199" priority="210" operator="lessThan">
      <formula>0</formula>
    </cfRule>
  </conditionalFormatting>
  <conditionalFormatting sqref="B35">
    <cfRule type="cellIs" dxfId="198" priority="211" operator="greaterThan">
      <formula>0</formula>
    </cfRule>
  </conditionalFormatting>
  <conditionalFormatting sqref="B35">
    <cfRule type="cellIs" dxfId="197" priority="212" operator="lessThan">
      <formula>0</formula>
    </cfRule>
  </conditionalFormatting>
  <conditionalFormatting sqref="K39 K41 K43 K45 K47 K49 K51 K53 K55 K57 K59 K61 K63 K65 K67 K69 K71">
    <cfRule type="cellIs" dxfId="196" priority="204" operator="greaterThan">
      <formula>J39</formula>
    </cfRule>
  </conditionalFormatting>
  <conditionalFormatting sqref="J39 J41 J43 J45 J47 J49 J51 J53 J55 J57 J59 J61 J63 J65 J67 J69 J71">
    <cfRule type="cellIs" dxfId="195" priority="203" operator="greaterThan">
      <formula>1.49</formula>
    </cfRule>
  </conditionalFormatting>
  <conditionalFormatting sqref="L39 L41 L43 L45 L47 L49 L51 L53 L55 L57 L59 L61 L63 L65 L67 L69 L71">
    <cfRule type="cellIs" dxfId="194" priority="202" operator="greaterThan">
      <formula>K39</formula>
    </cfRule>
  </conditionalFormatting>
  <conditionalFormatting sqref="B4">
    <cfRule type="cellIs" dxfId="193" priority="195" operator="greaterThan">
      <formula>0</formula>
    </cfRule>
  </conditionalFormatting>
  <conditionalFormatting sqref="B4">
    <cfRule type="cellIs" dxfId="192" priority="196" operator="lessThan">
      <formula>0</formula>
    </cfRule>
  </conditionalFormatting>
  <conditionalFormatting sqref="B4">
    <cfRule type="cellIs" dxfId="191" priority="197" operator="greaterThan">
      <formula>0</formula>
    </cfRule>
  </conditionalFormatting>
  <conditionalFormatting sqref="B4">
    <cfRule type="cellIs" dxfId="190" priority="198" operator="lessThan">
      <formula>0</formula>
    </cfRule>
  </conditionalFormatting>
  <conditionalFormatting sqref="B4">
    <cfRule type="cellIs" dxfId="189" priority="191" operator="greaterThan">
      <formula>0</formula>
    </cfRule>
  </conditionalFormatting>
  <conditionalFormatting sqref="B4">
    <cfRule type="cellIs" dxfId="188" priority="192" operator="lessThan">
      <formula>0</formula>
    </cfRule>
  </conditionalFormatting>
  <conditionalFormatting sqref="B4">
    <cfRule type="cellIs" dxfId="187" priority="193" operator="greaterThan">
      <formula>0</formula>
    </cfRule>
  </conditionalFormatting>
  <conditionalFormatting sqref="B4">
    <cfRule type="cellIs" dxfId="186" priority="194" operator="lessThan">
      <formula>0</formula>
    </cfRule>
  </conditionalFormatting>
  <conditionalFormatting sqref="B4">
    <cfRule type="cellIs" dxfId="185" priority="187" operator="greaterThan">
      <formula>0</formula>
    </cfRule>
  </conditionalFormatting>
  <conditionalFormatting sqref="B4">
    <cfRule type="cellIs" dxfId="184" priority="188" operator="lessThan">
      <formula>0</formula>
    </cfRule>
  </conditionalFormatting>
  <conditionalFormatting sqref="B4">
    <cfRule type="cellIs" dxfId="183" priority="189" operator="greaterThan">
      <formula>0</formula>
    </cfRule>
  </conditionalFormatting>
  <conditionalFormatting sqref="B4">
    <cfRule type="cellIs" dxfId="182" priority="190" operator="lessThan">
      <formula>0</formula>
    </cfRule>
  </conditionalFormatting>
  <conditionalFormatting sqref="B4">
    <cfRule type="cellIs" dxfId="181" priority="183" operator="greaterThan">
      <formula>0</formula>
    </cfRule>
  </conditionalFormatting>
  <conditionalFormatting sqref="B4">
    <cfRule type="cellIs" dxfId="180" priority="184" operator="lessThan">
      <formula>0</formula>
    </cfRule>
  </conditionalFormatting>
  <conditionalFormatting sqref="B4">
    <cfRule type="cellIs" dxfId="179" priority="185" operator="greaterThan">
      <formula>0</formula>
    </cfRule>
  </conditionalFormatting>
  <conditionalFormatting sqref="B4">
    <cfRule type="cellIs" dxfId="178" priority="186" operator="lessThan">
      <formula>0</formula>
    </cfRule>
  </conditionalFormatting>
  <conditionalFormatting sqref="B4">
    <cfRule type="cellIs" dxfId="177" priority="179" operator="greaterThan">
      <formula>0</formula>
    </cfRule>
  </conditionalFormatting>
  <conditionalFormatting sqref="B4">
    <cfRule type="cellIs" dxfId="176" priority="180" operator="lessThan">
      <formula>0</formula>
    </cfRule>
  </conditionalFormatting>
  <conditionalFormatting sqref="B4">
    <cfRule type="cellIs" dxfId="175" priority="181" operator="greaterThan">
      <formula>0</formula>
    </cfRule>
  </conditionalFormatting>
  <conditionalFormatting sqref="B4">
    <cfRule type="cellIs" dxfId="174" priority="182" operator="lessThan">
      <formula>0</formula>
    </cfRule>
  </conditionalFormatting>
  <conditionalFormatting sqref="B4">
    <cfRule type="cellIs" dxfId="173" priority="175" operator="greaterThan">
      <formula>0</formula>
    </cfRule>
  </conditionalFormatting>
  <conditionalFormatting sqref="B4">
    <cfRule type="cellIs" dxfId="172" priority="176" operator="lessThan">
      <formula>0</formula>
    </cfRule>
  </conditionalFormatting>
  <conditionalFormatting sqref="B4">
    <cfRule type="cellIs" dxfId="171" priority="177" operator="greaterThan">
      <formula>0</formula>
    </cfRule>
  </conditionalFormatting>
  <conditionalFormatting sqref="B4">
    <cfRule type="cellIs" dxfId="170" priority="178" operator="lessThan">
      <formula>0</formula>
    </cfRule>
  </conditionalFormatting>
  <conditionalFormatting sqref="B4">
    <cfRule type="cellIs" dxfId="169" priority="171" operator="greaterThan">
      <formula>0</formula>
    </cfRule>
  </conditionalFormatting>
  <conditionalFormatting sqref="B4">
    <cfRule type="cellIs" dxfId="168" priority="172" operator="lessThan">
      <formula>0</formula>
    </cfRule>
  </conditionalFormatting>
  <conditionalFormatting sqref="B4">
    <cfRule type="cellIs" dxfId="167" priority="173" operator="greaterThan">
      <formula>0</formula>
    </cfRule>
  </conditionalFormatting>
  <conditionalFormatting sqref="B4">
    <cfRule type="cellIs" dxfId="166" priority="174" operator="lessThan">
      <formula>0</formula>
    </cfRule>
  </conditionalFormatting>
  <conditionalFormatting sqref="B4">
    <cfRule type="cellIs" dxfId="165" priority="167" operator="greaterThan">
      <formula>0</formula>
    </cfRule>
  </conditionalFormatting>
  <conditionalFormatting sqref="B4">
    <cfRule type="cellIs" dxfId="164" priority="168" operator="lessThan">
      <formula>0</formula>
    </cfRule>
  </conditionalFormatting>
  <conditionalFormatting sqref="B4">
    <cfRule type="cellIs" dxfId="163" priority="169" operator="greaterThan">
      <formula>0</formula>
    </cfRule>
  </conditionalFormatting>
  <conditionalFormatting sqref="B4">
    <cfRule type="cellIs" dxfId="162" priority="170" operator="lessThan">
      <formula>0</formula>
    </cfRule>
  </conditionalFormatting>
  <conditionalFormatting sqref="B4">
    <cfRule type="cellIs" dxfId="161" priority="163" operator="greaterThan">
      <formula>0</formula>
    </cfRule>
  </conditionalFormatting>
  <conditionalFormatting sqref="B4">
    <cfRule type="cellIs" dxfId="160" priority="164" operator="lessThan">
      <formula>0</formula>
    </cfRule>
  </conditionalFormatting>
  <conditionalFormatting sqref="B4">
    <cfRule type="cellIs" dxfId="159" priority="165" operator="greaterThan">
      <formula>0</formula>
    </cfRule>
  </conditionalFormatting>
  <conditionalFormatting sqref="B4">
    <cfRule type="cellIs" dxfId="158" priority="166" operator="lessThan">
      <formula>0</formula>
    </cfRule>
  </conditionalFormatting>
  <conditionalFormatting sqref="B8">
    <cfRule type="cellIs" dxfId="157" priority="159" operator="greaterThan">
      <formula>0</formula>
    </cfRule>
  </conditionalFormatting>
  <conditionalFormatting sqref="B8">
    <cfRule type="cellIs" dxfId="156" priority="160" operator="lessThan">
      <formula>0</formula>
    </cfRule>
  </conditionalFormatting>
  <conditionalFormatting sqref="B8">
    <cfRule type="cellIs" dxfId="155" priority="161" operator="greaterThan">
      <formula>0</formula>
    </cfRule>
  </conditionalFormatting>
  <conditionalFormatting sqref="B8">
    <cfRule type="cellIs" dxfId="154" priority="162" operator="lessThan">
      <formula>0</formula>
    </cfRule>
  </conditionalFormatting>
  <conditionalFormatting sqref="B8">
    <cfRule type="cellIs" dxfId="153" priority="155" operator="greaterThan">
      <formula>0</formula>
    </cfRule>
  </conditionalFormatting>
  <conditionalFormatting sqref="B8">
    <cfRule type="cellIs" dxfId="152" priority="156" operator="lessThan">
      <formula>0</formula>
    </cfRule>
  </conditionalFormatting>
  <conditionalFormatting sqref="B8">
    <cfRule type="cellIs" dxfId="151" priority="157" operator="greaterThan">
      <formula>0</formula>
    </cfRule>
  </conditionalFormatting>
  <conditionalFormatting sqref="B8">
    <cfRule type="cellIs" dxfId="150" priority="158" operator="lessThan">
      <formula>0</formula>
    </cfRule>
  </conditionalFormatting>
  <conditionalFormatting sqref="B6:B7">
    <cfRule type="cellIs" dxfId="149" priority="111" operator="greaterThan">
      <formula>0</formula>
    </cfRule>
  </conditionalFormatting>
  <conditionalFormatting sqref="B6:B7">
    <cfRule type="cellIs" dxfId="148" priority="112" operator="lessThan">
      <formula>0</formula>
    </cfRule>
  </conditionalFormatting>
  <conditionalFormatting sqref="B6:B7">
    <cfRule type="cellIs" dxfId="147" priority="113" operator="greaterThan">
      <formula>0</formula>
    </cfRule>
  </conditionalFormatting>
  <conditionalFormatting sqref="B6:B7">
    <cfRule type="cellIs" dxfId="146" priority="114" operator="lessThan">
      <formula>0</formula>
    </cfRule>
  </conditionalFormatting>
  <conditionalFormatting sqref="B9:B10">
    <cfRule type="cellIs" dxfId="145" priority="151" operator="greaterThan">
      <formula>0</formula>
    </cfRule>
  </conditionalFormatting>
  <conditionalFormatting sqref="B9:B10">
    <cfRule type="cellIs" dxfId="144" priority="152" operator="lessThan">
      <formula>0</formula>
    </cfRule>
  </conditionalFormatting>
  <conditionalFormatting sqref="B9:B10">
    <cfRule type="cellIs" dxfId="143" priority="153" operator="greaterThan">
      <formula>0</formula>
    </cfRule>
  </conditionalFormatting>
  <conditionalFormatting sqref="B9:B10">
    <cfRule type="cellIs" dxfId="142" priority="154" operator="lessThan">
      <formula>0</formula>
    </cfRule>
  </conditionalFormatting>
  <conditionalFormatting sqref="B10">
    <cfRule type="cellIs" dxfId="141" priority="147" operator="greaterThan">
      <formula>0</formula>
    </cfRule>
  </conditionalFormatting>
  <conditionalFormatting sqref="B10">
    <cfRule type="cellIs" dxfId="140" priority="148" operator="lessThan">
      <formula>0</formula>
    </cfRule>
  </conditionalFormatting>
  <conditionalFormatting sqref="B10">
    <cfRule type="cellIs" dxfId="139" priority="149" operator="greaterThan">
      <formula>0</formula>
    </cfRule>
  </conditionalFormatting>
  <conditionalFormatting sqref="B10">
    <cfRule type="cellIs" dxfId="138" priority="150" operator="lessThan">
      <formula>0</formula>
    </cfRule>
  </conditionalFormatting>
  <conditionalFormatting sqref="B10">
    <cfRule type="cellIs" dxfId="137" priority="143" operator="greaterThan">
      <formula>0</formula>
    </cfRule>
  </conditionalFormatting>
  <conditionalFormatting sqref="B10">
    <cfRule type="cellIs" dxfId="136" priority="144" operator="lessThan">
      <formula>0</formula>
    </cfRule>
  </conditionalFormatting>
  <conditionalFormatting sqref="B10">
    <cfRule type="cellIs" dxfId="135" priority="145" operator="greaterThan">
      <formula>0</formula>
    </cfRule>
  </conditionalFormatting>
  <conditionalFormatting sqref="B10">
    <cfRule type="cellIs" dxfId="134" priority="146" operator="lessThan">
      <formula>0</formula>
    </cfRule>
  </conditionalFormatting>
  <conditionalFormatting sqref="B9">
    <cfRule type="cellIs" dxfId="133" priority="139" operator="greaterThan">
      <formula>0</formula>
    </cfRule>
  </conditionalFormatting>
  <conditionalFormatting sqref="B9">
    <cfRule type="cellIs" dxfId="132" priority="140" operator="lessThan">
      <formula>0</formula>
    </cfRule>
  </conditionalFormatting>
  <conditionalFormatting sqref="B9">
    <cfRule type="cellIs" dxfId="131" priority="141" operator="greaterThan">
      <formula>0</formula>
    </cfRule>
  </conditionalFormatting>
  <conditionalFormatting sqref="B9">
    <cfRule type="cellIs" dxfId="130" priority="142" operator="lessThan">
      <formula>0</formula>
    </cfRule>
  </conditionalFormatting>
  <conditionalFormatting sqref="B9:B10">
    <cfRule type="cellIs" dxfId="129" priority="135" operator="greaterThan">
      <formula>0</formula>
    </cfRule>
  </conditionalFormatting>
  <conditionalFormatting sqref="B9:B10">
    <cfRule type="cellIs" dxfId="128" priority="136" operator="lessThan">
      <formula>0</formula>
    </cfRule>
  </conditionalFormatting>
  <conditionalFormatting sqref="B9:B10">
    <cfRule type="cellIs" dxfId="127" priority="137" operator="greaterThan">
      <formula>0</formula>
    </cfRule>
  </conditionalFormatting>
  <conditionalFormatting sqref="B9:B10">
    <cfRule type="cellIs" dxfId="126" priority="138" operator="lessThan">
      <formula>0</formula>
    </cfRule>
  </conditionalFormatting>
  <conditionalFormatting sqref="B9:B10">
    <cfRule type="cellIs" dxfId="125" priority="131" operator="greaterThan">
      <formula>0</formula>
    </cfRule>
  </conditionalFormatting>
  <conditionalFormatting sqref="B9:B10">
    <cfRule type="cellIs" dxfId="124" priority="132" operator="lessThan">
      <formula>0</formula>
    </cfRule>
  </conditionalFormatting>
  <conditionalFormatting sqref="B9:B10">
    <cfRule type="cellIs" dxfId="123" priority="133" operator="greaterThan">
      <formula>0</formula>
    </cfRule>
  </conditionalFormatting>
  <conditionalFormatting sqref="B9:B10">
    <cfRule type="cellIs" dxfId="122" priority="134" operator="lessThan">
      <formula>0</formula>
    </cfRule>
  </conditionalFormatting>
  <conditionalFormatting sqref="B6:B7">
    <cfRule type="cellIs" dxfId="121" priority="127" operator="greaterThan">
      <formula>0</formula>
    </cfRule>
  </conditionalFormatting>
  <conditionalFormatting sqref="B6:B7">
    <cfRule type="cellIs" dxfId="120" priority="128" operator="lessThan">
      <formula>0</formula>
    </cfRule>
  </conditionalFormatting>
  <conditionalFormatting sqref="B6:B7">
    <cfRule type="cellIs" dxfId="119" priority="129" operator="greaterThan">
      <formula>0</formula>
    </cfRule>
  </conditionalFormatting>
  <conditionalFormatting sqref="B6:B7">
    <cfRule type="cellIs" dxfId="118" priority="130" operator="lessThan">
      <formula>0</formula>
    </cfRule>
  </conditionalFormatting>
  <conditionalFormatting sqref="B6:B7">
    <cfRule type="cellIs" dxfId="117" priority="123" operator="greaterThan">
      <formula>0</formula>
    </cfRule>
  </conditionalFormatting>
  <conditionalFormatting sqref="B6:B7">
    <cfRule type="cellIs" dxfId="116" priority="124" operator="lessThan">
      <formula>0</formula>
    </cfRule>
  </conditionalFormatting>
  <conditionalFormatting sqref="B6:B7">
    <cfRule type="cellIs" dxfId="115" priority="125" operator="greaterThan">
      <formula>0</formula>
    </cfRule>
  </conditionalFormatting>
  <conditionalFormatting sqref="B6:B7">
    <cfRule type="cellIs" dxfId="114" priority="126" operator="lessThan">
      <formula>0</formula>
    </cfRule>
  </conditionalFormatting>
  <conditionalFormatting sqref="B6:B7">
    <cfRule type="cellIs" dxfId="113" priority="119" operator="greaterThan">
      <formula>0</formula>
    </cfRule>
  </conditionalFormatting>
  <conditionalFormatting sqref="B6:B7">
    <cfRule type="cellIs" dxfId="112" priority="120" operator="lessThan">
      <formula>0</formula>
    </cfRule>
  </conditionalFormatting>
  <conditionalFormatting sqref="B6:B7">
    <cfRule type="cellIs" dxfId="111" priority="121" operator="greaterThan">
      <formula>0</formula>
    </cfRule>
  </conditionalFormatting>
  <conditionalFormatting sqref="B6:B7">
    <cfRule type="cellIs" dxfId="110" priority="122" operator="lessThan">
      <formula>0</formula>
    </cfRule>
  </conditionalFormatting>
  <conditionalFormatting sqref="B6:B7">
    <cfRule type="cellIs" dxfId="109" priority="115" operator="greaterThan">
      <formula>0</formula>
    </cfRule>
  </conditionalFormatting>
  <conditionalFormatting sqref="B6:B7">
    <cfRule type="cellIs" dxfId="108" priority="116" operator="lessThan">
      <formula>0</formula>
    </cfRule>
  </conditionalFormatting>
  <conditionalFormatting sqref="B6:B7">
    <cfRule type="cellIs" dxfId="107" priority="117" operator="greaterThan">
      <formula>0</formula>
    </cfRule>
  </conditionalFormatting>
  <conditionalFormatting sqref="B6:B7">
    <cfRule type="cellIs" dxfId="106" priority="118" operator="lessThan">
      <formula>0</formula>
    </cfRule>
  </conditionalFormatting>
  <conditionalFormatting sqref="B6:B7">
    <cfRule type="cellIs" dxfId="105" priority="107" operator="greaterThan">
      <formula>0</formula>
    </cfRule>
  </conditionalFormatting>
  <conditionalFormatting sqref="B6:B7">
    <cfRule type="cellIs" dxfId="104" priority="108" operator="lessThan">
      <formula>0</formula>
    </cfRule>
  </conditionalFormatting>
  <conditionalFormatting sqref="B6:B7">
    <cfRule type="cellIs" dxfId="103" priority="109" operator="greaterThan">
      <formula>0</formula>
    </cfRule>
  </conditionalFormatting>
  <conditionalFormatting sqref="B6:B7">
    <cfRule type="cellIs" dxfId="102" priority="110" operator="lessThan">
      <formula>0</formula>
    </cfRule>
  </conditionalFormatting>
  <conditionalFormatting sqref="B6:B7">
    <cfRule type="cellIs" dxfId="101" priority="103" operator="greaterThan">
      <formula>0</formula>
    </cfRule>
  </conditionalFormatting>
  <conditionalFormatting sqref="B6:B7">
    <cfRule type="cellIs" dxfId="100" priority="104" operator="lessThan">
      <formula>0</formula>
    </cfRule>
  </conditionalFormatting>
  <conditionalFormatting sqref="B6:B7">
    <cfRule type="cellIs" dxfId="99" priority="105" operator="greaterThan">
      <formula>0</formula>
    </cfRule>
  </conditionalFormatting>
  <conditionalFormatting sqref="B6:B7">
    <cfRule type="cellIs" dxfId="98" priority="106" operator="lessThan">
      <formula>0</formula>
    </cfRule>
  </conditionalFormatting>
  <conditionalFormatting sqref="L2:M2">
    <cfRule type="cellIs" dxfId="97" priority="101" operator="lessThan">
      <formula>0</formula>
    </cfRule>
    <cfRule type="cellIs" dxfId="96" priority="102" operator="greaterThan">
      <formula>0</formula>
    </cfRule>
  </conditionalFormatting>
  <conditionalFormatting sqref="B19">
    <cfRule type="cellIs" dxfId="95" priority="97" operator="greaterThan">
      <formula>0</formula>
    </cfRule>
  </conditionalFormatting>
  <conditionalFormatting sqref="B19">
    <cfRule type="cellIs" dxfId="94" priority="98" operator="lessThan">
      <formula>0</formula>
    </cfRule>
  </conditionalFormatting>
  <conditionalFormatting sqref="B19">
    <cfRule type="cellIs" dxfId="93" priority="99" operator="greaterThan">
      <formula>0</formula>
    </cfRule>
  </conditionalFormatting>
  <conditionalFormatting sqref="B19">
    <cfRule type="cellIs" dxfId="92" priority="100" operator="lessThan">
      <formula>0</formula>
    </cfRule>
  </conditionalFormatting>
  <conditionalFormatting sqref="B19">
    <cfRule type="cellIs" dxfId="91" priority="93" operator="greaterThan">
      <formula>0</formula>
    </cfRule>
  </conditionalFormatting>
  <conditionalFormatting sqref="B19">
    <cfRule type="cellIs" dxfId="90" priority="94" operator="lessThan">
      <formula>0</formula>
    </cfRule>
  </conditionalFormatting>
  <conditionalFormatting sqref="B19">
    <cfRule type="cellIs" dxfId="89" priority="95" operator="greaterThan">
      <formula>0</formula>
    </cfRule>
  </conditionalFormatting>
  <conditionalFormatting sqref="B19">
    <cfRule type="cellIs" dxfId="88" priority="96" operator="lessThan">
      <formula>0</formula>
    </cfRule>
  </conditionalFormatting>
  <conditionalFormatting sqref="B3">
    <cfRule type="cellIs" dxfId="87" priority="89" operator="greaterThan">
      <formula>0</formula>
    </cfRule>
  </conditionalFormatting>
  <conditionalFormatting sqref="B3">
    <cfRule type="cellIs" dxfId="86" priority="90" operator="lessThan">
      <formula>0</formula>
    </cfRule>
  </conditionalFormatting>
  <conditionalFormatting sqref="B3">
    <cfRule type="cellIs" dxfId="85" priority="91" operator="greaterThan">
      <formula>0</formula>
    </cfRule>
  </conditionalFormatting>
  <conditionalFormatting sqref="B3">
    <cfRule type="cellIs" dxfId="84" priority="92" operator="lessThan">
      <formula>0</formula>
    </cfRule>
  </conditionalFormatting>
  <conditionalFormatting sqref="B3">
    <cfRule type="cellIs" dxfId="83" priority="85" operator="greaterThan">
      <formula>0</formula>
    </cfRule>
  </conditionalFormatting>
  <conditionalFormatting sqref="B3">
    <cfRule type="cellIs" dxfId="82" priority="86" operator="lessThan">
      <formula>0</formula>
    </cfRule>
  </conditionalFormatting>
  <conditionalFormatting sqref="B3">
    <cfRule type="cellIs" dxfId="81" priority="87" operator="greaterThan">
      <formula>0</formula>
    </cfRule>
  </conditionalFormatting>
  <conditionalFormatting sqref="B3">
    <cfRule type="cellIs" dxfId="80" priority="88" operator="lessThan">
      <formula>0</formula>
    </cfRule>
  </conditionalFormatting>
  <conditionalFormatting sqref="B3">
    <cfRule type="cellIs" dxfId="79" priority="81" operator="greaterThan">
      <formula>0</formula>
    </cfRule>
  </conditionalFormatting>
  <conditionalFormatting sqref="B3">
    <cfRule type="cellIs" dxfId="78" priority="82" operator="lessThan">
      <formula>0</formula>
    </cfRule>
  </conditionalFormatting>
  <conditionalFormatting sqref="B3">
    <cfRule type="cellIs" dxfId="77" priority="83" operator="greaterThan">
      <formula>0</formula>
    </cfRule>
  </conditionalFormatting>
  <conditionalFormatting sqref="B3">
    <cfRule type="cellIs" dxfId="76" priority="84" operator="lessThan">
      <formula>0</formula>
    </cfRule>
  </conditionalFormatting>
  <conditionalFormatting sqref="B3">
    <cfRule type="cellIs" dxfId="75" priority="77" operator="greaterThan">
      <formula>0</formula>
    </cfRule>
  </conditionalFormatting>
  <conditionalFormatting sqref="B3">
    <cfRule type="cellIs" dxfId="74" priority="78" operator="lessThan">
      <formula>0</formula>
    </cfRule>
  </conditionalFormatting>
  <conditionalFormatting sqref="B3">
    <cfRule type="cellIs" dxfId="73" priority="79" operator="greaterThan">
      <formula>0</formula>
    </cfRule>
  </conditionalFormatting>
  <conditionalFormatting sqref="B3">
    <cfRule type="cellIs" dxfId="72" priority="80" operator="lessThan">
      <formula>0</formula>
    </cfRule>
  </conditionalFormatting>
  <conditionalFormatting sqref="B7">
    <cfRule type="cellIs" dxfId="71" priority="73" operator="greaterThan">
      <formula>0</formula>
    </cfRule>
  </conditionalFormatting>
  <conditionalFormatting sqref="B7">
    <cfRule type="cellIs" dxfId="70" priority="74" operator="lessThan">
      <formula>0</formula>
    </cfRule>
  </conditionalFormatting>
  <conditionalFormatting sqref="B7">
    <cfRule type="cellIs" dxfId="69" priority="75" operator="greaterThan">
      <formula>0</formula>
    </cfRule>
  </conditionalFormatting>
  <conditionalFormatting sqref="B7">
    <cfRule type="cellIs" dxfId="68" priority="76" operator="lessThan">
      <formula>0</formula>
    </cfRule>
  </conditionalFormatting>
  <conditionalFormatting sqref="B7">
    <cfRule type="cellIs" dxfId="67" priority="69" operator="greaterThan">
      <formula>0</formula>
    </cfRule>
  </conditionalFormatting>
  <conditionalFormatting sqref="B7">
    <cfRule type="cellIs" dxfId="66" priority="70" operator="lessThan">
      <formula>0</formula>
    </cfRule>
  </conditionalFormatting>
  <conditionalFormatting sqref="B7">
    <cfRule type="cellIs" dxfId="65" priority="71" operator="greaterThan">
      <formula>0</formula>
    </cfRule>
  </conditionalFormatting>
  <conditionalFormatting sqref="B7">
    <cfRule type="cellIs" dxfId="64" priority="72" operator="lessThan">
      <formula>0</formula>
    </cfRule>
  </conditionalFormatting>
  <conditionalFormatting sqref="B7">
    <cfRule type="cellIs" dxfId="63" priority="65" operator="greaterThan">
      <formula>0</formula>
    </cfRule>
  </conditionalFormatting>
  <conditionalFormatting sqref="B7">
    <cfRule type="cellIs" dxfId="62" priority="66" operator="lessThan">
      <formula>0</formula>
    </cfRule>
  </conditionalFormatting>
  <conditionalFormatting sqref="B7">
    <cfRule type="cellIs" dxfId="61" priority="67" operator="greaterThan">
      <formula>0</formula>
    </cfRule>
  </conditionalFormatting>
  <conditionalFormatting sqref="B7">
    <cfRule type="cellIs" dxfId="60" priority="68" operator="lessThan">
      <formula>0</formula>
    </cfRule>
  </conditionalFormatting>
  <conditionalFormatting sqref="B7">
    <cfRule type="cellIs" dxfId="59" priority="61" operator="greaterThan">
      <formula>0</formula>
    </cfRule>
  </conditionalFormatting>
  <conditionalFormatting sqref="B7">
    <cfRule type="cellIs" dxfId="58" priority="62" operator="lessThan">
      <formula>0</formula>
    </cfRule>
  </conditionalFormatting>
  <conditionalFormatting sqref="B7">
    <cfRule type="cellIs" dxfId="57" priority="63" operator="greaterThan">
      <formula>0</formula>
    </cfRule>
  </conditionalFormatting>
  <conditionalFormatting sqref="B7">
    <cfRule type="cellIs" dxfId="56" priority="64" operator="lessThan">
      <formula>0</formula>
    </cfRule>
  </conditionalFormatting>
  <conditionalFormatting sqref="B7">
    <cfRule type="cellIs" dxfId="55" priority="57" operator="greaterThan">
      <formula>0</formula>
    </cfRule>
  </conditionalFormatting>
  <conditionalFormatting sqref="B7">
    <cfRule type="cellIs" dxfId="54" priority="58" operator="lessThan">
      <formula>0</formula>
    </cfRule>
  </conditionalFormatting>
  <conditionalFormatting sqref="B7">
    <cfRule type="cellIs" dxfId="53" priority="59" operator="greaterThan">
      <formula>0</formula>
    </cfRule>
  </conditionalFormatting>
  <conditionalFormatting sqref="B7">
    <cfRule type="cellIs" dxfId="52" priority="60" operator="lessThan">
      <formula>0</formula>
    </cfRule>
  </conditionalFormatting>
  <conditionalFormatting sqref="B7">
    <cfRule type="cellIs" dxfId="51" priority="53" operator="greaterThan">
      <formula>0</formula>
    </cfRule>
  </conditionalFormatting>
  <conditionalFormatting sqref="B7">
    <cfRule type="cellIs" dxfId="50" priority="54" operator="lessThan">
      <formula>0</formula>
    </cfRule>
  </conditionalFormatting>
  <conditionalFormatting sqref="B7">
    <cfRule type="cellIs" dxfId="49" priority="55" operator="greaterThan">
      <formula>0</formula>
    </cfRule>
  </conditionalFormatting>
  <conditionalFormatting sqref="B7">
    <cfRule type="cellIs" dxfId="48" priority="56" operator="lessThan">
      <formula>0</formula>
    </cfRule>
  </conditionalFormatting>
  <conditionalFormatting sqref="B7">
    <cfRule type="cellIs" dxfId="47" priority="49" operator="greaterThan">
      <formula>0</formula>
    </cfRule>
  </conditionalFormatting>
  <conditionalFormatting sqref="B7">
    <cfRule type="cellIs" dxfId="46" priority="50" operator="lessThan">
      <formula>0</formula>
    </cfRule>
  </conditionalFormatting>
  <conditionalFormatting sqref="B7">
    <cfRule type="cellIs" dxfId="45" priority="51" operator="greaterThan">
      <formula>0</formula>
    </cfRule>
  </conditionalFormatting>
  <conditionalFormatting sqref="B7">
    <cfRule type="cellIs" dxfId="44" priority="52" operator="lessThan">
      <formula>0</formula>
    </cfRule>
  </conditionalFormatting>
  <conditionalFormatting sqref="B7">
    <cfRule type="cellIs" dxfId="43" priority="45" operator="greaterThan">
      <formula>0</formula>
    </cfRule>
  </conditionalFormatting>
  <conditionalFormatting sqref="B7">
    <cfRule type="cellIs" dxfId="42" priority="46" operator="lessThan">
      <formula>0</formula>
    </cfRule>
  </conditionalFormatting>
  <conditionalFormatting sqref="B7">
    <cfRule type="cellIs" dxfId="41" priority="47" operator="greaterThan">
      <formula>0</formula>
    </cfRule>
  </conditionalFormatting>
  <conditionalFormatting sqref="B7">
    <cfRule type="cellIs" dxfId="40" priority="48" operator="lessThan">
      <formula>0</formula>
    </cfRule>
  </conditionalFormatting>
  <conditionalFormatting sqref="B7">
    <cfRule type="cellIs" dxfId="39" priority="41" operator="greaterThan">
      <formula>0</formula>
    </cfRule>
  </conditionalFormatting>
  <conditionalFormatting sqref="B7">
    <cfRule type="cellIs" dxfId="38" priority="42" operator="lessThan">
      <formula>0</formula>
    </cfRule>
  </conditionalFormatting>
  <conditionalFormatting sqref="B7">
    <cfRule type="cellIs" dxfId="37" priority="43" operator="greaterThan">
      <formula>0</formula>
    </cfRule>
  </conditionalFormatting>
  <conditionalFormatting sqref="B7">
    <cfRule type="cellIs" dxfId="36" priority="44" operator="lessThan">
      <formula>0</formula>
    </cfRule>
  </conditionalFormatting>
  <conditionalFormatting sqref="AH3:AH6 AH27:AH42">
    <cfRule type="cellIs" dxfId="35" priority="40" operator="lessThan">
      <formula>0.01</formula>
    </cfRule>
  </conditionalFormatting>
  <conditionalFormatting sqref="V3:V8 V27:V42">
    <cfRule type="cellIs" dxfId="34" priority="39" operator="lessThan">
      <formula>0.01</formula>
    </cfRule>
  </conditionalFormatting>
  <conditionalFormatting sqref="AR3:AR42">
    <cfRule type="expression" dxfId="33" priority="38">
      <formula>$O$18-$U3&lt;0</formula>
    </cfRule>
  </conditionalFormatting>
  <conditionalFormatting sqref="AR3:AR42">
    <cfRule type="expression" dxfId="32" priority="37">
      <formula>$O$18-$U3&gt;0</formula>
    </cfRule>
  </conditionalFormatting>
  <conditionalFormatting sqref="AS3:AS42">
    <cfRule type="expression" dxfId="31" priority="36">
      <formula>$O$18-$U3&lt;0</formula>
    </cfRule>
  </conditionalFormatting>
  <conditionalFormatting sqref="AS3:AS42">
    <cfRule type="expression" dxfId="30" priority="35">
      <formula>$O$18-$U3&gt;0</formula>
    </cfRule>
  </conditionalFormatting>
  <conditionalFormatting sqref="AT3:AT42">
    <cfRule type="expression" dxfId="29" priority="34">
      <formula>$O$18-$U3&lt;0</formula>
    </cfRule>
  </conditionalFormatting>
  <conditionalFormatting sqref="AT3:AT42">
    <cfRule type="expression" dxfId="28" priority="33">
      <formula>$O$18-$U3&gt;0</formula>
    </cfRule>
  </conditionalFormatting>
  <conditionalFormatting sqref="T3:T42">
    <cfRule type="cellIs" dxfId="27" priority="32" operator="equal">
      <formula>0</formula>
    </cfRule>
  </conditionalFormatting>
  <conditionalFormatting sqref="AF3:AF42">
    <cfRule type="cellIs" dxfId="26" priority="31" operator="equal">
      <formula>0</formula>
    </cfRule>
  </conditionalFormatting>
  <conditionalFormatting sqref="AB3:AB8 AB27:AB42">
    <cfRule type="cellIs" dxfId="25" priority="28" operator="equal">
      <formula>0</formula>
    </cfRule>
  </conditionalFormatting>
  <conditionalFormatting sqref="AC3:AC8 AC27:AC42">
    <cfRule type="cellIs" dxfId="24" priority="27" operator="equal">
      <formula>0</formula>
    </cfRule>
  </conditionalFormatting>
  <conditionalFormatting sqref="AM3:AM8 AM27:AM42">
    <cfRule type="cellIs" dxfId="23" priority="23" operator="lessThan">
      <formula>AH3</formula>
    </cfRule>
    <cfRule type="cellIs" dxfId="22" priority="24" operator="equal">
      <formula>0</formula>
    </cfRule>
  </conditionalFormatting>
  <conditionalFormatting sqref="AK3:AL8 AK27:AL42">
    <cfRule type="cellIs" dxfId="21" priority="22" operator="equal">
      <formula>0</formula>
    </cfRule>
  </conditionalFormatting>
  <conditionalFormatting sqref="AN3:AN8 AN27:AN42">
    <cfRule type="cellIs" dxfId="20" priority="21" operator="equal">
      <formula>0</formula>
    </cfRule>
  </conditionalFormatting>
  <conditionalFormatting sqref="AO3:AO8 AO27:AO42">
    <cfRule type="cellIs" dxfId="19" priority="20" operator="equal">
      <formula>0</formula>
    </cfRule>
  </conditionalFormatting>
  <conditionalFormatting sqref="AG7:AG26">
    <cfRule type="expression" dxfId="18" priority="18">
      <formula>AF7&gt;0</formula>
    </cfRule>
  </conditionalFormatting>
  <conditionalFormatting sqref="AG7:AG26">
    <cfRule type="expression" dxfId="17" priority="19">
      <formula>AF7&lt;0</formula>
    </cfRule>
  </conditionalFormatting>
  <conditionalFormatting sqref="AH7:AH8">
    <cfRule type="cellIs" dxfId="16" priority="17" operator="lessThan">
      <formula>0.01</formula>
    </cfRule>
  </conditionalFormatting>
  <conditionalFormatting sqref="U15:U26">
    <cfRule type="expression" dxfId="15" priority="15">
      <formula>T15&gt;0</formula>
    </cfRule>
  </conditionalFormatting>
  <conditionalFormatting sqref="U15:U26">
    <cfRule type="expression" dxfId="14" priority="16">
      <formula>T15&lt;0</formula>
    </cfRule>
  </conditionalFormatting>
  <conditionalFormatting sqref="V9:V26">
    <cfRule type="cellIs" dxfId="13" priority="14" operator="lessThan">
      <formula>0.01</formula>
    </cfRule>
  </conditionalFormatting>
  <conditionalFormatting sqref="AA9:AA26">
    <cfRule type="cellIs" dxfId="12" priority="12" operator="lessThan">
      <formula>V9</formula>
    </cfRule>
    <cfRule type="cellIs" dxfId="11" priority="13" operator="equal">
      <formula>0</formula>
    </cfRule>
  </conditionalFormatting>
  <conditionalFormatting sqref="Y9:Z26">
    <cfRule type="cellIs" dxfId="10" priority="11" operator="equal">
      <formula>0</formula>
    </cfRule>
  </conditionalFormatting>
  <conditionalFormatting sqref="AB9:AB26">
    <cfRule type="cellIs" dxfId="9" priority="10" operator="equal">
      <formula>0</formula>
    </cfRule>
  </conditionalFormatting>
  <conditionalFormatting sqref="AC9:AC26">
    <cfRule type="cellIs" dxfId="8" priority="9" operator="equal">
      <formula>0</formula>
    </cfRule>
  </conditionalFormatting>
  <conditionalFormatting sqref="AM9:AM26">
    <cfRule type="cellIs" dxfId="7" priority="7" operator="lessThan">
      <formula>AH9</formula>
    </cfRule>
    <cfRule type="cellIs" dxfId="6" priority="8" operator="equal">
      <formula>0</formula>
    </cfRule>
  </conditionalFormatting>
  <conditionalFormatting sqref="AK9:AL26">
    <cfRule type="cellIs" dxfId="5" priority="6" operator="equal">
      <formula>0</formula>
    </cfRule>
  </conditionalFormatting>
  <conditionalFormatting sqref="AN9:AN26">
    <cfRule type="cellIs" dxfId="4" priority="5" operator="equal">
      <formula>0</formula>
    </cfRule>
  </conditionalFormatting>
  <conditionalFormatting sqref="AO9:AO26">
    <cfRule type="cellIs" dxfId="3" priority="4" operator="equal">
      <formula>0</formula>
    </cfRule>
  </conditionalFormatting>
  <conditionalFormatting sqref="AH9:AH26">
    <cfRule type="cellIs" dxfId="2" priority="3" operator="lessThan">
      <formula>0.01</formula>
    </cfRule>
  </conditionalFormatting>
  <conditionalFormatting sqref="U3:U14">
    <cfRule type="expression" dxfId="1" priority="1">
      <formula>T3&gt;0</formula>
    </cfRule>
  </conditionalFormatting>
  <conditionalFormatting sqref="U3:U14">
    <cfRule type="expression" dxfId="0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7" sqref="A2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591</v>
      </c>
      <c r="B3" s="20"/>
      <c r="C3" s="19"/>
      <c r="D3" s="20"/>
      <c r="E3" s="824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592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593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629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630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631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632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633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634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734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825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825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3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3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3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3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3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3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3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3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3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3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3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3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3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3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7" t="s">
        <v>527</v>
      </c>
      <c r="E16" s="238" t="s">
        <v>518</v>
      </c>
      <c r="F16" s="244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3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3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3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3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3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3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3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3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3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3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3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3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3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3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3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2024-02-08T20:07:14Z</dcterms:modified>
</cp:coreProperties>
</file>