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8D9E60D-94BE-45B7-B8DB-27A2D5049E14}" xr6:coauthVersionLast="47" xr6:coauthVersionMax="47" xr10:uidLastSave="{00000000-0000-0000-0000-000000000000}"/>
  <bookViews>
    <workbookView xWindow="-4140" yWindow="387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" i="38" l="1"/>
  <c r="AI4" i="46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<sst xmlns="http://schemas.openxmlformats.org/spreadsheetml/2006/main" count="1486" uniqueCount="647">
  <si>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</si>
  <si>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</si>
  <si>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</si>
  <si>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</si>
  <si>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</si>
  <si>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</si>
  <si>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</si>
  <si>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</si>
  <si>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</si>
  <si>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</si>
  <si>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</si>
  <si>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</si>
  <si>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</si>
  <si>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</si>
  <si>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</si>
  <si>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</si>
  <si>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</si>
  <si>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</si>
  <si>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</si>
  <si>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</si>
  <si>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</si>
  <si>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</si>
  <si>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</si>
  <si>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</si>
  <si>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</si>
  <si>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</si>
  <si>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</si>
  <si>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</si>
  <si>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</si>
  <si>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</si>
  <si>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</si>
  <si>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</si>
  <si>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</si>
  <si>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</si>
  <si>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</si>
  <si>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</si>
  <si>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</si>
  <si>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</si>
  <si>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</si>
  <si>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</si>
  <si>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</si>
  <si>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</si>
  <si>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</si>
  <si>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</si>
  <si>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</si>
  <si>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</si>
  <si>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</si>
  <si>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</si>
  <si>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</si>
  <si>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</si>
  <si>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</si>
  <si>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</si>
  <si>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</si>
  <si>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</si>
  <si>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</si>
  <si>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</si>
  <si>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</si>
  <si>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</si>
  <si>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</si>
  <si>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</si>
  <si>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</si>
  <si>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</si>
  <si>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</si>
  <si>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</si>
  <si>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</si>
  <si>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</si>
  <si>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</si>
  <si>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</si>
  <si>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</si>
  <si>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</si>
  <si>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</si>
  <si>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</si>
  <si>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</si>
  <si>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</si>
  <si>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</si>
  <si>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</si>
  <si>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</si>
  <si>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</si>
  <si>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</si>
  <si>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</si>
  <si>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</si>
  <si>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</si>
  <si>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</si>
  <si>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</si>
  <si>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</si>
  <si>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</si>
  <si>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</si>
  <si>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</si>
  <si>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</si>
  <si>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</si>
  <si>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</si>
  <si>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</si>
  <si>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</si>
  <si>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</si>
  <si>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</si>
  <si>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</si>
  <si>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</si>
  <si>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</si>
  <si>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</si>
  <si>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</si>
  <si>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</si>
  <si>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</si>
  <si>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</si>
  <si>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</si>
  <si>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</si>
  <si>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</si>
  <si>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</si>
  <si>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</si>
  <si>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</si>
  <si>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</si>
  <si>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</si>
  <si>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</si>
  <si>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</si>
  <si>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</si>
  <si>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</si>
  <si>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</si>
  <si>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</si>
  <si>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</si>
  <si>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</si>
  <si>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</si>
  <si>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</si>
  <si>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</si>
  <si>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</si>
  <si>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</si>
  <si>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</si>
  <si>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</si>
  <si>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</si>
  <si>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</si>
  <si>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</si>
  <si>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</si>
  <si>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</si>
  <si>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</si>
  <si>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</si>
  <si>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</si>
  <si>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</si>
  <si>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</si>
  <si>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</si>
  <si>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</si>
  <si>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</si>
  <si>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</si>
  <si>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</si>
  <si>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</si>
  <si>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</si>
  <si>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</si>
  <si>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</si>
  <si>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</si>
  <si>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</si>
  <si>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</si>
  <si>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</si>
  <si>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</si>
  <si>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</si>
  <si>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</si>
  <si>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</si>
  <si>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</si>
  <si>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</si>
  <si>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</si>
  <si>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</si>
  <si>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</si>
  <si>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</si>
  <si>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</si>
  <si>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</si>
  <si>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</si>
  <si>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</si>
  <si>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</si>
  <si>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</si>
  <si>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</si>
  <si>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</si>
  <si>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</si>
  <si>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</si>
  <si>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</si>
  <si>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</si>
  <si>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</si>
  <si>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</si>
  <si>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</si>
  <si>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</si>
  <si>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</si>
  <si>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</si>
  <si>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</si>
  <si>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</si>
  <si>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</si>
  <si>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</si>
  <si>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</si>
  <si>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</si>
  <si>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</si>
  <si>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</si>
  <si>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</si>
  <si>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</si>
  <si>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</si>
  <si>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</si>
  <si>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</si>
  <si>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</si>
  <si>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</si>
  <si>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</si>
  <si>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</si>
  <si>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</si>
  <si>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</si>
  <si>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</si>
  <si>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</si>
  <si>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</si>
  <si>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</si>
  <si>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</si>
  <si>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</si>
  <si>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</si>
  <si>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</si>
  <si>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</si>
  <si>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</si>
  <si>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</si>
  <si>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</si>
  <si>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</si>
  <si>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</si>
  <si>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</si>
  <si>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</si>
  <si>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</si>
  <si>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</si>
  <si>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</si>
  <si>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</si>
  <si>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</si>
  <si>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</si>
  <si>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</si>
  <si>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</si>
  <si>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</si>
  <si>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</si>
  <si>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</si>
  <si>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</si>
  <si>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</si>
  <si>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</si>
  <si>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</si>
  <si>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</si>
  <si>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</si>
  <si>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</si>
  <si>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</si>
  <si>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</si>
  <si>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</si>
  <si>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</si>
  <si>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</si>
  <si>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</si>
  <si>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</si>
  <si>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</si>
  <si>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</si>
  <si>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</si>
  <si>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</si>
  <si>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</si>
  <si>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</si>
  <si>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</si>
  <si>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</si>
  <si>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</si>
  <si>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</si>
  <si>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</si>
  <si>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</si>
  <si>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</si>
  <si>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</si>
  <si>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</si>
  <si>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</si>
  <si>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</si>
  <si>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</si>
  <si>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</si>
  <si>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</si>
  <si>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</si>
  <si>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</si>
  <si>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</si>
  <si>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</si>
  <si>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</si>
  <si>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</si>
  <si>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</si>
  <si>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</si>
  <si>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</si>
  <si>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</si>
  <si>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</si>
  <si>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</si>
  <si>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</si>
  <si>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</si>
  <si>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</si>
  <si>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</si>
  <si>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</si>
  <si>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</si>
  <si>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</si>
  <si>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</si>
  <si>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</si>
  <si>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</si>
  <si>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</si>
  <si>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</si>
  <si>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</si>
  <si>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</si>
  <si>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</si>
  <si>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</si>
  <si>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</si>
  <si>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</si>
  <si>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</si>
  <si>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</si>
  <si>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</si>
  <si>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</si>
  <si>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</si>
  <si>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</si>
  <si>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</si>
  <si>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</si>
  <si>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</si>
  <si>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</si>
  <si>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</si>
  <si>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</si>
  <si>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</si>
  <si>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</si>
  <si>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</si>
  <si>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</si>
  <si>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</si>
  <si>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</si>
  <si>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</si>
  <si>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</si>
  <si>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</si>
  <si>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</si>
  <si>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</si>
  <si>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</si>
  <si>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</si>
  <si>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</si>
  <si>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</si>
  <si>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</si>
  <si>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</si>
  <si>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</si>
  <si>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</si>
  <si>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</si>
  <si>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</si>
  <si>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</si>
  <si>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</si>
  <si>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</si>
  <si>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</si>
  <si>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</si>
  <si>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</si>
  <si>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</si>
  <si>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</si>
  <si>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</si>
  <si>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</si>
  <si>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</si>
  <si>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</si>
  <si>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</si>
  <si>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</si>
  <si>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</si>
  <si>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</si>
  <si>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</si>
  <si>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</si>
  <si>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</si>
  <si>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</si>
  <si>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</si>
  <si>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</si>
  <si>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</si>
  <si>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</si>
  <si>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</si>
  <si>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</si>
  <si>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</si>
  <si>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</si>
  <si>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</si>
  <si>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</si>
  <si>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</si>
  <si>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</si>
  <si>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</si>
  <si>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</si>
  <si>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</si>
  <si>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</si>
  <si>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</si>
  <si>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</si>
  <si>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</si>
  <si>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</si>
  <si>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</si>
  <si>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</si>
  <si>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</si>
  <si>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</si>
  <si>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</si>
  <si>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</si>
  <si>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</si>
  <si>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</si>
  <si>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</si>
  <si>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</si>
  <si>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</si>
  <si>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</si>
  <si>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</si>
  <si>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</si>
  <si>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</si>
  <si>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</si>
  <si>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</si>
  <si>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</si>
  <si>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</si>
  <si>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</si>
  <si>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</si>
  <si>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</si>
  <si>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</si>
  <si>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</si>
  <si>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</si>
  <si>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</si>
  <si>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</si>
  <si>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</si>
  <si>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</si>
  <si>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</si>
  <si>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</si>
  <si>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</si>
  <si>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</si>
  <si>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</si>
  <si>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</si>
  <si>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</si>
  <si>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</si>
  <si>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</si>
  <si>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</si>
  <si>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</si>
  <si>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</si>
  <si>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</si>
  <si>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</si>
  <si>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</si>
  <si>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</si>
  <si>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</si>
  <si>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</si>
  <si>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</si>
  <si>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</si>
  <si>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</si>
  <si>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</si>
  <si>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</si>
  <si>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</si>
  <si>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</si>
  <si>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</si>
  <si>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</si>
  <si>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</si>
  <si>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</si>
  <si>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</si>
  <si>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</si>
  <si>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</si>
  <si>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</si>
  <si>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</si>
  <si>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</si>
  <si>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</si>
  <si>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</si>
  <si>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</si>
  <si>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</si>
  <si>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</si>
  <si>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</si>
  <si>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</si>
  <si>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</si>
  <si>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</si>
  <si>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</si>
  <si>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</si>
  <si>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</si>
  <si>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</si>
  <si>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</si>
  <si>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</si>
  <si>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</si>
  <si>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</si>
  <si>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</si>
  <si>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</si>
  <si>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</si>
  <si>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</si>
  <si>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</si>
  <si>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</si>
  <si>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</si>
  <si>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</si>
  <si>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</si>
  <si>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</si>
  <si>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</si>
  <si>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</si>
  <si>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</si>
  <si>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</si>
  <si>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</si>
  <si>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</si>
  <si>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</si>
  <si>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</si>
  <si>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</si>
  <si>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</si>
  <si>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</si>
  <si>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</si>
  <si>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</si>
  <si>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</si>
  <si>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</si>
  <si>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</si>
  <si>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</si>
  <si>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</si>
  <si>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</si>
  <si>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</si>
  <si>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</si>
  <si>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</si>
  <si>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</si>
  <si>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</si>
  <si>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</si>
  <si>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</si>
  <si>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</si>
  <si>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</si>
  <si>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</si>
  <si>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</si>
  <si>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</si>
  <si>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</si>
  <si>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</si>
  <si>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</si>
  <si>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</si>
  <si>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</si>
  <si>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</si>
  <si>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</si>
  <si>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</si>
  <si>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</si>
  <si>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</si>
  <si>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</si>
  <si>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</si>
  <si>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</si>
  <si>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</si>
  <si>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</si>
  <si>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</si>
  <si>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</si>
  <si>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</si>
  <si>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</si>
  <si>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</si>
  <si>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</si>
  <si>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</si>
  <si>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</si>
  <si>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</si>
  <si>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</si>
  <si>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</si>
  <si>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</si>
  <si>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</si>
  <si>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</si>
  <si>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</si>
  <si>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</si>
  <si>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</si>
  <si>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</si>
  <si>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</si>
  <si>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</si>
  <si>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</si>
  <si>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</si>
  <si>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</si>
  <si>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</si>
  <si>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</si>
  <si>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</si>
  <si>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</si>
  <si>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</si>
  <si>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</si>
  <si>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</si>
  <si>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</si>
  <si>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</si>
  <si>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</si>
  <si>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</si>
  <si>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</si>
  <si>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</si>
  <si>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</si>
  <si>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</si>
  <si>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</si>
  <si>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</si>
  <si>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</si>
  <si>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</si>
  <si>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</si>
  <si>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</si>
  <si>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</si>
  <si>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</si>
  <si>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</si>
  <si>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</si>
  <si>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</si>
  <si>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</si>
  <si>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</si>
  <si>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</si>
  <si>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</si>
  <si>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</si>
  <si>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</si>
  <si>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</si>
  <si>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</si>
  <si>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</si>
  <si>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</si>
  <si>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</si>
  <si>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</si>
  <si>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</si>
  <si>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</si>
  <si>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</si>
  <si>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</si>
  <si>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</si>
  <si>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</si>
  <si>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</si>
  <si>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</si>
  <si>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</si>
  <si>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</si>
  <si>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</si>
  <si>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</si>
  <si>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</si>
  <si>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</si>
  <si>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</si>
  <si>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</si>
  <si>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</si>
  <si>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</si>
  <si>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</si>
  <si>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</si>
  <si>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</si>
  <si>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</si>
  <si>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</si>
  <si>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</si>
  <si>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</si>
  <si>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</si>
  <si>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</si>
  <si>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</si>
  <si>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</si>
  <si>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</si>
  <si>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</si>
  <si>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</si>
  <si>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</si>
  <si>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</si>
  <si>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</si>
  <si>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</si>
  <si>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</si>
  <si>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</si>
  <si>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</si>
  <si>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</si>
  <si>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</si>
  <si>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</si>
  <si>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</si>
  <si>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</si>
  <si>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</si>
  <si>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</si>
  <si>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</si>
  <si>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</si>
  <si>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</si>
  <si>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</si>
  <si>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</si>
  <si>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</si>
  <si>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</si>
  <si>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</si>
  <si>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</si>
  <si>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</si>
  <si>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</si>
  <si>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</si>
  <si>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</si>
  <si>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</si>
  <si>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</si>
  <si>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</si>
  <si>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</si>
  <si>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</si>
  <si>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</si>
  <si>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</si>
  <si>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</si>
  <si>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</si>
  <si>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</si>
  <si>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</si>
  <si>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</si>
  <si>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</si>
  <si>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</si>
  <si>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</si>
  <si>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</si>
  <si>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</si>
  <si>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</si>
  <si>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</si>
  <si>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</si>
  <si>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</si>
  <si>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</si>
  <si>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</si>
  <si>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</si>
  <si>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</si>
  <si>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</si>
  <si>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</si>
  <si>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</si>
  <si>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GFGC2400FE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</si>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</sst>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vertAlign val="superscript"/>
      <sz val="9"/>
      <color theme="0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medium">
        <color indexed="64"/>
      </right>
      <top/>
      <bottom style="thin">
        <color theme="1" tint="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5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3" fontId="37" fillId="10" borderId="105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4" fillId="10" borderId="105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09" xfId="0" applyFont="1" applyFill="1" applyBorder="1" applyAlignment="1">
      <alignment horizontal="right" vertical="center"/>
    </xf>
    <xf numFmtId="0" fontId="77" fillId="10" borderId="106" xfId="0" applyFont="1" applyFill="1" applyBorder="1" applyAlignment="1">
      <alignment horizontal="left" vertical="center"/>
    </xf>
    <xf numFmtId="0" fontId="37" fillId="10" borderId="110" xfId="0" applyFont="1" applyFill="1" applyBorder="1" applyAlignment="1">
      <alignment horizontal="right" vertical="center"/>
    </xf>
    <xf numFmtId="1" fontId="25" fillId="9" borderId="11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7" fillId="10" borderId="114" xfId="0" applyFont="1" applyFill="1" applyBorder="1" applyAlignment="1">
      <alignment horizontal="right" vertical="center"/>
    </xf>
    <xf numFmtId="1" fontId="25" fillId="9" borderId="116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74" fillId="10" borderId="104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39" fillId="10" borderId="125" xfId="0" applyFont="1" applyFill="1" applyBorder="1" applyAlignment="1">
      <alignment horizontal="right" vertical="center"/>
    </xf>
    <xf numFmtId="0" fontId="39" fillId="10" borderId="124" xfId="0" applyFont="1" applyFill="1" applyBorder="1" applyAlignment="1">
      <alignment horizontal="right" vertical="center"/>
    </xf>
    <xf numFmtId="0" fontId="37" fillId="10" borderId="124" xfId="0" applyFont="1" applyFill="1" applyBorder="1" applyAlignment="1">
      <alignment horizontal="right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4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3" fontId="37" fillId="10" borderId="114" xfId="0" applyNumberFormat="1" applyFont="1" applyFill="1" applyBorder="1" applyAlignment="1">
      <alignment horizontal="right" vertical="center"/>
    </xf>
    <xf numFmtId="0" fontId="23" fillId="9" borderId="105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3" fontId="37" fillId="10" borderId="130" xfId="0" applyNumberFormat="1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74" fillId="10" borderId="130" xfId="0" applyFont="1" applyFill="1" applyBorder="1" applyAlignment="1">
      <alignment horizontal="right" vertical="center"/>
    </xf>
    <xf numFmtId="0" fontId="80" fillId="12" borderId="121" xfId="55" applyNumberFormat="1" applyFont="1" applyFill="1" applyBorder="1" applyAlignment="1">
      <alignment horizontal="center" vertical="center"/>
    </xf>
    <xf numFmtId="0" fontId="80" fillId="12" borderId="120" xfId="55" applyNumberFormat="1" applyFont="1" applyFill="1" applyBorder="1" applyAlignment="1">
      <alignment horizontal="center" vertical="center"/>
    </xf>
    <xf numFmtId="1" fontId="23" fillId="11" borderId="135" xfId="77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68" fontId="32" fillId="13" borderId="136" xfId="0" applyNumberFormat="1" applyFont="1" applyFill="1" applyBorder="1" applyAlignment="1">
      <alignment horizontal="center" vertical="center" wrapText="1"/>
    </xf>
    <xf numFmtId="0" fontId="74" fillId="10" borderId="102" xfId="0" applyFont="1" applyFill="1" applyBorder="1" applyAlignment="1">
      <alignment horizontal="right" vertical="center"/>
    </xf>
    <xf numFmtId="0" fontId="81" fillId="10" borderId="111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49" xfId="0" applyNumberFormat="1" applyFont="1" applyFill="1" applyBorder="1" applyAlignment="1">
      <alignment horizontal="center" vertical="center"/>
    </xf>
    <xf numFmtId="166" fontId="37" fillId="10" borderId="144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0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09" xfId="0" applyNumberFormat="1" applyFont="1" applyFill="1" applyBorder="1" applyAlignment="1">
      <alignment horizontal="center" vertical="center"/>
    </xf>
    <xf numFmtId="166" fontId="37" fillId="10" borderId="125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9" fillId="10" borderId="129" xfId="0" applyFont="1" applyFill="1" applyBorder="1" applyAlignment="1">
      <alignment horizontal="right" vertical="center"/>
    </xf>
    <xf numFmtId="0" fontId="39" fillId="10" borderId="108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167" fontId="37" fillId="10" borderId="152" xfId="55" applyNumberFormat="1" applyFont="1" applyFill="1" applyBorder="1" applyAlignment="1">
      <alignment horizontal="right" vertical="center"/>
    </xf>
    <xf numFmtId="10" fontId="30" fillId="10" borderId="152" xfId="114" applyNumberFormat="1" applyFont="1" applyFill="1" applyBorder="1" applyAlignment="1">
      <alignment horizontal="right" vertical="center"/>
    </xf>
    <xf numFmtId="0" fontId="13" fillId="15" borderId="153" xfId="15" applyFont="1" applyFill="1" applyBorder="1" applyAlignment="1">
      <alignment horizontal="center" vertical="center"/>
    </xf>
    <xf numFmtId="167" fontId="37" fillId="10" borderId="154" xfId="55" applyNumberFormat="1" applyFont="1" applyFill="1" applyBorder="1" applyAlignment="1">
      <alignment horizontal="right" vertical="center"/>
    </xf>
    <xf numFmtId="10" fontId="30" fillId="10" borderId="154" xfId="114" applyNumberFormat="1" applyFont="1" applyFill="1" applyBorder="1" applyAlignment="1">
      <alignment horizontal="right" vertical="center"/>
    </xf>
    <xf numFmtId="10" fontId="84" fillId="10" borderId="152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2" xfId="55" applyFont="1" applyFill="1" applyBorder="1" applyAlignment="1">
      <alignment horizontal="center" vertical="center" wrapText="1"/>
    </xf>
    <xf numFmtId="1" fontId="87" fillId="11" borderId="137" xfId="77" applyNumberFormat="1" applyFont="1" applyFill="1" applyBorder="1" applyAlignment="1">
      <alignment horizontal="center" vertical="center"/>
    </xf>
    <xf numFmtId="1" fontId="87" fillId="11" borderId="135" xfId="77" applyNumberFormat="1" applyFont="1" applyFill="1" applyBorder="1" applyAlignment="1">
      <alignment horizontal="center" vertical="center"/>
    </xf>
    <xf numFmtId="1" fontId="88" fillId="11" borderId="135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1" fontId="90" fillId="11" borderId="13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3" fillId="9" borderId="104" xfId="55" applyNumberFormat="1" applyFont="1" applyFill="1" applyBorder="1" applyAlignment="1">
      <alignment horizontal="center" vertical="center"/>
    </xf>
    <xf numFmtId="2" fontId="83" fillId="9" borderId="103" xfId="55" applyNumberFormat="1" applyFont="1" applyFill="1" applyBorder="1" applyAlignment="1">
      <alignment horizontal="center" vertical="center"/>
    </xf>
    <xf numFmtId="2" fontId="83" fillId="9" borderId="107" xfId="55" applyNumberFormat="1" applyFont="1" applyFill="1" applyBorder="1" applyAlignment="1">
      <alignment horizontal="center" vertical="center"/>
    </xf>
    <xf numFmtId="0" fontId="91" fillId="9" borderId="142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4" xfId="0" applyFont="1" applyFill="1" applyBorder="1" applyAlignment="1">
      <alignment horizontal="right" vertical="center"/>
    </xf>
    <xf numFmtId="0" fontId="75" fillId="10" borderId="104" xfId="55" applyNumberFormat="1" applyFont="1" applyFill="1" applyBorder="1" applyAlignment="1">
      <alignment horizontal="right" vertical="center"/>
    </xf>
    <xf numFmtId="0" fontId="83" fillId="9" borderId="142" xfId="55" applyNumberFormat="1" applyFont="1" applyFill="1" applyBorder="1" applyAlignment="1">
      <alignment horizontal="right" vertical="center"/>
    </xf>
    <xf numFmtId="0" fontId="75" fillId="10" borderId="114" xfId="55" applyNumberFormat="1" applyFont="1" applyFill="1" applyBorder="1" applyAlignment="1">
      <alignment horizontal="right" vertical="center"/>
    </xf>
    <xf numFmtId="0" fontId="83" fillId="9" borderId="103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0" xfId="55" applyNumberFormat="1" applyFont="1" applyFill="1" applyBorder="1" applyAlignment="1">
      <alignment horizontal="right" vertical="center"/>
    </xf>
    <xf numFmtId="0" fontId="83" fillId="9" borderId="155" xfId="55" applyNumberFormat="1" applyFont="1" applyFill="1" applyBorder="1" applyAlignment="1">
      <alignment horizontal="right" vertical="center"/>
    </xf>
    <xf numFmtId="0" fontId="92" fillId="9" borderId="103" xfId="55" applyNumberFormat="1" applyFont="1" applyFill="1" applyBorder="1" applyAlignment="1">
      <alignment horizontal="right" vertical="center"/>
    </xf>
    <xf numFmtId="0" fontId="92" fillId="9" borderId="155" xfId="55" applyNumberFormat="1" applyFont="1" applyFill="1" applyBorder="1" applyAlignment="1">
      <alignment horizontal="right" vertical="center"/>
    </xf>
    <xf numFmtId="0" fontId="92" fillId="9" borderId="142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93" fillId="10" borderId="104" xfId="114" applyNumberFormat="1" applyFont="1" applyFill="1" applyBorder="1" applyAlignment="1">
      <alignment horizontal="center" vertical="center"/>
    </xf>
    <xf numFmtId="10" fontId="93" fillId="10" borderId="103" xfId="114" applyNumberFormat="1" applyFont="1" applyFill="1" applyBorder="1" applyAlignment="1">
      <alignment horizontal="center" vertical="center"/>
    </xf>
    <xf numFmtId="10" fontId="93" fillId="10" borderId="134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0" fontId="96" fillId="0" borderId="0" xfId="0" applyFont="1" applyAlignment="1">
      <alignment vertical="top"/>
    </xf>
    <xf numFmtId="0" fontId="36" fillId="9" borderId="151" xfId="0" applyFont="1" applyFill="1" applyBorder="1" applyAlignment="1">
      <alignment vertical="center"/>
    </xf>
    <xf numFmtId="0" fontId="36" fillId="9" borderId="105" xfId="0" applyFont="1" applyFill="1" applyBorder="1" applyAlignment="1">
      <alignment vertical="center"/>
    </xf>
    <xf numFmtId="0" fontId="91" fillId="9" borderId="142" xfId="55" applyNumberFormat="1" applyFont="1" applyFill="1" applyBorder="1" applyAlignment="1">
      <alignment horizontal="right" vertical="center"/>
    </xf>
    <xf numFmtId="0" fontId="75" fillId="10" borderId="124" xfId="55" applyNumberFormat="1" applyFont="1" applyFill="1" applyBorder="1" applyAlignment="1">
      <alignment horizontal="right" vertical="center"/>
    </xf>
    <xf numFmtId="0" fontId="74" fillId="10" borderId="124" xfId="0" applyFont="1" applyFill="1" applyBorder="1" applyAlignment="1">
      <alignment horizontal="right" vertical="center"/>
    </xf>
    <xf numFmtId="0" fontId="83" fillId="9" borderId="164" xfId="55" applyNumberFormat="1" applyFont="1" applyFill="1" applyBorder="1" applyAlignment="1">
      <alignment horizontal="right" vertical="center"/>
    </xf>
    <xf numFmtId="0" fontId="92" fillId="9" borderId="164" xfId="55" applyNumberFormat="1" applyFont="1" applyFill="1" applyBorder="1" applyAlignment="1">
      <alignment horizontal="right" vertical="center"/>
    </xf>
    <xf numFmtId="0" fontId="30" fillId="9" borderId="164" xfId="0" applyFont="1" applyFill="1" applyBorder="1" applyAlignment="1">
      <alignment horizontal="center" vertical="center"/>
    </xf>
    <xf numFmtId="10" fontId="93" fillId="10" borderId="128" xfId="114" applyNumberFormat="1" applyFont="1" applyFill="1" applyBorder="1" applyAlignment="1">
      <alignment horizontal="center" vertical="center"/>
    </xf>
    <xf numFmtId="166" fontId="37" fillId="10" borderId="129" xfId="0" applyNumberFormat="1" applyFont="1" applyFill="1" applyBorder="1" applyAlignment="1">
      <alignment horizontal="center" vertical="center"/>
    </xf>
    <xf numFmtId="0" fontId="26" fillId="9" borderId="129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2" fontId="83" fillId="9" borderId="128" xfId="55" applyNumberFormat="1" applyFont="1" applyFill="1" applyBorder="1" applyAlignment="1">
      <alignment horizontal="center" vertical="center"/>
    </xf>
    <xf numFmtId="2" fontId="91" fillId="9" borderId="142" xfId="55" applyNumberFormat="1" applyFont="1" applyFill="1" applyBorder="1" applyAlignment="1">
      <alignment horizontal="right" vertical="center"/>
    </xf>
    <xf numFmtId="2" fontId="91" fillId="9" borderId="143" xfId="55" applyNumberFormat="1" applyFont="1" applyFill="1" applyBorder="1" applyAlignment="1">
      <alignment horizontal="right" vertical="center"/>
    </xf>
    <xf numFmtId="164" fontId="91" fillId="9" borderId="143" xfId="55" applyNumberFormat="1" applyFont="1" applyFill="1" applyBorder="1" applyAlignment="1">
      <alignment horizontal="right" vertical="center"/>
    </xf>
    <xf numFmtId="0" fontId="91" fillId="9" borderId="169" xfId="0" applyNumberFormat="1" applyFont="1" applyFill="1" applyBorder="1" applyAlignment="1">
      <alignment vertical="center"/>
    </xf>
    <xf numFmtId="0" fontId="97" fillId="9" borderId="142" xfId="55" applyNumberFormat="1" applyFont="1" applyFill="1" applyBorder="1" applyAlignment="1">
      <alignment horizontal="left" vertical="center"/>
    </xf>
    <xf numFmtId="0" fontId="97" fillId="9" borderId="143" xfId="55" applyNumberFormat="1" applyFont="1" applyFill="1" applyBorder="1" applyAlignment="1">
      <alignment horizontal="right" vertical="center"/>
    </xf>
    <xf numFmtId="0" fontId="98" fillId="9" borderId="142" xfId="55" applyNumberFormat="1" applyFont="1" applyFill="1" applyBorder="1" applyAlignment="1">
      <alignment horizontal="left" vertical="center"/>
    </xf>
    <xf numFmtId="0" fontId="99" fillId="9" borderId="142" xfId="55" applyNumberFormat="1" applyFont="1" applyFill="1" applyBorder="1" applyAlignment="1">
      <alignment horizontal="left" vertical="center"/>
    </xf>
    <xf numFmtId="0" fontId="100" fillId="9" borderId="142" xfId="55" applyNumberFormat="1" applyFont="1" applyFill="1" applyBorder="1" applyAlignment="1">
      <alignment horizontal="right" vertical="center"/>
    </xf>
    <xf numFmtId="0" fontId="101" fillId="9" borderId="142" xfId="55" applyNumberFormat="1" applyFont="1" applyFill="1" applyBorder="1" applyAlignment="1">
      <alignment horizontal="right" vertical="center"/>
    </xf>
    <xf numFmtId="0" fontId="101" fillId="10" borderId="104" xfId="0" applyFont="1" applyFill="1" applyBorder="1" applyAlignment="1">
      <alignment horizontal="right" vertical="center"/>
    </xf>
    <xf numFmtId="0" fontId="100" fillId="10" borderId="104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4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4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4" xfId="0" applyFont="1" applyFill="1" applyBorder="1" applyAlignment="1">
      <alignment horizontal="right" vertical="center"/>
    </xf>
    <xf numFmtId="3" fontId="105" fillId="10" borderId="104" xfId="0" applyNumberFormat="1" applyFont="1" applyFill="1" applyBorder="1" applyAlignment="1">
      <alignment horizontal="right" vertical="center"/>
    </xf>
    <xf numFmtId="0" fontId="100" fillId="10" borderId="114" xfId="55" applyNumberFormat="1" applyFont="1" applyFill="1" applyBorder="1" applyAlignment="1">
      <alignment horizontal="right" vertical="center"/>
    </xf>
    <xf numFmtId="0" fontId="101" fillId="10" borderId="114" xfId="0" applyFont="1" applyFill="1" applyBorder="1" applyAlignment="1">
      <alignment horizontal="right" vertical="center"/>
    </xf>
    <xf numFmtId="0" fontId="101" fillId="9" borderId="103" xfId="55" applyNumberFormat="1" applyFont="1" applyFill="1" applyBorder="1" applyAlignment="1">
      <alignment horizontal="right" vertical="center"/>
    </xf>
    <xf numFmtId="0" fontId="100" fillId="9" borderId="103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3" xfId="114" applyNumberFormat="1" applyFont="1" applyFill="1" applyBorder="1" applyAlignment="1">
      <alignment horizontal="center" vertical="center"/>
    </xf>
    <xf numFmtId="0" fontId="104" fillId="10" borderId="115" xfId="0" applyFont="1" applyFill="1" applyBorder="1" applyAlignment="1">
      <alignment horizontal="right" vertical="center"/>
    </xf>
    <xf numFmtId="0" fontId="104" fillId="10" borderId="114" xfId="0" applyFont="1" applyFill="1" applyBorder="1" applyAlignment="1">
      <alignment horizontal="right" vertical="center"/>
    </xf>
    <xf numFmtId="0" fontId="104" fillId="10" borderId="150" xfId="0" applyFont="1" applyFill="1" applyBorder="1" applyAlignment="1">
      <alignment horizontal="right" vertical="center"/>
    </xf>
    <xf numFmtId="0" fontId="105" fillId="10" borderId="114" xfId="0" applyFont="1" applyFill="1" applyBorder="1" applyAlignment="1">
      <alignment horizontal="right" vertical="center"/>
    </xf>
    <xf numFmtId="3" fontId="105" fillId="10" borderId="114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49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5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5" xfId="0" applyFont="1" applyFill="1" applyBorder="1" applyAlignment="1">
      <alignment horizontal="right" vertical="center"/>
    </xf>
    <xf numFmtId="3" fontId="105" fillId="10" borderId="105" xfId="0" applyNumberFormat="1" applyFont="1" applyFill="1" applyBorder="1" applyAlignment="1">
      <alignment horizontal="right" vertical="center"/>
    </xf>
    <xf numFmtId="2" fontId="106" fillId="9" borderId="104" xfId="55" applyNumberFormat="1" applyFont="1" applyFill="1" applyBorder="1" applyAlignment="1">
      <alignment horizontal="left" vertical="center"/>
    </xf>
    <xf numFmtId="164" fontId="107" fillId="9" borderId="104" xfId="55" applyNumberFormat="1" applyFont="1" applyFill="1" applyBorder="1" applyAlignment="1">
      <alignment horizontal="left" vertical="center"/>
    </xf>
    <xf numFmtId="2" fontId="106" fillId="9" borderId="103" xfId="55" applyNumberFormat="1" applyFont="1" applyFill="1" applyBorder="1" applyAlignment="1">
      <alignment horizontal="right" vertical="center"/>
    </xf>
    <xf numFmtId="164" fontId="107" fillId="9" borderId="103" xfId="55" applyNumberFormat="1" applyFont="1" applyFill="1" applyBorder="1" applyAlignment="1">
      <alignment horizontal="right" vertical="center"/>
    </xf>
    <xf numFmtId="164" fontId="108" fillId="9" borderId="104" xfId="55" applyNumberFormat="1" applyFont="1" applyFill="1" applyBorder="1" applyAlignment="1">
      <alignment horizontal="left" vertical="center"/>
    </xf>
    <xf numFmtId="2" fontId="108" fillId="9" borderId="104" xfId="55" applyNumberFormat="1" applyFont="1" applyFill="1" applyBorder="1" applyAlignment="1">
      <alignment horizontal="left" vertical="center"/>
    </xf>
    <xf numFmtId="165" fontId="107" fillId="9" borderId="104" xfId="55" applyNumberFormat="1" applyFont="1" applyFill="1" applyBorder="1" applyAlignment="1">
      <alignment horizontal="left" vertical="center"/>
    </xf>
    <xf numFmtId="2" fontId="108" fillId="9" borderId="103" xfId="55" applyNumberFormat="1" applyFont="1" applyFill="1" applyBorder="1" applyAlignment="1">
      <alignment horizontal="right" vertical="center"/>
    </xf>
    <xf numFmtId="165" fontId="107" fillId="9" borderId="103" xfId="55" applyNumberFormat="1" applyFont="1" applyFill="1" applyBorder="1" applyAlignment="1">
      <alignment horizontal="right" vertical="center"/>
    </xf>
    <xf numFmtId="2" fontId="107" fillId="9" borderId="107" xfId="55" applyNumberFormat="1" applyFont="1" applyFill="1" applyBorder="1" applyAlignment="1">
      <alignment vertical="center"/>
    </xf>
    <xf numFmtId="165" fontId="108" fillId="9" borderId="104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4" xfId="55" applyNumberFormat="1" applyFont="1" applyFill="1" applyBorder="1" applyAlignment="1">
      <alignment horizontal="center" vertical="center"/>
    </xf>
    <xf numFmtId="165" fontId="83" fillId="9" borderId="103" xfId="55" applyNumberFormat="1" applyFont="1" applyFill="1" applyBorder="1" applyAlignment="1">
      <alignment horizontal="center" vertical="center"/>
    </xf>
    <xf numFmtId="2" fontId="74" fillId="9" borderId="107" xfId="0" applyNumberFormat="1" applyFont="1" applyFill="1" applyBorder="1" applyAlignment="1">
      <alignment horizontal="center" vertical="center"/>
    </xf>
    <xf numFmtId="2" fontId="74" fillId="9" borderId="104" xfId="0" applyNumberFormat="1" applyFont="1" applyFill="1" applyBorder="1" applyAlignment="1">
      <alignment horizontal="center" vertical="center"/>
    </xf>
    <xf numFmtId="2" fontId="74" fillId="9" borderId="103" xfId="0" applyNumberFormat="1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right" vertical="center"/>
    </xf>
    <xf numFmtId="164" fontId="91" fillId="9" borderId="162" xfId="0" applyNumberFormat="1" applyFont="1" applyFill="1" applyBorder="1" applyAlignment="1">
      <alignment horizontal="left" vertical="center"/>
    </xf>
    <xf numFmtId="0" fontId="98" fillId="9" borderId="163" xfId="0" applyNumberFormat="1" applyFont="1" applyFill="1" applyBorder="1" applyAlignment="1">
      <alignment horizontal="right" vertical="center"/>
    </xf>
    <xf numFmtId="0" fontId="100" fillId="10" borderId="124" xfId="55" applyNumberFormat="1" applyFont="1" applyFill="1" applyBorder="1" applyAlignment="1">
      <alignment horizontal="right" vertical="center"/>
    </xf>
    <xf numFmtId="0" fontId="101" fillId="10" borderId="124" xfId="0" applyFont="1" applyFill="1" applyBorder="1" applyAlignment="1">
      <alignment horizontal="right" vertical="center"/>
    </xf>
    <xf numFmtId="0" fontId="101" fillId="9" borderId="128" xfId="55" applyNumberFormat="1" applyFont="1" applyFill="1" applyBorder="1" applyAlignment="1">
      <alignment horizontal="right" vertical="center"/>
    </xf>
    <xf numFmtId="0" fontId="100" fillId="9" borderId="128" xfId="55" applyNumberFormat="1" applyFont="1" applyFill="1" applyBorder="1" applyAlignment="1">
      <alignment horizontal="right" vertical="center"/>
    </xf>
    <xf numFmtId="0" fontId="102" fillId="9" borderId="164" xfId="0" applyFont="1" applyFill="1" applyBorder="1" applyAlignment="1">
      <alignment horizontal="center" vertical="center"/>
    </xf>
    <xf numFmtId="10" fontId="103" fillId="10" borderId="128" xfId="114" applyNumberFormat="1" applyFont="1" applyFill="1" applyBorder="1" applyAlignment="1">
      <alignment horizontal="center" vertical="center"/>
    </xf>
    <xf numFmtId="0" fontId="104" fillId="10" borderId="125" xfId="0" applyFont="1" applyFill="1" applyBorder="1" applyAlignment="1">
      <alignment horizontal="right" vertical="center"/>
    </xf>
    <xf numFmtId="0" fontId="104" fillId="10" borderId="124" xfId="0" applyFont="1" applyFill="1" applyBorder="1" applyAlignment="1">
      <alignment horizontal="right" vertical="center"/>
    </xf>
    <xf numFmtId="0" fontId="104" fillId="10" borderId="129" xfId="0" applyFont="1" applyFill="1" applyBorder="1" applyAlignment="1">
      <alignment horizontal="right" vertical="center"/>
    </xf>
    <xf numFmtId="0" fontId="105" fillId="10" borderId="124" xfId="0" applyFont="1" applyFill="1" applyBorder="1" applyAlignment="1">
      <alignment horizontal="right" vertical="center"/>
    </xf>
    <xf numFmtId="3" fontId="105" fillId="10" borderId="124" xfId="0" applyNumberFormat="1" applyFont="1" applyFill="1" applyBorder="1" applyAlignment="1">
      <alignment horizontal="right" vertical="center"/>
    </xf>
    <xf numFmtId="2" fontId="106" fillId="9" borderId="128" xfId="55" applyNumberFormat="1" applyFont="1" applyFill="1" applyBorder="1" applyAlignment="1">
      <alignment horizontal="right" vertical="center"/>
    </xf>
    <xf numFmtId="164" fontId="108" fillId="9" borderId="128" xfId="55" applyNumberFormat="1" applyFont="1" applyFill="1" applyBorder="1" applyAlignment="1">
      <alignment horizontal="right" vertical="center"/>
    </xf>
    <xf numFmtId="0" fontId="110" fillId="9" borderId="142" xfId="55" applyNumberFormat="1" applyFont="1" applyFill="1" applyBorder="1" applyAlignment="1">
      <alignment horizontal="left" vertical="center"/>
    </xf>
    <xf numFmtId="0" fontId="110" fillId="9" borderId="143" xfId="55" applyNumberFormat="1" applyFont="1" applyFill="1" applyBorder="1" applyAlignment="1">
      <alignment horizontal="right" vertical="center"/>
    </xf>
    <xf numFmtId="0" fontId="111" fillId="9" borderId="142" xfId="55" applyNumberFormat="1" applyFont="1" applyFill="1" applyBorder="1" applyAlignment="1">
      <alignment horizontal="center" vertical="center"/>
    </xf>
    <xf numFmtId="0" fontId="111" fillId="9" borderId="143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79" fillId="9" borderId="171" xfId="0" applyNumberFormat="1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73" xfId="0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4" xfId="55" applyNumberFormat="1" applyFont="1" applyFill="1" applyBorder="1" applyAlignment="1">
      <alignment horizontal="right" vertical="center"/>
    </xf>
    <xf numFmtId="167" fontId="75" fillId="10" borderId="107" xfId="55" applyNumberFormat="1" applyFont="1" applyFill="1" applyBorder="1" applyAlignment="1">
      <alignment horizontal="right" vertical="center"/>
    </xf>
    <xf numFmtId="1" fontId="91" fillId="9" borderId="174" xfId="55" applyNumberFormat="1" applyFont="1" applyFill="1" applyBorder="1" applyAlignment="1">
      <alignment vertical="center"/>
    </xf>
    <xf numFmtId="164" fontId="111" fillId="9" borderId="143" xfId="55" applyNumberFormat="1" applyFont="1" applyFill="1" applyBorder="1" applyAlignment="1">
      <alignment horizontal="center" vertical="center"/>
    </xf>
    <xf numFmtId="164" fontId="111" fillId="9" borderId="104" xfId="55" applyNumberFormat="1" applyFont="1" applyFill="1" applyBorder="1" applyAlignment="1">
      <alignment horizontal="center" vertical="center"/>
    </xf>
    <xf numFmtId="164" fontId="111" fillId="9" borderId="107" xfId="55" applyNumberFormat="1" applyFont="1" applyFill="1" applyBorder="1" applyAlignment="1">
      <alignment horizontal="center" vertical="center"/>
    </xf>
    <xf numFmtId="0" fontId="80" fillId="12" borderId="160" xfId="55" applyNumberFormat="1" applyFont="1" applyFill="1" applyBorder="1" applyAlignment="1">
      <alignment horizontal="center" vertical="center"/>
    </xf>
    <xf numFmtId="0" fontId="80" fillId="12" borderId="161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6" xfId="0" applyFont="1" applyFill="1" applyBorder="1" applyAlignment="1">
      <alignment horizontal="left" vertical="center"/>
    </xf>
    <xf numFmtId="0" fontId="100" fillId="10" borderId="176" xfId="55" applyNumberFormat="1" applyFont="1" applyFill="1" applyBorder="1" applyAlignment="1">
      <alignment horizontal="right" vertical="center"/>
    </xf>
    <xf numFmtId="0" fontId="101" fillId="10" borderId="176" xfId="0" applyFont="1" applyFill="1" applyBorder="1" applyAlignment="1">
      <alignment horizontal="right" vertical="center"/>
    </xf>
    <xf numFmtId="0" fontId="101" fillId="9" borderId="177" xfId="55" applyNumberFormat="1" applyFont="1" applyFill="1" applyBorder="1" applyAlignment="1">
      <alignment horizontal="right" vertical="center"/>
    </xf>
    <xf numFmtId="0" fontId="100" fillId="9" borderId="177" xfId="55" applyNumberFormat="1" applyFont="1" applyFill="1" applyBorder="1" applyAlignment="1">
      <alignment horizontal="right" vertical="center"/>
    </xf>
    <xf numFmtId="0" fontId="102" fillId="9" borderId="178" xfId="0" applyFont="1" applyFill="1" applyBorder="1" applyAlignment="1">
      <alignment horizontal="center" vertical="center"/>
    </xf>
    <xf numFmtId="10" fontId="103" fillId="10" borderId="177" xfId="114" applyNumberFormat="1" applyFont="1" applyFill="1" applyBorder="1" applyAlignment="1">
      <alignment horizontal="center" vertical="center"/>
    </xf>
    <xf numFmtId="0" fontId="104" fillId="10" borderId="179" xfId="0" applyFont="1" applyFill="1" applyBorder="1" applyAlignment="1">
      <alignment horizontal="right" vertical="center"/>
    </xf>
    <xf numFmtId="0" fontId="104" fillId="10" borderId="176" xfId="0" applyFont="1" applyFill="1" applyBorder="1" applyAlignment="1">
      <alignment horizontal="right" vertical="center"/>
    </xf>
    <xf numFmtId="0" fontId="104" fillId="10" borderId="180" xfId="0" applyFont="1" applyFill="1" applyBorder="1" applyAlignment="1">
      <alignment horizontal="right" vertical="center"/>
    </xf>
    <xf numFmtId="0" fontId="105" fillId="10" borderId="176" xfId="0" applyFont="1" applyFill="1" applyBorder="1" applyAlignment="1">
      <alignment horizontal="right" vertical="center"/>
    </xf>
    <xf numFmtId="3" fontId="105" fillId="10" borderId="176" xfId="0" applyNumberFormat="1" applyFont="1" applyFill="1" applyBorder="1" applyAlignment="1">
      <alignment horizontal="right" vertical="center"/>
    </xf>
    <xf numFmtId="3" fontId="37" fillId="10" borderId="176" xfId="0" applyNumberFormat="1" applyFont="1" applyFill="1" applyBorder="1" applyAlignment="1">
      <alignment horizontal="right" vertical="center"/>
    </xf>
    <xf numFmtId="166" fontId="37" fillId="10" borderId="179" xfId="0" applyNumberFormat="1" applyFont="1" applyFill="1" applyBorder="1" applyAlignment="1">
      <alignment horizontal="center" vertical="center"/>
    </xf>
    <xf numFmtId="0" fontId="26" fillId="9" borderId="180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107" fillId="9" borderId="177" xfId="55" applyNumberFormat="1" applyFont="1" applyFill="1" applyBorder="1" applyAlignment="1">
      <alignment horizontal="right" vertical="center"/>
    </xf>
    <xf numFmtId="165" fontId="108" fillId="9" borderId="177" xfId="55" applyNumberFormat="1" applyFont="1" applyFill="1" applyBorder="1" applyAlignment="1">
      <alignment horizontal="right" vertical="center"/>
    </xf>
    <xf numFmtId="0" fontId="110" fillId="9" borderId="185" xfId="55" applyNumberFormat="1" applyFont="1" applyFill="1" applyBorder="1" applyAlignment="1">
      <alignment horizontal="right" vertical="center"/>
    </xf>
    <xf numFmtId="167" fontId="75" fillId="10" borderId="177" xfId="55" applyNumberFormat="1" applyFont="1" applyFill="1" applyBorder="1" applyAlignment="1">
      <alignment horizontal="right" vertical="center"/>
    </xf>
    <xf numFmtId="0" fontId="74" fillId="10" borderId="176" xfId="0" applyFont="1" applyFill="1" applyBorder="1" applyAlignment="1">
      <alignment horizontal="right" vertical="center"/>
    </xf>
    <xf numFmtId="0" fontId="83" fillId="9" borderId="178" xfId="55" applyNumberFormat="1" applyFont="1" applyFill="1" applyBorder="1" applyAlignment="1">
      <alignment horizontal="right" vertical="center"/>
    </xf>
    <xf numFmtId="0" fontId="30" fillId="9" borderId="178" xfId="0" applyFont="1" applyFill="1" applyBorder="1" applyAlignment="1">
      <alignment horizontal="center" vertical="center"/>
    </xf>
    <xf numFmtId="10" fontId="93" fillId="10" borderId="177" xfId="114" applyNumberFormat="1" applyFont="1" applyFill="1" applyBorder="1" applyAlignment="1">
      <alignment horizontal="center" vertical="center"/>
    </xf>
    <xf numFmtId="0" fontId="39" fillId="10" borderId="179" xfId="0" applyFont="1" applyFill="1" applyBorder="1" applyAlignment="1">
      <alignment horizontal="right" vertical="center"/>
    </xf>
    <xf numFmtId="0" fontId="39" fillId="10" borderId="176" xfId="0" applyFont="1" applyFill="1" applyBorder="1" applyAlignment="1">
      <alignment horizontal="right" vertical="center"/>
    </xf>
    <xf numFmtId="0" fontId="39" fillId="10" borderId="180" xfId="0" applyFont="1" applyFill="1" applyBorder="1" applyAlignment="1">
      <alignment horizontal="right" vertical="center"/>
    </xf>
    <xf numFmtId="0" fontId="37" fillId="10" borderId="176" xfId="0" applyFont="1" applyFill="1" applyBorder="1" applyAlignment="1">
      <alignment horizontal="right" vertical="center"/>
    </xf>
    <xf numFmtId="166" fontId="37" fillId="10" borderId="180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0" fontId="91" fillId="9" borderId="184" xfId="0" applyNumberFormat="1" applyFont="1" applyFill="1" applyBorder="1" applyAlignment="1">
      <alignment vertical="center"/>
    </xf>
    <xf numFmtId="0" fontId="111" fillId="9" borderId="185" xfId="55" applyNumberFormat="1" applyFont="1" applyFill="1" applyBorder="1" applyAlignment="1">
      <alignment horizontal="center" vertical="center"/>
    </xf>
    <xf numFmtId="164" fontId="111" fillId="9" borderId="185" xfId="55" applyNumberFormat="1" applyFont="1" applyFill="1" applyBorder="1" applyAlignment="1">
      <alignment horizontal="center" vertical="center"/>
    </xf>
    <xf numFmtId="2" fontId="91" fillId="9" borderId="185" xfId="0" applyNumberFormat="1" applyFont="1" applyFill="1" applyBorder="1" applyAlignment="1">
      <alignment horizontal="left" vertical="center"/>
    </xf>
    <xf numFmtId="0" fontId="75" fillId="10" borderId="176" xfId="55" applyNumberFormat="1" applyFont="1" applyFill="1" applyBorder="1" applyAlignment="1">
      <alignment horizontal="right" vertical="center"/>
    </xf>
    <xf numFmtId="0" fontId="92" fillId="9" borderId="178" xfId="55" applyNumberFormat="1" applyFont="1" applyFill="1" applyBorder="1" applyAlignment="1">
      <alignment horizontal="right" vertical="center"/>
    </xf>
    <xf numFmtId="3" fontId="37" fillId="10" borderId="177" xfId="0" applyNumberFormat="1" applyFont="1" applyFill="1" applyBorder="1" applyAlignment="1">
      <alignment horizontal="right" vertical="center"/>
    </xf>
    <xf numFmtId="2" fontId="83" fillId="9" borderId="177" xfId="55" applyNumberFormat="1" applyFont="1" applyFill="1" applyBorder="1" applyAlignment="1">
      <alignment horizontal="center" vertical="center"/>
    </xf>
    <xf numFmtId="1" fontId="23" fillId="11" borderId="179" xfId="77" applyNumberFormat="1" applyFont="1" applyFill="1" applyBorder="1" applyAlignment="1">
      <alignment horizontal="center" vertical="center"/>
    </xf>
    <xf numFmtId="1" fontId="90" fillId="11" borderId="179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88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190" xfId="0" applyFont="1" applyFill="1" applyBorder="1" applyAlignment="1">
      <alignment horizontal="right" vertical="center"/>
    </xf>
    <xf numFmtId="0" fontId="75" fillId="10" borderId="180" xfId="55" applyNumberFormat="1" applyFont="1" applyFill="1" applyBorder="1" applyAlignment="1">
      <alignment horizontal="right" vertical="center"/>
    </xf>
    <xf numFmtId="10" fontId="93" fillId="10" borderId="176" xfId="114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2" fontId="74" fillId="9" borderId="177" xfId="0" applyNumberFormat="1" applyFont="1" applyFill="1" applyBorder="1" applyAlignment="1">
      <alignment horizontal="center" vertical="center"/>
    </xf>
    <xf numFmtId="0" fontId="37" fillId="10" borderId="17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4" fillId="7" borderId="156" xfId="0" applyNumberFormat="1" applyFont="1" applyFill="1" applyBorder="1" applyAlignment="1">
      <alignment horizontal="center" vertical="center"/>
    </xf>
    <xf numFmtId="1" fontId="116" fillId="11" borderId="137" xfId="77" applyNumberFormat="1" applyFont="1" applyFill="1" applyBorder="1" applyAlignment="1">
      <alignment horizontal="center" vertical="center"/>
    </xf>
    <xf numFmtId="1" fontId="82" fillId="11" borderId="191" xfId="77" applyNumberFormat="1" applyFont="1" applyFill="1" applyBorder="1" applyAlignment="1">
      <alignment horizontal="center" vertical="center"/>
    </xf>
    <xf numFmtId="1" fontId="110" fillId="11" borderId="135" xfId="77" applyNumberFormat="1" applyFont="1" applyFill="1" applyBorder="1" applyAlignment="1">
      <alignment horizontal="center" vertical="center"/>
    </xf>
    <xf numFmtId="1" fontId="87" fillId="11" borderId="189" xfId="77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3" fontId="37" fillId="10" borderId="128" xfId="0" applyNumberFormat="1" applyFont="1" applyFill="1" applyBorder="1" applyAlignment="1">
      <alignment horizontal="right" vertical="center"/>
    </xf>
    <xf numFmtId="1" fontId="23" fillId="9" borderId="126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91" fillId="9" borderId="166" xfId="55" applyNumberFormat="1" applyFont="1" applyFill="1" applyBorder="1" applyAlignment="1">
      <alignment vertical="center"/>
    </xf>
    <xf numFmtId="2" fontId="121" fillId="9" borderId="143" xfId="55" applyNumberFormat="1" applyFont="1" applyFill="1" applyBorder="1" applyAlignment="1">
      <alignment horizontal="right" vertical="center"/>
    </xf>
    <xf numFmtId="0" fontId="122" fillId="9" borderId="142" xfId="55" applyNumberFormat="1" applyFont="1" applyFill="1" applyBorder="1" applyAlignment="1">
      <alignment horizontal="left" vertical="center"/>
    </xf>
    <xf numFmtId="2" fontId="122" fillId="9" borderId="168" xfId="0" applyNumberFormat="1" applyFont="1" applyFill="1" applyBorder="1" applyAlignment="1">
      <alignment horizontal="left" vertical="center"/>
    </xf>
    <xf numFmtId="0" fontId="74" fillId="10" borderId="9" xfId="0" applyFont="1" applyFill="1" applyBorder="1" applyAlignment="1">
      <alignment horizontal="right" vertical="center"/>
    </xf>
    <xf numFmtId="0" fontId="80" fillId="12" borderId="194" xfId="55" applyNumberFormat="1" applyFont="1" applyFill="1" applyBorder="1" applyAlignment="1">
      <alignment horizontal="center" vertical="center"/>
    </xf>
    <xf numFmtId="2" fontId="83" fillId="9" borderId="195" xfId="55" applyNumberFormat="1" applyFont="1" applyFill="1" applyBorder="1" applyAlignment="1">
      <alignment horizontal="center" vertical="center"/>
    </xf>
    <xf numFmtId="2" fontId="74" fillId="9" borderId="19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4" fillId="9" borderId="0" xfId="0" applyNumberFormat="1" applyFont="1" applyFill="1"/>
    <xf numFmtId="0" fontId="124" fillId="9" borderId="0" xfId="0" applyFont="1" applyFill="1" applyAlignment="1">
      <alignment horizontal="center"/>
    </xf>
    <xf numFmtId="1" fontId="117" fillId="11" borderId="135" xfId="77" applyNumberFormat="1" applyFont="1" applyFill="1" applyBorder="1" applyAlignment="1">
      <alignment horizontal="center" vertical="center"/>
    </xf>
    <xf numFmtId="1" fontId="126" fillId="11" borderId="135" xfId="77" applyNumberFormat="1" applyFont="1" applyFill="1" applyBorder="1" applyAlignment="1">
      <alignment horizontal="center" vertical="center"/>
    </xf>
    <xf numFmtId="1" fontId="115" fillId="11" borderId="191" xfId="77" applyNumberFormat="1" applyFont="1" applyFill="1" applyBorder="1" applyAlignment="1">
      <alignment horizontal="center" vertical="center"/>
    </xf>
    <xf numFmtId="1" fontId="117" fillId="11" borderId="189" xfId="77" applyNumberFormat="1" applyFont="1" applyFill="1" applyBorder="1" applyAlignment="1">
      <alignment horizontal="center" vertical="center"/>
    </xf>
    <xf numFmtId="1" fontId="126" fillId="11" borderId="137" xfId="77" applyNumberFormat="1" applyFont="1" applyFill="1" applyBorder="1" applyAlignment="1">
      <alignment horizontal="center" vertical="center"/>
    </xf>
    <xf numFmtId="1" fontId="115" fillId="11" borderId="137" xfId="77" applyNumberFormat="1" applyFont="1" applyFill="1" applyBorder="1" applyAlignment="1">
      <alignment horizontal="center" vertical="center"/>
    </xf>
    <xf numFmtId="0" fontId="127" fillId="9" borderId="143" xfId="55" applyNumberFormat="1" applyFont="1" applyFill="1" applyBorder="1" applyAlignment="1">
      <alignment horizontal="right" vertical="center"/>
    </xf>
    <xf numFmtId="0" fontId="127" fillId="9" borderId="175" xfId="0" applyNumberFormat="1" applyFont="1" applyFill="1" applyBorder="1" applyAlignment="1">
      <alignment horizontal="right" vertical="center"/>
    </xf>
    <xf numFmtId="0" fontId="113" fillId="10" borderId="102" xfId="0" applyFont="1" applyFill="1" applyBorder="1" applyAlignment="1">
      <alignment horizontal="right" vertical="center"/>
    </xf>
    <xf numFmtId="2" fontId="91" fillId="9" borderId="198" xfId="55" applyNumberFormat="1" applyFont="1" applyFill="1" applyBorder="1" applyAlignment="1">
      <alignment horizontal="center" vertical="center"/>
    </xf>
    <xf numFmtId="0" fontId="74" fillId="10" borderId="180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5" xfId="55" applyNumberFormat="1" applyFont="1" applyFill="1" applyBorder="1" applyAlignment="1">
      <alignment horizontal="right" vertical="center"/>
    </xf>
    <xf numFmtId="0" fontId="128" fillId="0" borderId="0" xfId="0" applyFont="1"/>
    <xf numFmtId="0" fontId="129" fillId="0" borderId="0" xfId="0" applyFont="1"/>
    <xf numFmtId="0" fontId="2" fillId="0" borderId="0" xfId="0" applyFont="1"/>
    <xf numFmtId="0" fontId="8" fillId="4" borderId="98" xfId="31" applyFont="1" applyFill="1" applyBorder="1" applyAlignment="1">
      <alignment horizontal="center"/>
    </xf>
    <xf numFmtId="0" fontId="74" fillId="10" borderId="199" xfId="0" applyFont="1" applyFill="1" applyBorder="1" applyAlignment="1">
      <alignment horizontal="right" vertical="center"/>
    </xf>
    <xf numFmtId="0" fontId="37" fillId="10" borderId="180" xfId="55" applyNumberFormat="1" applyFont="1" applyFill="1" applyBorder="1" applyAlignment="1">
      <alignment horizontal="right" vertical="center"/>
    </xf>
    <xf numFmtId="166" fontId="37" fillId="10" borderId="200" xfId="0" applyNumberFormat="1" applyFont="1" applyFill="1" applyBorder="1" applyAlignment="1">
      <alignment horizontal="center" vertical="center"/>
    </xf>
    <xf numFmtId="2" fontId="91" fillId="9" borderId="201" xfId="55" applyNumberFormat="1" applyFont="1" applyFill="1" applyBorder="1" applyAlignment="1">
      <alignment horizontal="center" vertical="center"/>
    </xf>
    <xf numFmtId="1" fontId="91" fillId="9" borderId="202" xfId="55" applyNumberFormat="1" applyFont="1" applyFill="1" applyBorder="1" applyAlignment="1">
      <alignment vertical="center"/>
    </xf>
    <xf numFmtId="2" fontId="91" fillId="9" borderId="203" xfId="55" applyNumberFormat="1" applyFont="1" applyFill="1" applyBorder="1" applyAlignment="1">
      <alignment horizontal="center" vertical="center"/>
    </xf>
    <xf numFmtId="0" fontId="131" fillId="10" borderId="111" xfId="0" applyFont="1" applyFill="1" applyBorder="1" applyAlignment="1">
      <alignment horizontal="left" vertical="center"/>
    </xf>
    <xf numFmtId="0" fontId="131" fillId="10" borderId="205" xfId="0" applyFont="1" applyFill="1" applyBorder="1" applyAlignment="1">
      <alignment horizontal="left" vertical="center"/>
    </xf>
    <xf numFmtId="0" fontId="131" fillId="10" borderId="199" xfId="0" applyFont="1" applyFill="1" applyBorder="1" applyAlignment="1">
      <alignment horizontal="left" vertical="center"/>
    </xf>
    <xf numFmtId="0" fontId="40" fillId="9" borderId="148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3" fontId="123" fillId="7" borderId="196" xfId="0" applyNumberFormat="1" applyFont="1" applyFill="1" applyBorder="1" applyAlignment="1">
      <alignment horizontal="center" vertical="center"/>
    </xf>
    <xf numFmtId="3" fontId="95" fillId="7" borderId="196" xfId="0" applyNumberFormat="1" applyFont="1" applyFill="1" applyBorder="1" applyAlignment="1">
      <alignment horizontal="center" vertical="center"/>
    </xf>
    <xf numFmtId="3" fontId="95" fillId="7" borderId="197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80" xfId="0" applyNumberFormat="1" applyFont="1" applyFill="1" applyBorder="1" applyAlignment="1">
      <alignment horizontal="right" vertical="center"/>
    </xf>
    <xf numFmtId="1" fontId="91" fillId="9" borderId="200" xfId="55" applyNumberFormat="1" applyFont="1" applyFill="1" applyBorder="1" applyAlignment="1">
      <alignment vertical="center"/>
    </xf>
    <xf numFmtId="1" fontId="82" fillId="11" borderId="206" xfId="77" applyNumberFormat="1" applyFont="1" applyFill="1" applyBorder="1" applyAlignment="1">
      <alignment horizontal="center" vertical="center"/>
    </xf>
    <xf numFmtId="0" fontId="8" fillId="4" borderId="208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  <xf numFmtId="0" fontId="59" fillId="30" borderId="34" xfId="0" applyNumberFormat="1" applyFont="1" applyFill="1" applyBorder="1" applyAlignment="1">
      <alignment horizontal="center" vertical="center"/>
    </xf>
    <xf numFmtId="0" fontId="109" fillId="32" borderId="34" xfId="0" applyNumberFormat="1" applyFont="1" applyFill="1" applyBorder="1" applyAlignment="1">
      <alignment horizontal="center" vertical="center"/>
    </xf>
    <xf numFmtId="0" fontId="60" fillId="31" borderId="34" xfId="0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91" fillId="9" borderId="211" xfId="55" applyNumberFormat="1" applyFont="1" applyFill="1" applyBorder="1" applyAlignment="1">
      <alignment horizontal="center" vertical="center"/>
    </xf>
    <xf numFmtId="0" fontId="91" fillId="9" borderId="179" xfId="55" applyNumberFormat="1" applyFont="1" applyFill="1" applyBorder="1" applyAlignment="1">
      <alignment horizontal="center" vertical="center"/>
    </xf>
    <xf numFmtId="0" fontId="91" fillId="9" borderId="212" xfId="55" applyNumberFormat="1" applyFont="1" applyFill="1" applyBorder="1" applyAlignment="1">
      <alignment horizontal="center" vertical="center"/>
    </xf>
    <xf numFmtId="0" fontId="110" fillId="9" borderId="96" xfId="55" applyNumberFormat="1" applyFont="1" applyFill="1" applyBorder="1" applyAlignment="1">
      <alignment horizontal="center" vertical="center"/>
    </xf>
    <xf numFmtId="2" fontId="31" fillId="9" borderId="213" xfId="55" applyNumberFormat="1" applyFont="1" applyFill="1" applyBorder="1" applyAlignment="1">
      <alignment vertical="center"/>
    </xf>
    <xf numFmtId="0" fontId="31" fillId="9" borderId="174" xfId="55" applyNumberFormat="1" applyFont="1" applyFill="1" applyBorder="1" applyAlignment="1">
      <alignment horizontal="center" vertical="center"/>
    </xf>
    <xf numFmtId="2" fontId="82" fillId="9" borderId="213" xfId="55" applyNumberFormat="1" applyFont="1" applyFill="1" applyBorder="1" applyAlignment="1">
      <alignment horizontal="center" vertical="center"/>
    </xf>
    <xf numFmtId="0" fontId="82" fillId="9" borderId="200" xfId="55" applyNumberFormat="1" applyFont="1" applyFill="1" applyBorder="1" applyAlignment="1">
      <alignment horizontal="center" vertical="center"/>
    </xf>
    <xf numFmtId="0" fontId="95" fillId="9" borderId="200" xfId="0" applyNumberFormat="1" applyFont="1" applyFill="1" applyBorder="1" applyAlignment="1">
      <alignment vertical="top"/>
    </xf>
    <xf numFmtId="0" fontId="95" fillId="9" borderId="148" xfId="0" applyNumberFormat="1" applyFont="1" applyFill="1" applyBorder="1" applyAlignment="1">
      <alignment vertical="top"/>
    </xf>
    <xf numFmtId="0" fontId="117" fillId="9" borderId="148" xfId="0" applyNumberFormat="1" applyFont="1" applyFill="1" applyBorder="1" applyAlignment="1">
      <alignment vertical="top"/>
    </xf>
    <xf numFmtId="0" fontId="117" fillId="9" borderId="214" xfId="0" applyNumberFormat="1" applyFont="1" applyFill="1" applyBorder="1" applyAlignment="1">
      <alignment vertical="top"/>
    </xf>
    <xf numFmtId="0" fontId="120" fillId="9" borderId="209" xfId="0" applyNumberFormat="1" applyFont="1" applyFill="1" applyBorder="1" applyAlignment="1">
      <alignment vertical="top"/>
    </xf>
    <xf numFmtId="0" fontId="120" fillId="9" borderId="214" xfId="0" applyNumberFormat="1" applyFont="1" applyFill="1" applyBorder="1" applyAlignment="1">
      <alignment vertical="top"/>
    </xf>
    <xf numFmtId="0" fontId="115" fillId="9" borderId="209" xfId="0" applyNumberFormat="1" applyFont="1" applyFill="1" applyBorder="1" applyAlignment="1">
      <alignment vertical="top"/>
    </xf>
    <xf numFmtId="0" fontId="115" fillId="9" borderId="184" xfId="0" applyNumberFormat="1" applyFont="1" applyFill="1" applyBorder="1" applyAlignment="1">
      <alignment vertical="top"/>
    </xf>
    <xf numFmtId="0" fontId="82" fillId="9" borderId="148" xfId="55" applyNumberFormat="1" applyFont="1" applyFill="1" applyBorder="1" applyAlignment="1">
      <alignment horizontal="center" vertical="center"/>
    </xf>
    <xf numFmtId="0" fontId="117" fillId="9" borderId="209" xfId="0" applyNumberFormat="1" applyFont="1" applyFill="1" applyBorder="1" applyAlignment="1">
      <alignment vertical="top"/>
    </xf>
    <xf numFmtId="0" fontId="115" fillId="9" borderId="215" xfId="0" applyNumberFormat="1" applyFont="1" applyFill="1" applyBorder="1" applyAlignment="1">
      <alignment vertical="top"/>
    </xf>
    <xf numFmtId="0" fontId="75" fillId="10" borderId="216" xfId="55" applyNumberFormat="1" applyFont="1" applyFill="1" applyBorder="1" applyAlignment="1">
      <alignment horizontal="right" vertical="center"/>
    </xf>
    <xf numFmtId="0" fontId="74" fillId="10" borderId="201" xfId="0" applyFont="1" applyFill="1" applyBorder="1" applyAlignment="1">
      <alignment horizontal="right" vertical="center"/>
    </xf>
    <xf numFmtId="0" fontId="74" fillId="10" borderId="216" xfId="0" applyFont="1" applyFill="1" applyBorder="1" applyAlignment="1">
      <alignment horizontal="right" vertical="center"/>
    </xf>
    <xf numFmtId="0" fontId="75" fillId="10" borderId="201" xfId="55" applyNumberFormat="1" applyFont="1" applyFill="1" applyBorder="1" applyAlignment="1">
      <alignment horizontal="right" vertical="center"/>
    </xf>
    <xf numFmtId="0" fontId="91" fillId="9" borderId="148" xfId="55" applyNumberFormat="1" applyFont="1" applyFill="1" applyBorder="1" applyAlignment="1">
      <alignment horizontal="center" vertical="center"/>
    </xf>
    <xf numFmtId="0" fontId="91" fillId="9" borderId="96" xfId="0" applyNumberFormat="1" applyFont="1" applyFill="1" applyBorder="1" applyAlignment="1">
      <alignment horizontal="center" vertical="center"/>
    </xf>
    <xf numFmtId="0" fontId="91" fillId="9" borderId="210" xfId="0" applyNumberFormat="1" applyFont="1" applyFill="1" applyBorder="1" applyAlignment="1">
      <alignment horizontal="center" vertical="center"/>
    </xf>
    <xf numFmtId="2" fontId="91" fillId="9" borderId="126" xfId="0" applyNumberFormat="1" applyFont="1" applyFill="1" applyBorder="1" applyAlignment="1">
      <alignment horizontal="center" vertical="center"/>
    </xf>
    <xf numFmtId="2" fontId="91" fillId="9" borderId="181" xfId="0" applyNumberFormat="1" applyFont="1" applyFill="1" applyBorder="1" applyAlignment="1">
      <alignment horizontal="center" vertical="center"/>
    </xf>
    <xf numFmtId="0" fontId="94" fillId="9" borderId="148" xfId="55" applyNumberFormat="1" applyFont="1" applyFill="1" applyBorder="1" applyAlignment="1">
      <alignment vertical="top"/>
    </xf>
    <xf numFmtId="0" fontId="94" fillId="9" borderId="214" xfId="55" applyNumberFormat="1" applyFont="1" applyFill="1" applyBorder="1" applyAlignment="1">
      <alignment vertical="top"/>
    </xf>
    <xf numFmtId="0" fontId="94" fillId="9" borderId="210" xfId="55" applyNumberFormat="1" applyFont="1" applyFill="1" applyBorder="1" applyAlignment="1">
      <alignment vertical="top"/>
    </xf>
    <xf numFmtId="0" fontId="94" fillId="9" borderId="184" xfId="55" applyNumberFormat="1" applyFont="1" applyFill="1" applyBorder="1" applyAlignment="1">
      <alignment vertical="top"/>
    </xf>
    <xf numFmtId="2" fontId="91" fillId="9" borderId="13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center" vertical="center"/>
    </xf>
    <xf numFmtId="1" fontId="83" fillId="9" borderId="214" xfId="55" applyNumberFormat="1" applyFont="1" applyFill="1" applyBorder="1" applyAlignment="1">
      <alignment horizontal="center" vertical="center"/>
    </xf>
    <xf numFmtId="1" fontId="83" fillId="9" borderId="184" xfId="55" applyNumberFormat="1" applyFont="1" applyFill="1" applyBorder="1" applyAlignment="1">
      <alignment horizontal="center" vertical="center"/>
    </xf>
    <xf numFmtId="2" fontId="97" fillId="9" borderId="148" xfId="55" applyNumberFormat="1" applyFont="1" applyFill="1" applyBorder="1" applyAlignment="1">
      <alignment horizontal="left" vertical="center"/>
    </xf>
    <xf numFmtId="2" fontId="97" fillId="9" borderId="96" xfId="0" applyNumberFormat="1" applyFont="1" applyFill="1" applyBorder="1" applyAlignment="1">
      <alignment horizontal="right" vertical="center"/>
    </xf>
    <xf numFmtId="2" fontId="98" fillId="9" borderId="210" xfId="0" applyNumberFormat="1" applyFont="1" applyFill="1" applyBorder="1" applyAlignment="1">
      <alignment horizontal="left" vertical="center"/>
    </xf>
    <xf numFmtId="2" fontId="98" fillId="9" borderId="166" xfId="0" applyNumberFormat="1" applyFont="1" applyFill="1" applyBorder="1" applyAlignment="1">
      <alignment horizontal="right" vertical="center"/>
    </xf>
    <xf numFmtId="1" fontId="99" fillId="9" borderId="148" xfId="55" applyNumberFormat="1" applyFont="1" applyFill="1" applyBorder="1" applyAlignment="1">
      <alignment horizontal="left" vertical="center"/>
    </xf>
    <xf numFmtId="1" fontId="99" fillId="9" borderId="96" xfId="0" applyNumberFormat="1" applyFont="1" applyFill="1" applyBorder="1" applyAlignment="1">
      <alignment horizontal="right" vertical="center"/>
    </xf>
    <xf numFmtId="1" fontId="99" fillId="9" borderId="210" xfId="0" applyNumberFormat="1" applyFont="1" applyFill="1" applyBorder="1" applyAlignment="1">
      <alignment horizontal="left" vertical="center"/>
    </xf>
    <xf numFmtId="1" fontId="99" fillId="9" borderId="181" xfId="0" applyNumberFormat="1" applyFont="1" applyFill="1" applyBorder="1" applyAlignment="1">
      <alignment horizontal="right" vertical="center"/>
    </xf>
    <xf numFmtId="0" fontId="94" fillId="9" borderId="209" xfId="55" applyNumberFormat="1" applyFont="1" applyFill="1" applyBorder="1" applyAlignment="1">
      <alignment vertical="top"/>
    </xf>
    <xf numFmtId="0" fontId="94" fillId="9" borderId="169" xfId="55" applyNumberFormat="1" applyFont="1" applyFill="1" applyBorder="1" applyAlignment="1">
      <alignment vertical="top"/>
    </xf>
    <xf numFmtId="0" fontId="95" fillId="9" borderId="174" xfId="0" applyNumberFormat="1" applyFont="1" applyFill="1" applyBorder="1" applyAlignment="1">
      <alignment vertical="top"/>
    </xf>
    <xf numFmtId="0" fontId="95" fillId="9" borderId="210" xfId="0" applyNumberFormat="1" applyFont="1" applyFill="1" applyBorder="1" applyAlignment="1">
      <alignment vertical="top"/>
    </xf>
    <xf numFmtId="0" fontId="95" fillId="9" borderId="184" xfId="0" applyNumberFormat="1" applyFont="1" applyFill="1" applyBorder="1" applyAlignment="1">
      <alignment vertical="top"/>
    </xf>
    <xf numFmtId="0" fontId="40" fillId="9" borderId="209" xfId="0" applyNumberFormat="1" applyFont="1" applyFill="1" applyBorder="1" applyAlignment="1">
      <alignment horizontal="right" vertical="center"/>
    </xf>
    <xf numFmtId="0" fontId="40" fillId="9" borderId="174" xfId="0" applyNumberFormat="1" applyFont="1" applyFill="1" applyBorder="1" applyAlignment="1">
      <alignment horizontal="right" vertical="center"/>
    </xf>
    <xf numFmtId="0" fontId="40" fillId="9" borderId="210" xfId="0" applyNumberFormat="1" applyFont="1" applyFill="1" applyBorder="1" applyAlignment="1">
      <alignment horizontal="right" vertical="center"/>
    </xf>
    <xf numFmtId="0" fontId="40" fillId="9" borderId="184" xfId="0" applyNumberFormat="1" applyFont="1" applyFill="1" applyBorder="1" applyAlignment="1">
      <alignment horizontal="right" vertical="center"/>
    </xf>
    <xf numFmtId="0" fontId="40" fillId="9" borderId="148" xfId="0" applyNumberFormat="1" applyFont="1" applyFill="1" applyBorder="1" applyAlignment="1">
      <alignment horizontal="right" vertical="center"/>
    </xf>
    <xf numFmtId="0" fontId="94" fillId="9" borderId="215" xfId="55" applyNumberFormat="1" applyFont="1" applyFill="1" applyBorder="1" applyAlignment="1">
      <alignment vertical="top"/>
    </xf>
    <xf numFmtId="0" fontId="94" fillId="9" borderId="166" xfId="55" applyNumberFormat="1" applyFont="1" applyFill="1" applyBorder="1" applyAlignment="1">
      <alignment vertical="top"/>
    </xf>
    <xf numFmtId="0" fontId="91" fillId="9" borderId="215" xfId="55" applyNumberFormat="1" applyFont="1" applyFill="1" applyBorder="1" applyAlignment="1">
      <alignment vertical="center"/>
    </xf>
    <xf numFmtId="0" fontId="91" fillId="9" borderId="214" xfId="55" applyNumberFormat="1" applyFont="1" applyFill="1" applyBorder="1" applyAlignment="1">
      <alignment vertical="center"/>
    </xf>
    <xf numFmtId="0" fontId="91" fillId="9" borderId="210" xfId="55" applyNumberFormat="1" applyFont="1" applyFill="1" applyBorder="1" applyAlignment="1">
      <alignment vertical="center"/>
    </xf>
    <xf numFmtId="0" fontId="91" fillId="9" borderId="148" xfId="55" applyNumberFormat="1" applyFont="1" applyFill="1" applyBorder="1" applyAlignment="1">
      <alignment vertical="center"/>
    </xf>
    <xf numFmtId="0" fontId="91" fillId="9" borderId="184" xfId="55" applyNumberFormat="1" applyFont="1" applyFill="1" applyBorder="1" applyAlignment="1">
      <alignment vertical="center"/>
    </xf>
    <xf numFmtId="0" fontId="91" fillId="9" borderId="148" xfId="0" applyNumberFormat="1" applyFont="1" applyFill="1" applyBorder="1" applyAlignment="1">
      <alignment vertical="center"/>
    </xf>
    <xf numFmtId="0" fontId="91" fillId="9" borderId="174" xfId="0" applyNumberFormat="1" applyFont="1" applyFill="1" applyBorder="1" applyAlignment="1">
      <alignment vertical="center"/>
    </xf>
    <xf numFmtId="0" fontId="91" fillId="9" borderId="210" xfId="0" applyNumberFormat="1" applyFont="1" applyFill="1" applyBorder="1" applyAlignment="1">
      <alignment vertical="center"/>
    </xf>
    <xf numFmtId="0" fontId="40" fillId="9" borderId="174" xfId="0" applyNumberFormat="1" applyFont="1" applyFill="1" applyBorder="1" applyAlignment="1">
      <alignment vertical="center"/>
    </xf>
    <xf numFmtId="0" fontId="40" fillId="9" borderId="210" xfId="0" applyNumberFormat="1" applyFont="1" applyFill="1" applyBorder="1" applyAlignment="1">
      <alignment vertical="center"/>
    </xf>
    <xf numFmtId="0" fontId="40" fillId="9" borderId="184" xfId="0" applyNumberFormat="1" applyFont="1" applyFill="1" applyBorder="1" applyAlignment="1">
      <alignment vertical="center"/>
    </xf>
    <xf numFmtId="0" fontId="110" fillId="9" borderId="209" xfId="0" applyNumberFormat="1" applyFont="1" applyFill="1" applyBorder="1" applyAlignment="1">
      <alignment vertical="center"/>
    </xf>
    <xf numFmtId="0" fontId="117" fillId="9" borderId="174" xfId="0" applyNumberFormat="1" applyFont="1" applyFill="1" applyBorder="1" applyAlignment="1">
      <alignment vertical="top"/>
    </xf>
    <xf numFmtId="0" fontId="31" fillId="9" borderId="148" xfId="0" applyNumberFormat="1" applyFont="1" applyFill="1" applyBorder="1" applyAlignment="1">
      <alignment vertical="center"/>
    </xf>
    <xf numFmtId="2" fontId="119" fillId="9" borderId="174" xfId="0" applyNumberFormat="1" applyFont="1" applyFill="1" applyBorder="1" applyAlignment="1">
      <alignment vertical="center"/>
    </xf>
    <xf numFmtId="0" fontId="82" fillId="9" borderId="148" xfId="0" applyNumberFormat="1" applyFont="1" applyFill="1" applyBorder="1" applyAlignment="1">
      <alignment vertical="center"/>
    </xf>
    <xf numFmtId="2" fontId="83" fillId="9" borderId="184" xfId="0" applyNumberFormat="1" applyFont="1" applyFill="1" applyBorder="1" applyAlignment="1">
      <alignment horizontal="center" vertical="top"/>
    </xf>
    <xf numFmtId="0" fontId="110" fillId="9" borderId="148" xfId="0" applyNumberFormat="1" applyFont="1" applyFill="1" applyBorder="1" applyAlignment="1">
      <alignment vertical="center"/>
    </xf>
    <xf numFmtId="2" fontId="118" fillId="9" borderId="184" xfId="0" applyNumberFormat="1" applyFont="1" applyFill="1" applyBorder="1" applyAlignment="1">
      <alignment vertical="center"/>
    </xf>
    <xf numFmtId="2" fontId="130" fillId="9" borderId="184" xfId="0" applyNumberFormat="1" applyFont="1" applyFill="1" applyBorder="1" applyAlignment="1">
      <alignment vertical="center"/>
    </xf>
    <xf numFmtId="2" fontId="118" fillId="9" borderId="215" xfId="0" applyNumberFormat="1" applyFont="1" applyFill="1" applyBorder="1" applyAlignment="1">
      <alignment vertical="center"/>
    </xf>
    <xf numFmtId="1" fontId="116" fillId="11" borderId="135" xfId="77" applyNumberFormat="1" applyFont="1" applyFill="1" applyBorder="1" applyAlignment="1">
      <alignment horizontal="center" vertical="center"/>
    </xf>
    <xf numFmtId="0" fontId="8" fillId="4" borderId="217" xfId="31" applyFont="1" applyFill="1" applyBorder="1" applyAlignment="1">
      <alignment horizontal="center"/>
    </xf>
    <xf numFmtId="1" fontId="40" fillId="9" borderId="210" xfId="0" applyNumberFormat="1" applyFont="1" applyFill="1" applyBorder="1" applyAlignment="1">
      <alignment horizontal="right" vertical="center"/>
    </xf>
    <xf numFmtId="0" fontId="94" fillId="9" borderId="148" xfId="0" applyNumberFormat="1" applyFont="1" applyFill="1" applyBorder="1" applyAlignment="1">
      <alignment horizontal="center" vertical="top"/>
    </xf>
    <xf numFmtId="0" fontId="94" fillId="9" borderId="103" xfId="0" applyNumberFormat="1" applyFont="1" applyFill="1" applyBorder="1" applyAlignment="1">
      <alignment horizontal="center" vertical="top"/>
    </xf>
    <xf numFmtId="0" fontId="94" fillId="9" borderId="177" xfId="0" applyNumberFormat="1" applyFont="1" applyFill="1" applyBorder="1" applyAlignment="1">
      <alignment horizontal="center" vertical="top"/>
    </xf>
    <xf numFmtId="0" fontId="132" fillId="9" borderId="100" xfId="0" applyFont="1" applyFill="1" applyBorder="1" applyAlignment="1">
      <alignment horizontal="center" vertical="center"/>
    </xf>
    <xf numFmtId="0" fontId="132" fillId="9" borderId="105" xfId="0" applyFont="1" applyFill="1" applyBorder="1" applyAlignment="1">
      <alignment horizontal="center" vertical="center"/>
    </xf>
    <xf numFmtId="0" fontId="132" fillId="9" borderId="176" xfId="0" applyFont="1" applyFill="1" applyBorder="1" applyAlignment="1">
      <alignment horizontal="center" vertical="center"/>
    </xf>
    <xf numFmtId="0" fontId="132" fillId="9" borderId="97" xfId="0" applyFont="1" applyFill="1" applyBorder="1" applyAlignment="1">
      <alignment horizontal="center" vertical="center"/>
    </xf>
    <xf numFmtId="0" fontId="132" fillId="9" borderId="178" xfId="0" applyFont="1" applyFill="1" applyBorder="1" applyAlignment="1">
      <alignment horizontal="center" vertical="center"/>
    </xf>
    <xf numFmtId="0" fontId="132" fillId="9" borderId="180" xfId="0" applyFont="1" applyFill="1" applyBorder="1" applyAlignment="1">
      <alignment horizontal="center" vertical="center"/>
    </xf>
    <xf numFmtId="0" fontId="132" fillId="9" borderId="108" xfId="0" applyFont="1" applyFill="1" applyBorder="1" applyAlignment="1">
      <alignment horizontal="center" vertical="center"/>
    </xf>
    <xf numFmtId="0" fontId="132" fillId="9" borderId="99" xfId="0" applyFont="1" applyFill="1" applyBorder="1" applyAlignment="1">
      <alignment horizontal="center" vertical="center"/>
    </xf>
    <xf numFmtId="0" fontId="95" fillId="9" borderId="3" xfId="0" applyNumberFormat="1" applyFont="1" applyFill="1" applyBorder="1" applyAlignment="1">
      <alignment horizontal="center"/>
    </xf>
    <xf numFmtId="0" fontId="95" fillId="9" borderId="105" xfId="0" applyNumberFormat="1" applyFont="1" applyFill="1" applyBorder="1" applyAlignment="1">
      <alignment horizontal="center"/>
    </xf>
    <xf numFmtId="0" fontId="95" fillId="9" borderId="96" xfId="0" applyNumberFormat="1" applyFont="1" applyFill="1" applyBorder="1" applyAlignment="1">
      <alignment horizontal="center"/>
    </xf>
    <xf numFmtId="0" fontId="95" fillId="9" borderId="107" xfId="0" applyNumberFormat="1" applyFont="1" applyFill="1" applyBorder="1" applyAlignment="1">
      <alignment horizontal="center"/>
    </xf>
    <xf numFmtId="0" fontId="95" fillId="9" borderId="109" xfId="0" applyNumberFormat="1" applyFont="1" applyFill="1" applyBorder="1" applyAlignment="1">
      <alignment horizontal="center"/>
    </xf>
    <xf numFmtId="0" fontId="95" fillId="9" borderId="177" xfId="0" applyNumberFormat="1" applyFont="1" applyFill="1" applyBorder="1" applyAlignment="1">
      <alignment horizontal="center"/>
    </xf>
    <xf numFmtId="0" fontId="95" fillId="9" borderId="204" xfId="0" applyNumberFormat="1" applyFont="1" applyFill="1" applyBorder="1" applyAlignment="1">
      <alignment horizontal="center"/>
    </xf>
    <xf numFmtId="0" fontId="95" fillId="9" borderId="104" xfId="0" applyNumberFormat="1" applyFont="1" applyFill="1" applyBorder="1" applyAlignment="1">
      <alignment horizontal="center"/>
    </xf>
    <xf numFmtId="0" fontId="133" fillId="9" borderId="3" xfId="0" applyNumberFormat="1" applyFont="1" applyFill="1" applyBorder="1" applyAlignment="1">
      <alignment horizontal="center"/>
    </xf>
    <xf numFmtId="0" fontId="133" fillId="9" borderId="96" xfId="0" applyNumberFormat="1" applyFont="1" applyFill="1" applyBorder="1" applyAlignment="1">
      <alignment horizontal="center"/>
    </xf>
    <xf numFmtId="0" fontId="133" fillId="9" borderId="109" xfId="0" applyNumberFormat="1" applyFont="1" applyFill="1" applyBorder="1" applyAlignment="1">
      <alignment horizontal="center"/>
    </xf>
    <xf numFmtId="0" fontId="133" fillId="9" borderId="204" xfId="0" applyNumberFormat="1" applyFont="1" applyFill="1" applyBorder="1" applyAlignment="1">
      <alignment horizontal="center"/>
    </xf>
    <xf numFmtId="4" fontId="114" fillId="7" borderId="156" xfId="0" applyNumberFormat="1" applyFont="1" applyFill="1" applyBorder="1" applyAlignment="1">
      <alignment horizontal="center" vertical="center"/>
    </xf>
    <xf numFmtId="3" fontId="25" fillId="7" borderId="197" xfId="0" applyNumberFormat="1" applyFont="1" applyFill="1" applyBorder="1" applyAlignment="1">
      <alignment horizontal="center" vertical="center"/>
    </xf>
    <xf numFmtId="170" fontId="25" fillId="7" borderId="207" xfId="0" applyNumberFormat="1" applyFont="1" applyFill="1" applyBorder="1" applyAlignment="1">
      <alignment vertical="center"/>
    </xf>
    <xf numFmtId="0" fontId="125" fillId="0" borderId="3" xfId="0" applyFont="1" applyBorder="1" applyAlignment="1">
      <alignment horizontal="center"/>
    </xf>
    <xf numFmtId="2" fontId="83" fillId="9" borderId="158" xfId="0" applyNumberFormat="1" applyFont="1" applyFill="1" applyBorder="1" applyAlignment="1">
      <alignment horizontal="center" vertical="center"/>
    </xf>
    <xf numFmtId="2" fontId="83" fillId="9" borderId="159" xfId="0" applyNumberFormat="1" applyFont="1" applyFill="1" applyBorder="1" applyAlignment="1">
      <alignment horizontal="center" vertical="center"/>
    </xf>
    <xf numFmtId="2" fontId="83" fillId="9" borderId="157" xfId="0" applyNumberFormat="1" applyFont="1" applyFill="1" applyBorder="1" applyAlignment="1">
      <alignment horizontal="center" vertical="center"/>
    </xf>
    <xf numFmtId="2" fontId="83" fillId="9" borderId="187" xfId="0" applyNumberFormat="1" applyFont="1" applyFill="1" applyBorder="1" applyAlignment="1">
      <alignment horizontal="center" vertical="center"/>
    </xf>
    <xf numFmtId="2" fontId="83" fillId="9" borderId="167" xfId="0" applyNumberFormat="1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76" xfId="0" applyFont="1" applyFill="1" applyBorder="1" applyAlignment="1">
      <alignment horizontal="center" vertical="center"/>
    </xf>
    <xf numFmtId="0" fontId="36" fillId="9" borderId="151" xfId="0" applyFont="1" applyFill="1" applyBorder="1" applyAlignment="1">
      <alignment horizontal="center" vertical="center"/>
    </xf>
    <xf numFmtId="0" fontId="36" fillId="9" borderId="176" xfId="0" applyFont="1" applyFill="1" applyBorder="1" applyAlignment="1">
      <alignment horizontal="center" vertical="center"/>
    </xf>
    <xf numFmtId="2" fontId="83" fillId="9" borderId="170" xfId="0" applyNumberFormat="1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4" fillId="38" borderId="71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8" borderId="71" xfId="0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2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M34" sqref="M3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4.140625" style="34" customWidth="1"/>
    <col min="20" max="20" width="4" style="11" bestFit="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36" bestFit="1" customWidth="1"/>
    <col min="25" max="25" width="9" style="412" bestFit="1" customWidth="1"/>
    <col min="26" max="26" width="10.28515625" style="41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62" t="s">
        <v>126</v>
      </c>
      <c r="B1" s="663" t="s">
        <v>337</v>
      </c>
      <c r="C1" s="662" t="s">
        <v>306</v>
      </c>
      <c r="D1" s="662" t="s">
        <v>307</v>
      </c>
      <c r="E1" s="663" t="s">
        <v>338</v>
      </c>
      <c r="F1" s="662" t="s">
        <v>127</v>
      </c>
      <c r="G1" s="663" t="s">
        <v>304</v>
      </c>
      <c r="H1" s="663" t="s">
        <v>128</v>
      </c>
      <c r="I1" s="663" t="s">
        <v>129</v>
      </c>
      <c r="J1" s="663" t="s">
        <v>130</v>
      </c>
      <c r="K1" s="663" t="s">
        <v>308</v>
      </c>
      <c r="L1" s="663" t="s">
        <v>305</v>
      </c>
      <c r="M1" s="663" t="s">
        <v>131</v>
      </c>
      <c r="N1" s="663" t="s">
        <v>132</v>
      </c>
      <c r="O1" s="663" t="s">
        <v>133</v>
      </c>
      <c r="P1" s="664"/>
      <c r="Q1" s="781" t="s">
        <v>646</v>
      </c>
      <c r="R1" s="782">
        <v>0.05</v>
      </c>
      <c r="S1" s="611" t="s">
        <v>646</v>
      </c>
      <c r="T1" s="780" t="s">
        <v>646</v>
      </c>
      <c r="U1" s="404">
        <v>0</v>
      </c>
      <c r="V1" s="356">
        <v>0</v>
      </c>
      <c r="W1" s="269">
        <v>1</v>
      </c>
      <c r="X1" s="270">
        <f>W1</f>
        <v>1</v>
      </c>
      <c r="Y1" s="555">
        <v>120000</v>
      </c>
      <c r="Z1" s="603">
        <v>100</v>
      </c>
      <c r="AA1" s="556">
        <v>100</v>
      </c>
      <c r="AB1" s="411">
        <f>Y1*($AE$1*$AD$1)</f>
        <v>1746.7397260273974</v>
      </c>
      <c r="AC1" s="38">
        <f>AD1</f>
        <v>6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2.426027397260274E-3</v>
      </c>
      <c r="AF1" s="371" t="s">
        <v>315</v>
      </c>
      <c r="AG1" s="371" t="s">
        <v>316</v>
      </c>
      <c r="AH1" s="371" t="s">
        <v>317</v>
      </c>
      <c r="AI1" s="371" t="s">
        <v>318</v>
      </c>
      <c r="AJ1" s="372" t="s">
        <v>313</v>
      </c>
      <c r="AK1" s="370" t="s">
        <v>314</v>
      </c>
      <c r="AL1" s="271" t="s">
        <v>312</v>
      </c>
    </row>
    <row r="2" spans="1:43" ht="12.75" hidden="1" customHeight="1">
      <c r="A2" s="622" t="str">
        <f>IF(A22&lt;&gt;"",A22,"")</f>
        <v>GD30D - spot</v>
      </c>
      <c r="B2" s="429">
        <f t="shared" ref="B2:B29" si="0">IF(A2&lt;&gt;"",VLOOKUP($A2,$A$58:$N$169,2,0),"")</f>
        <v>3000</v>
      </c>
      <c r="C2" s="421">
        <f t="shared" ref="C2:C29" si="1">IF(A2&lt;&gt;"",VLOOKUP($A2,$A$54:$N$169,3,0),"")</f>
        <v>43.59</v>
      </c>
      <c r="D2" s="329">
        <f t="shared" ref="D2:D29" si="2">IF(A2&lt;&gt;"",VLOOKUP($A2,$A$54:$N$169,4,0),"")</f>
        <v>43.9</v>
      </c>
      <c r="E2" s="420">
        <f t="shared" ref="E2:E29" si="3">IF(A2&lt;&gt;"",VLOOKUP($A2,$A$54:$N$169,5,0),"")</f>
        <v>50738</v>
      </c>
      <c r="F2" s="369">
        <f t="shared" ref="F2:F29" si="4">IF($A2&lt;&gt;"",VLOOKUP($A2,$A$54:$N$169,6,0),"")</f>
        <v>43.78</v>
      </c>
      <c r="G2" s="431">
        <f t="shared" ref="G2:G29" si="5">IF($A2&lt;&gt;"",VLOOKUP($A2,$A$54:$N$169,7,0),"")</f>
        <v>-1.1699999999999999E-2</v>
      </c>
      <c r="H2" s="307">
        <f t="shared" ref="H2:H29" si="6">IF($A2&lt;&gt;"",VLOOKUP($A2,$A$54:$N$169,8,0),"")</f>
        <v>44.298999999999999</v>
      </c>
      <c r="I2" s="299">
        <f t="shared" ref="I2:I29" si="7">IF($A2&lt;&gt;"",VLOOKUP($A2,$A$54:$N$169,9,0),"")</f>
        <v>44.98</v>
      </c>
      <c r="J2" s="385">
        <f t="shared" ref="J2:J29" si="8">IF($A2&lt;&gt;"",VLOOKUP($A2,$A$54:$N$169,10,0),"")</f>
        <v>43.5</v>
      </c>
      <c r="K2" s="303">
        <f t="shared" ref="K2:K29" si="9">IF($A2&lt;&gt;"",VLOOKUP($A2,$A$54:$N$169,11,0),"")</f>
        <v>44.3</v>
      </c>
      <c r="L2" s="330">
        <f t="shared" ref="L2:L29" si="10">IF($A2&lt;&gt;"",VLOOKUP($A2,$A$54:$N$169,12,0),"")</f>
        <v>3144405</v>
      </c>
      <c r="M2" s="303">
        <f t="shared" ref="M2:M29" si="11">IF($A2&lt;&gt;"",VLOOKUP($A2,$A$54:$N$169,13,0),"")</f>
        <v>7152671</v>
      </c>
      <c r="N2" s="330">
        <f t="shared" ref="N2:N29" si="12">IF($A2&lt;&gt;"",VLOOKUP($A2,$A$54:$N$169,14,0),"")</f>
        <v>4660</v>
      </c>
      <c r="O2" s="378">
        <f t="shared" ref="O2:O29" si="13">IF($A2&lt;&gt;"",VLOOKUP($A2,$A$54:$O$169,15,0),"")</f>
        <v>45331.687627314815</v>
      </c>
      <c r="P2" s="390">
        <v>1</v>
      </c>
      <c r="Q2" s="542">
        <v>0</v>
      </c>
      <c r="R2" s="535">
        <v>0</v>
      </c>
      <c r="S2" s="365">
        <v>0</v>
      </c>
      <c r="T2" s="322">
        <v>0</v>
      </c>
      <c r="U2" s="352">
        <v>0</v>
      </c>
      <c r="V2" s="409">
        <v>0</v>
      </c>
      <c r="W2" s="733">
        <v>0</v>
      </c>
      <c r="X2" s="731">
        <v>0</v>
      </c>
      <c r="Y2" s="700">
        <f>IFERROR(IF($Y$1&lt;&gt;"",INT($Y$1/(D5/100)),100),100)</f>
        <v>236</v>
      </c>
      <c r="Z2" s="508">
        <f>IFERROR($C2*(1-$V$1)/100*$Y2,"")</f>
        <v>102.8724</v>
      </c>
      <c r="AA2" s="784">
        <f>IFERROR($Z2-$Z3,"")</f>
        <v>5.6400000000010664E-2</v>
      </c>
      <c r="AD2" s="395" t="s">
        <v>319</v>
      </c>
      <c r="AE2" s="401">
        <v>45332</v>
      </c>
      <c r="AF2" s="393"/>
      <c r="AG2" s="394"/>
      <c r="AH2" s="394"/>
      <c r="AI2" s="393"/>
      <c r="AJ2" s="398"/>
      <c r="AK2" s="393"/>
      <c r="AN2" t="s">
        <v>634</v>
      </c>
    </row>
    <row r="3" spans="1:43" ht="12.75" hidden="1" customHeight="1">
      <c r="A3" s="621" t="s">
        <v>14</v>
      </c>
      <c r="B3" s="422">
        <f t="shared" si="0"/>
        <v>124211</v>
      </c>
      <c r="C3" s="419">
        <f t="shared" si="1"/>
        <v>40.6</v>
      </c>
      <c r="D3" s="423">
        <f t="shared" si="2"/>
        <v>40.799999999999997</v>
      </c>
      <c r="E3" s="427">
        <f t="shared" si="3"/>
        <v>174311</v>
      </c>
      <c r="F3" s="310">
        <f t="shared" si="4"/>
        <v>40.799999999999997</v>
      </c>
      <c r="G3" s="432">
        <f t="shared" si="5"/>
        <v>-4.0000000000000002E-4</v>
      </c>
      <c r="H3" s="306">
        <f t="shared" si="6"/>
        <v>40.6</v>
      </c>
      <c r="I3" s="297">
        <f t="shared" si="7"/>
        <v>40.999000000000002</v>
      </c>
      <c r="J3" s="382">
        <f t="shared" si="8"/>
        <v>40.549999999999997</v>
      </c>
      <c r="K3" s="301">
        <f t="shared" si="9"/>
        <v>40.82</v>
      </c>
      <c r="L3" s="304">
        <f t="shared" si="10"/>
        <v>39604362</v>
      </c>
      <c r="M3" s="301">
        <f t="shared" si="11"/>
        <v>97048244</v>
      </c>
      <c r="N3" s="304">
        <f t="shared" si="12"/>
        <v>48328</v>
      </c>
      <c r="O3" s="379">
        <f t="shared" si="13"/>
        <v>45331.687708333331</v>
      </c>
      <c r="P3" s="389">
        <v>2</v>
      </c>
      <c r="Q3" s="342">
        <v>0</v>
      </c>
      <c r="R3" s="536">
        <v>0</v>
      </c>
      <c r="S3" s="362">
        <v>0</v>
      </c>
      <c r="T3" s="321">
        <v>0</v>
      </c>
      <c r="U3" s="353">
        <v>0</v>
      </c>
      <c r="V3" s="410">
        <v>0</v>
      </c>
      <c r="W3" s="734">
        <v>0</v>
      </c>
      <c r="X3" s="706">
        <v>0</v>
      </c>
      <c r="Y3" s="701">
        <f>IFERROR(INT($Z2/($D3*(1+$V$1)/100)),0)</f>
        <v>252</v>
      </c>
      <c r="Z3" s="509">
        <f>$D3/100*INT($Y3)</f>
        <v>102.81599999999999</v>
      </c>
      <c r="AA3" s="785"/>
      <c r="AD3" s="49" t="s">
        <v>320</v>
      </c>
      <c r="AE3" s="402">
        <v>45333</v>
      </c>
      <c r="AF3" s="48"/>
      <c r="AG3" s="52"/>
      <c r="AH3" s="52"/>
      <c r="AI3" s="48"/>
      <c r="AJ3" s="399"/>
      <c r="AK3" s="48"/>
      <c r="AN3" t="s">
        <v>635</v>
      </c>
    </row>
    <row r="4" spans="1:43" ht="12.75" hidden="1" customHeight="1">
      <c r="A4" s="450" t="s">
        <v>13</v>
      </c>
      <c r="B4" s="429">
        <f t="shared" si="0"/>
        <v>1292</v>
      </c>
      <c r="C4" s="421">
        <f t="shared" si="1"/>
        <v>46900</v>
      </c>
      <c r="D4" s="418">
        <f t="shared" si="2"/>
        <v>46905</v>
      </c>
      <c r="E4" s="424">
        <f t="shared" si="3"/>
        <v>200</v>
      </c>
      <c r="F4" s="369">
        <f t="shared" si="4"/>
        <v>46900</v>
      </c>
      <c r="G4" s="431">
        <f t="shared" si="5"/>
        <v>-2.1700000000000001E-2</v>
      </c>
      <c r="H4" s="307">
        <f t="shared" si="6"/>
        <v>49375</v>
      </c>
      <c r="I4" s="299">
        <f t="shared" si="7"/>
        <v>49375</v>
      </c>
      <c r="J4" s="385">
        <f t="shared" si="8"/>
        <v>46810</v>
      </c>
      <c r="K4" s="303">
        <f t="shared" si="9"/>
        <v>47945</v>
      </c>
      <c r="L4" s="330">
        <f t="shared" si="10"/>
        <v>63258598812</v>
      </c>
      <c r="M4" s="303">
        <f t="shared" si="11"/>
        <v>132410733</v>
      </c>
      <c r="N4" s="330">
        <f t="shared" si="12"/>
        <v>58987</v>
      </c>
      <c r="O4" s="378">
        <f t="shared" si="13"/>
        <v>45331.687511574077</v>
      </c>
      <c r="P4" s="390">
        <v>3</v>
      </c>
      <c r="Q4" s="345">
        <v>0</v>
      </c>
      <c r="R4" s="535">
        <v>0</v>
      </c>
      <c r="S4" s="365">
        <v>0</v>
      </c>
      <c r="T4" s="322">
        <v>0</v>
      </c>
      <c r="U4" s="352">
        <v>0</v>
      </c>
      <c r="V4" s="409">
        <v>0</v>
      </c>
      <c r="W4" s="735">
        <v>0</v>
      </c>
      <c r="X4" s="707">
        <v>0</v>
      </c>
      <c r="Y4" s="702">
        <f t="shared" ref="Y4:Y12" si="14">Y3</f>
        <v>252</v>
      </c>
      <c r="Z4" s="416">
        <f>$C4*(1-$V$1)/100*INT($Y4)</f>
        <v>118188</v>
      </c>
      <c r="AA4" s="786">
        <f>IFERROR($Z4-$Z5,"")</f>
        <v>33.69999999999709</v>
      </c>
      <c r="AD4" s="395" t="s">
        <v>321</v>
      </c>
      <c r="AE4" s="402">
        <v>45334</v>
      </c>
      <c r="AF4" s="393"/>
      <c r="AG4" s="394"/>
      <c r="AH4" s="394"/>
      <c r="AI4" s="393"/>
      <c r="AJ4" s="398"/>
      <c r="AK4" s="393"/>
      <c r="AL4" s="47"/>
      <c r="AN4" s="649" t="s">
        <v>636</v>
      </c>
    </row>
    <row r="5" spans="1:43" ht="12.75" hidden="1" customHeight="1">
      <c r="A5" s="623" t="str">
        <f>IF(A2&lt;&gt;"",Z22,"")</f>
        <v>GD30 - spot</v>
      </c>
      <c r="B5" s="440">
        <f t="shared" si="0"/>
        <v>1988</v>
      </c>
      <c r="C5" s="441">
        <f t="shared" si="1"/>
        <v>50300</v>
      </c>
      <c r="D5" s="442">
        <f t="shared" si="2"/>
        <v>50710</v>
      </c>
      <c r="E5" s="443">
        <f t="shared" si="3"/>
        <v>30350</v>
      </c>
      <c r="F5" s="444">
        <f t="shared" si="4"/>
        <v>50400</v>
      </c>
      <c r="G5" s="445">
        <f t="shared" si="5"/>
        <v>-2.6200000000000001E-2</v>
      </c>
      <c r="H5" s="331">
        <f t="shared" si="6"/>
        <v>52430</v>
      </c>
      <c r="I5" s="332">
        <f t="shared" si="7"/>
        <v>53000</v>
      </c>
      <c r="J5" s="387">
        <f t="shared" si="8"/>
        <v>50130</v>
      </c>
      <c r="K5" s="333">
        <f t="shared" si="9"/>
        <v>51760</v>
      </c>
      <c r="L5" s="336">
        <f t="shared" si="10"/>
        <v>8199152744</v>
      </c>
      <c r="M5" s="333">
        <f t="shared" si="11"/>
        <v>15959159</v>
      </c>
      <c r="N5" s="617">
        <f t="shared" si="12"/>
        <v>7035</v>
      </c>
      <c r="O5" s="381">
        <f t="shared" si="13"/>
        <v>45331.687743055554</v>
      </c>
      <c r="P5" s="447">
        <v>4</v>
      </c>
      <c r="Q5" s="344">
        <v>0</v>
      </c>
      <c r="R5" s="618">
        <v>0</v>
      </c>
      <c r="S5" s="368">
        <v>0</v>
      </c>
      <c r="T5" s="619">
        <v>0</v>
      </c>
      <c r="U5" s="554">
        <v>0</v>
      </c>
      <c r="V5" s="410">
        <v>0</v>
      </c>
      <c r="W5" s="620">
        <v>0</v>
      </c>
      <c r="X5" s="732">
        <v>0</v>
      </c>
      <c r="Y5" s="703">
        <f>IFERROR($Z4/($D5*(1+$V$1)/100),0)</f>
        <v>233.0664563202524</v>
      </c>
      <c r="Z5" s="449">
        <f>IFERROR($D5/100*INT($Y5),"")</f>
        <v>118154.3</v>
      </c>
      <c r="AA5" s="788"/>
      <c r="AD5" s="49" t="s">
        <v>322</v>
      </c>
      <c r="AE5" s="402">
        <v>45335</v>
      </c>
      <c r="AF5" s="48"/>
      <c r="AG5" s="52"/>
      <c r="AH5" s="52"/>
      <c r="AI5" s="48"/>
      <c r="AJ5" s="399"/>
      <c r="AK5" s="48"/>
      <c r="AL5" s="47"/>
      <c r="AN5" t="s">
        <v>637</v>
      </c>
    </row>
    <row r="6" spans="1:43" ht="12.75" hidden="1" customHeight="1">
      <c r="A6" s="417" t="str">
        <f>IF(A22&lt;&gt;"",A22,"")</f>
        <v>GD30D - spot</v>
      </c>
      <c r="B6" s="429">
        <f t="shared" si="0"/>
        <v>3000</v>
      </c>
      <c r="C6" s="421">
        <f t="shared" si="1"/>
        <v>43.59</v>
      </c>
      <c r="D6" s="329">
        <f t="shared" si="2"/>
        <v>43.9</v>
      </c>
      <c r="E6" s="420">
        <f t="shared" si="3"/>
        <v>50738</v>
      </c>
      <c r="F6" s="369">
        <f t="shared" si="4"/>
        <v>43.78</v>
      </c>
      <c r="G6" s="431">
        <f t="shared" si="5"/>
        <v>-1.1699999999999999E-2</v>
      </c>
      <c r="H6" s="305">
        <f t="shared" si="6"/>
        <v>44.298999999999999</v>
      </c>
      <c r="I6" s="296">
        <f t="shared" si="7"/>
        <v>44.98</v>
      </c>
      <c r="J6" s="383">
        <f t="shared" si="8"/>
        <v>43.5</v>
      </c>
      <c r="K6" s="300">
        <f t="shared" si="9"/>
        <v>44.3</v>
      </c>
      <c r="L6" s="338">
        <f t="shared" si="10"/>
        <v>3144405</v>
      </c>
      <c r="M6" s="300">
        <f t="shared" si="11"/>
        <v>7152671</v>
      </c>
      <c r="N6" s="338">
        <f t="shared" si="12"/>
        <v>4660</v>
      </c>
      <c r="O6" s="374">
        <f t="shared" si="13"/>
        <v>45331.687627314815</v>
      </c>
      <c r="P6" s="390">
        <v>5</v>
      </c>
      <c r="Q6" s="543">
        <v>0</v>
      </c>
      <c r="R6" s="537">
        <v>0</v>
      </c>
      <c r="S6" s="363">
        <v>0</v>
      </c>
      <c r="T6" s="315">
        <v>0</v>
      </c>
      <c r="U6" s="553">
        <v>0</v>
      </c>
      <c r="V6" s="409">
        <v>0</v>
      </c>
      <c r="W6" s="736">
        <v>0</v>
      </c>
      <c r="X6" s="705">
        <v>0</v>
      </c>
      <c r="Y6" s="700">
        <f>IFERROR(IF($Y$1&lt;&gt;"",INT($Y$1/(D9/100)),100),100)</f>
        <v>236</v>
      </c>
      <c r="Z6" s="414">
        <f>IFERROR($C6*(1-$V$1)/100*$Y6,"")</f>
        <v>102.8724</v>
      </c>
      <c r="AA6" s="784">
        <f>IFERROR($Z6-$Z7,"")</f>
        <v>0.14639999999999986</v>
      </c>
      <c r="AB6" s="295"/>
      <c r="AD6" s="395" t="s">
        <v>323</v>
      </c>
      <c r="AE6" s="402">
        <v>45336</v>
      </c>
      <c r="AF6" s="393">
        <v>850000</v>
      </c>
      <c r="AG6" s="394">
        <v>0.88</v>
      </c>
      <c r="AH6" s="394">
        <v>0.89</v>
      </c>
      <c r="AI6" s="393">
        <v>8758064548.2700005</v>
      </c>
      <c r="AJ6" s="398">
        <v>0.88</v>
      </c>
      <c r="AK6" s="393"/>
      <c r="AN6" t="s">
        <v>638</v>
      </c>
    </row>
    <row r="7" spans="1:43" ht="12.75" hidden="1" customHeight="1">
      <c r="A7" s="621" t="s">
        <v>18</v>
      </c>
      <c r="B7" s="422">
        <f t="shared" si="0"/>
        <v>3000</v>
      </c>
      <c r="C7" s="419">
        <f t="shared" si="1"/>
        <v>43.59</v>
      </c>
      <c r="D7" s="423">
        <f t="shared" si="2"/>
        <v>43.9</v>
      </c>
      <c r="E7" s="427">
        <f t="shared" si="3"/>
        <v>50738</v>
      </c>
      <c r="F7" s="310">
        <f t="shared" si="4"/>
        <v>43.78</v>
      </c>
      <c r="G7" s="432">
        <f t="shared" si="5"/>
        <v>-1.1699999999999999E-2</v>
      </c>
      <c r="H7" s="306">
        <f t="shared" si="6"/>
        <v>44.298999999999999</v>
      </c>
      <c r="I7" s="297">
        <f t="shared" si="7"/>
        <v>44.98</v>
      </c>
      <c r="J7" s="382">
        <f t="shared" si="8"/>
        <v>43.5</v>
      </c>
      <c r="K7" s="301">
        <f t="shared" si="9"/>
        <v>44.3</v>
      </c>
      <c r="L7" s="304">
        <f t="shared" si="10"/>
        <v>3144405</v>
      </c>
      <c r="M7" s="313">
        <f t="shared" si="11"/>
        <v>7152671</v>
      </c>
      <c r="N7" s="304">
        <f t="shared" si="12"/>
        <v>4660</v>
      </c>
      <c r="O7" s="373">
        <f t="shared" si="13"/>
        <v>45331.687627314815</v>
      </c>
      <c r="P7" s="389">
        <v>6</v>
      </c>
      <c r="Q7" s="342">
        <v>0</v>
      </c>
      <c r="R7" s="536">
        <v>0</v>
      </c>
      <c r="S7" s="362">
        <v>0</v>
      </c>
      <c r="T7" s="314">
        <v>0</v>
      </c>
      <c r="U7" s="353">
        <v>0</v>
      </c>
      <c r="V7" s="410">
        <v>0</v>
      </c>
      <c r="W7" s="734">
        <v>0</v>
      </c>
      <c r="X7" s="706">
        <v>0</v>
      </c>
      <c r="Y7" s="701">
        <f>IFERROR(INT($Z6/($D7*(1+$V$1)/100)),0)</f>
        <v>234</v>
      </c>
      <c r="Z7" s="415">
        <f>IFERROR($D7/100*INT($Y7),"")</f>
        <v>102.726</v>
      </c>
      <c r="AA7" s="785"/>
      <c r="AD7" s="49" t="s">
        <v>324</v>
      </c>
      <c r="AE7" s="402">
        <v>45337</v>
      </c>
      <c r="AF7" s="48">
        <v>2655000</v>
      </c>
      <c r="AG7" s="52">
        <v>0.88549999999999995</v>
      </c>
      <c r="AH7" s="52">
        <v>0.89500000000000002</v>
      </c>
      <c r="AI7" s="48">
        <v>250845.49</v>
      </c>
      <c r="AJ7" s="399">
        <v>0.88549999999999995</v>
      </c>
      <c r="AK7" s="48">
        <v>10015850404</v>
      </c>
      <c r="AN7" t="s">
        <v>639</v>
      </c>
    </row>
    <row r="8" spans="1:43" hidden="1">
      <c r="A8" s="450" t="s">
        <v>16</v>
      </c>
      <c r="B8" s="429">
        <f t="shared" si="0"/>
        <v>1988</v>
      </c>
      <c r="C8" s="421">
        <f t="shared" si="1"/>
        <v>50300</v>
      </c>
      <c r="D8" s="418">
        <f t="shared" si="2"/>
        <v>50710</v>
      </c>
      <c r="E8" s="424">
        <f t="shared" si="3"/>
        <v>30350</v>
      </c>
      <c r="F8" s="369">
        <f t="shared" si="4"/>
        <v>50400</v>
      </c>
      <c r="G8" s="431">
        <f t="shared" si="5"/>
        <v>-2.6200000000000001E-2</v>
      </c>
      <c r="H8" s="305">
        <f t="shared" si="6"/>
        <v>52430</v>
      </c>
      <c r="I8" s="296">
        <f t="shared" si="7"/>
        <v>53000</v>
      </c>
      <c r="J8" s="383">
        <f t="shared" si="8"/>
        <v>50130</v>
      </c>
      <c r="K8" s="300">
        <f t="shared" si="9"/>
        <v>51760</v>
      </c>
      <c r="L8" s="338">
        <f t="shared" si="10"/>
        <v>8199152744</v>
      </c>
      <c r="M8" s="300">
        <f t="shared" si="11"/>
        <v>15959159</v>
      </c>
      <c r="N8" s="338">
        <f t="shared" si="12"/>
        <v>7035</v>
      </c>
      <c r="O8" s="374">
        <f t="shared" si="13"/>
        <v>45331.687743055554</v>
      </c>
      <c r="P8" s="390">
        <v>7</v>
      </c>
      <c r="Q8" s="543">
        <v>0</v>
      </c>
      <c r="R8" s="537">
        <v>0</v>
      </c>
      <c r="S8" s="363">
        <v>0</v>
      </c>
      <c r="T8" s="315">
        <v>0</v>
      </c>
      <c r="U8" s="352">
        <v>0</v>
      </c>
      <c r="V8" s="409">
        <v>0</v>
      </c>
      <c r="W8" s="735">
        <v>0</v>
      </c>
      <c r="X8" s="707">
        <v>0</v>
      </c>
      <c r="Y8" s="702">
        <f t="shared" si="14"/>
        <v>234</v>
      </c>
      <c r="Z8" s="416">
        <f>IFERROR($C8*(1-$V$1)/100*INT($Y8),"")</f>
        <v>117702</v>
      </c>
      <c r="AA8" s="786">
        <f>IFERROR($Z8-$Z9,"")</f>
        <v>54.799999999988358</v>
      </c>
      <c r="AD8" s="395" t="s">
        <v>325</v>
      </c>
      <c r="AE8" s="402">
        <v>45338</v>
      </c>
      <c r="AF8" s="393">
        <v>1000000</v>
      </c>
      <c r="AG8" s="394">
        <v>0.8859999999999999</v>
      </c>
      <c r="AH8" s="394">
        <v>0.91</v>
      </c>
      <c r="AI8" s="393">
        <v>37122187.359999999</v>
      </c>
      <c r="AJ8" s="398">
        <v>0.88500000000000001</v>
      </c>
      <c r="AK8" s="393">
        <v>26653502203</v>
      </c>
      <c r="AN8" t="s">
        <v>640</v>
      </c>
    </row>
    <row r="9" spans="1:43" ht="12.75" hidden="1" customHeight="1">
      <c r="A9" s="594" t="str">
        <f>IF(A6&lt;&gt;"",Z22,"")</f>
        <v>GD30 - spot</v>
      </c>
      <c r="B9" s="595">
        <f t="shared" si="0"/>
        <v>1988</v>
      </c>
      <c r="C9" s="580">
        <f t="shared" si="1"/>
        <v>50300</v>
      </c>
      <c r="D9" s="581">
        <f t="shared" si="2"/>
        <v>50710</v>
      </c>
      <c r="E9" s="596">
        <f t="shared" si="3"/>
        <v>30350</v>
      </c>
      <c r="F9" s="582">
        <f t="shared" si="4"/>
        <v>50400</v>
      </c>
      <c r="G9" s="583">
        <f t="shared" si="5"/>
        <v>-2.6200000000000001E-2</v>
      </c>
      <c r="H9" s="584">
        <f t="shared" si="6"/>
        <v>52430</v>
      </c>
      <c r="I9" s="585">
        <f t="shared" si="7"/>
        <v>53000</v>
      </c>
      <c r="J9" s="586">
        <f t="shared" si="8"/>
        <v>50130</v>
      </c>
      <c r="K9" s="587">
        <f t="shared" si="9"/>
        <v>51760</v>
      </c>
      <c r="L9" s="569">
        <f t="shared" si="10"/>
        <v>8199152744</v>
      </c>
      <c r="M9" s="587">
        <f t="shared" si="11"/>
        <v>15959159</v>
      </c>
      <c r="N9" s="569">
        <f t="shared" si="12"/>
        <v>7035</v>
      </c>
      <c r="O9" s="588">
        <f t="shared" si="13"/>
        <v>45331.687743055554</v>
      </c>
      <c r="P9" s="571">
        <v>8</v>
      </c>
      <c r="Q9" s="572">
        <v>0</v>
      </c>
      <c r="R9" s="589">
        <v>0</v>
      </c>
      <c r="S9" s="574">
        <v>0</v>
      </c>
      <c r="T9" s="616">
        <v>0</v>
      </c>
      <c r="U9" s="554">
        <v>0</v>
      </c>
      <c r="V9" s="600">
        <v>0</v>
      </c>
      <c r="W9" s="737">
        <v>0</v>
      </c>
      <c r="X9" s="708">
        <v>0</v>
      </c>
      <c r="Y9" s="704">
        <f>IFERROR($Z8/($D9*(1+$V$1)/100),0)</f>
        <v>232.10806547032143</v>
      </c>
      <c r="Z9" s="598">
        <f>IFERROR($D9/100*INT($Y9),"")</f>
        <v>117647.20000000001</v>
      </c>
      <c r="AA9" s="787"/>
      <c r="AD9" s="49"/>
      <c r="AE9" s="402"/>
      <c r="AF9" s="396"/>
      <c r="AG9" s="397"/>
      <c r="AH9" s="397"/>
      <c r="AI9" s="396"/>
      <c r="AJ9" s="400"/>
      <c r="AK9" s="396"/>
      <c r="AN9" t="s">
        <v>641</v>
      </c>
    </row>
    <row r="10" spans="1:43" ht="12.75" customHeight="1">
      <c r="A10" s="417" t="s">
        <v>18</v>
      </c>
      <c r="B10" s="429">
        <f t="shared" si="0"/>
        <v>3000</v>
      </c>
      <c r="C10" s="421">
        <f t="shared" si="1"/>
        <v>43.59</v>
      </c>
      <c r="D10" s="329">
        <f t="shared" si="2"/>
        <v>43.9</v>
      </c>
      <c r="E10" s="420">
        <f t="shared" si="3"/>
        <v>50738</v>
      </c>
      <c r="F10" s="760">
        <f t="shared" si="4"/>
        <v>43.78</v>
      </c>
      <c r="G10" s="431">
        <f t="shared" si="5"/>
        <v>-1.1699999999999999E-2</v>
      </c>
      <c r="H10" s="305">
        <f t="shared" si="6"/>
        <v>44.298999999999999</v>
      </c>
      <c r="I10" s="296">
        <f t="shared" si="7"/>
        <v>44.98</v>
      </c>
      <c r="J10" s="383">
        <f t="shared" si="8"/>
        <v>43.5</v>
      </c>
      <c r="K10" s="300">
        <f t="shared" si="9"/>
        <v>44.3</v>
      </c>
      <c r="L10" s="338">
        <f t="shared" si="10"/>
        <v>3144405</v>
      </c>
      <c r="M10" s="300">
        <f t="shared" si="11"/>
        <v>7152671</v>
      </c>
      <c r="N10" s="338">
        <f t="shared" si="12"/>
        <v>4660</v>
      </c>
      <c r="O10" s="374">
        <f t="shared" si="13"/>
        <v>45331.687627314815</v>
      </c>
      <c r="P10" s="390">
        <v>9</v>
      </c>
      <c r="Q10" s="543">
        <v>0</v>
      </c>
      <c r="R10" s="537">
        <v>0</v>
      </c>
      <c r="S10" s="363">
        <v>0</v>
      </c>
      <c r="T10" s="315">
        <v>0</v>
      </c>
      <c r="U10" s="553">
        <v>0</v>
      </c>
      <c r="V10" s="409">
        <v>0</v>
      </c>
      <c r="W10" s="738">
        <v>0</v>
      </c>
      <c r="X10" s="705">
        <v>0</v>
      </c>
      <c r="Y10" s="700">
        <f>IFERROR(IF($Y$1&lt;&gt;"",INT($Y$1/(D13/100)),100),100)</f>
        <v>236</v>
      </c>
      <c r="Z10" s="414">
        <f>IFERROR($C10*(1-$V$1)/100*$Y10,"")</f>
        <v>102.8724</v>
      </c>
      <c r="AA10" s="784">
        <f>IFERROR($Z10-$Z11,"")</f>
        <v>2.6399999999995316E-2</v>
      </c>
      <c r="AB10" s="295"/>
      <c r="AF10" s="272"/>
      <c r="AH10" s="272"/>
      <c r="AJ10" s="47"/>
      <c r="AK10" s="47"/>
    </row>
    <row r="11" spans="1:43" ht="12.75" customHeight="1">
      <c r="A11" s="451" t="s">
        <v>580</v>
      </c>
      <c r="B11" s="422">
        <f t="shared" si="0"/>
        <v>19885</v>
      </c>
      <c r="C11" s="419">
        <f t="shared" si="1"/>
        <v>83.8</v>
      </c>
      <c r="D11" s="423">
        <f t="shared" si="2"/>
        <v>84.3</v>
      </c>
      <c r="E11" s="427">
        <f t="shared" si="3"/>
        <v>5075</v>
      </c>
      <c r="F11" s="763">
        <f t="shared" si="4"/>
        <v>84.1</v>
      </c>
      <c r="G11" s="432">
        <f t="shared" si="5"/>
        <v>-6.6E-3</v>
      </c>
      <c r="H11" s="306">
        <f t="shared" si="6"/>
        <v>85</v>
      </c>
      <c r="I11" s="297">
        <f t="shared" si="7"/>
        <v>85</v>
      </c>
      <c r="J11" s="382">
        <f t="shared" si="8"/>
        <v>83.2</v>
      </c>
      <c r="K11" s="301">
        <f t="shared" si="9"/>
        <v>84.66</v>
      </c>
      <c r="L11" s="304">
        <f t="shared" si="10"/>
        <v>27154</v>
      </c>
      <c r="M11" s="301">
        <f t="shared" si="11"/>
        <v>32217</v>
      </c>
      <c r="N11" s="304">
        <f t="shared" si="12"/>
        <v>76</v>
      </c>
      <c r="O11" s="373">
        <f t="shared" si="13"/>
        <v>45331.684016203704</v>
      </c>
      <c r="P11" s="389">
        <v>10</v>
      </c>
      <c r="Q11" s="342">
        <v>0</v>
      </c>
      <c r="R11" s="536">
        <v>0</v>
      </c>
      <c r="S11" s="362">
        <v>0</v>
      </c>
      <c r="T11" s="314">
        <v>0</v>
      </c>
      <c r="U11" s="353">
        <v>0</v>
      </c>
      <c r="V11" s="410">
        <v>0</v>
      </c>
      <c r="W11" s="739">
        <v>0</v>
      </c>
      <c r="X11" s="706">
        <v>0</v>
      </c>
      <c r="Y11" s="701">
        <f>IFERROR(INT($Z10/($D11*(1+$V$1)/100)),0)</f>
        <v>122</v>
      </c>
      <c r="Z11" s="415">
        <f>IFERROR($D11/100*INT($Y11),"")</f>
        <v>102.846</v>
      </c>
      <c r="AA11" s="785"/>
    </row>
    <row r="12" spans="1:43" ht="12.75" customHeight="1">
      <c r="A12" s="450" t="s">
        <v>576</v>
      </c>
      <c r="B12" s="429">
        <f t="shared" si="0"/>
        <v>5000</v>
      </c>
      <c r="C12" s="421">
        <f t="shared" si="1"/>
        <v>96800</v>
      </c>
      <c r="D12" s="418">
        <f t="shared" si="2"/>
        <v>99580</v>
      </c>
      <c r="E12" s="424">
        <f t="shared" si="3"/>
        <v>500</v>
      </c>
      <c r="F12" s="760">
        <f t="shared" si="4"/>
        <v>99390</v>
      </c>
      <c r="G12" s="431">
        <f t="shared" si="5"/>
        <v>-3.0999999999999999E-3</v>
      </c>
      <c r="H12" s="305">
        <f t="shared" si="6"/>
        <v>99800</v>
      </c>
      <c r="I12" s="296">
        <f t="shared" si="7"/>
        <v>101790</v>
      </c>
      <c r="J12" s="383">
        <f t="shared" si="8"/>
        <v>97000</v>
      </c>
      <c r="K12" s="300">
        <f t="shared" si="9"/>
        <v>99700</v>
      </c>
      <c r="L12" s="338">
        <f t="shared" si="10"/>
        <v>57531294</v>
      </c>
      <c r="M12" s="300">
        <f t="shared" si="11"/>
        <v>58383</v>
      </c>
      <c r="N12" s="338">
        <f t="shared" si="12"/>
        <v>358</v>
      </c>
      <c r="O12" s="374">
        <f t="shared" si="13"/>
        <v>45331.687662037039</v>
      </c>
      <c r="P12" s="390">
        <v>11</v>
      </c>
      <c r="Q12" s="543">
        <v>0</v>
      </c>
      <c r="R12" s="537">
        <v>0</v>
      </c>
      <c r="S12" s="363">
        <v>0</v>
      </c>
      <c r="T12" s="315">
        <v>0</v>
      </c>
      <c r="U12" s="352">
        <v>0</v>
      </c>
      <c r="V12" s="409">
        <v>0</v>
      </c>
      <c r="W12" s="740">
        <v>0</v>
      </c>
      <c r="X12" s="707">
        <v>0</v>
      </c>
      <c r="Y12" s="702">
        <f t="shared" si="14"/>
        <v>122</v>
      </c>
      <c r="Z12" s="416">
        <f>IFERROR($C12*(1-$V$1)/100*INT($Y12),"")</f>
        <v>118096</v>
      </c>
      <c r="AA12" s="786">
        <f>IFERROR($Z12-$Z13,"")</f>
        <v>448.79999999998836</v>
      </c>
    </row>
    <row r="13" spans="1:43" ht="12.75" customHeight="1">
      <c r="A13" s="594" t="s">
        <v>16</v>
      </c>
      <c r="B13" s="595">
        <f t="shared" si="0"/>
        <v>1988</v>
      </c>
      <c r="C13" s="580">
        <f t="shared" si="1"/>
        <v>50300</v>
      </c>
      <c r="D13" s="581">
        <f t="shared" si="2"/>
        <v>50710</v>
      </c>
      <c r="E13" s="596">
        <f t="shared" si="3"/>
        <v>30350</v>
      </c>
      <c r="F13" s="764">
        <f t="shared" si="4"/>
        <v>50400</v>
      </c>
      <c r="G13" s="583">
        <f t="shared" si="5"/>
        <v>-2.6200000000000001E-2</v>
      </c>
      <c r="H13" s="584">
        <f t="shared" si="6"/>
        <v>52430</v>
      </c>
      <c r="I13" s="585">
        <f t="shared" si="7"/>
        <v>53000</v>
      </c>
      <c r="J13" s="586">
        <f t="shared" si="8"/>
        <v>50130</v>
      </c>
      <c r="K13" s="587">
        <f t="shared" si="9"/>
        <v>51760</v>
      </c>
      <c r="L13" s="569">
        <f t="shared" si="10"/>
        <v>8199152744</v>
      </c>
      <c r="M13" s="587">
        <f t="shared" si="11"/>
        <v>15959159</v>
      </c>
      <c r="N13" s="569">
        <f t="shared" si="12"/>
        <v>7035</v>
      </c>
      <c r="O13" s="588">
        <f t="shared" si="13"/>
        <v>45331.687743055554</v>
      </c>
      <c r="P13" s="571">
        <v>12</v>
      </c>
      <c r="Q13" s="572">
        <v>0</v>
      </c>
      <c r="R13" s="589">
        <v>0</v>
      </c>
      <c r="S13" s="574">
        <v>0</v>
      </c>
      <c r="T13" s="616">
        <v>0</v>
      </c>
      <c r="U13" s="353">
        <v>0</v>
      </c>
      <c r="V13" s="410">
        <v>0</v>
      </c>
      <c r="W13" s="591">
        <v>0</v>
      </c>
      <c r="X13" s="708">
        <v>0</v>
      </c>
      <c r="Y13" s="704">
        <f>IFERROR($Z12/($D13*(1+$V$1)/100),0)</f>
        <v>232.88503253796094</v>
      </c>
      <c r="Z13" s="598">
        <f>IFERROR($D13/100*INT($Y13),"")</f>
        <v>117647.20000000001</v>
      </c>
      <c r="AA13" s="787"/>
    </row>
    <row r="14" spans="1:43" ht="12.75" hidden="1" customHeight="1">
      <c r="A14" s="417" t="s">
        <v>18</v>
      </c>
      <c r="B14" s="429">
        <f t="shared" si="0"/>
        <v>3000</v>
      </c>
      <c r="C14" s="421">
        <f t="shared" si="1"/>
        <v>43.59</v>
      </c>
      <c r="D14" s="329">
        <f t="shared" si="2"/>
        <v>43.9</v>
      </c>
      <c r="E14" s="420">
        <f t="shared" si="3"/>
        <v>50738</v>
      </c>
      <c r="F14" s="369">
        <f t="shared" si="4"/>
        <v>43.78</v>
      </c>
      <c r="G14" s="431">
        <f t="shared" si="5"/>
        <v>-1.1699999999999999E-2</v>
      </c>
      <c r="H14" s="307">
        <f t="shared" si="6"/>
        <v>44.298999999999999</v>
      </c>
      <c r="I14" s="299">
        <f t="shared" si="7"/>
        <v>44.98</v>
      </c>
      <c r="J14" s="385">
        <f t="shared" si="8"/>
        <v>43.5</v>
      </c>
      <c r="K14" s="303">
        <f t="shared" si="9"/>
        <v>44.3</v>
      </c>
      <c r="L14" s="330">
        <f t="shared" si="10"/>
        <v>3144405</v>
      </c>
      <c r="M14" s="303">
        <f t="shared" si="11"/>
        <v>7152671</v>
      </c>
      <c r="N14" s="330">
        <f t="shared" si="12"/>
        <v>4660</v>
      </c>
      <c r="O14" s="376">
        <f t="shared" si="13"/>
        <v>45331.687627314815</v>
      </c>
      <c r="P14" s="390">
        <v>13</v>
      </c>
      <c r="Q14" s="345">
        <v>0</v>
      </c>
      <c r="R14" s="535">
        <v>0</v>
      </c>
      <c r="S14" s="365">
        <v>0</v>
      </c>
      <c r="T14" s="334">
        <v>0</v>
      </c>
      <c r="U14" s="352">
        <v>0</v>
      </c>
      <c r="V14" s="409">
        <v>0</v>
      </c>
      <c r="W14" s="738">
        <v>0</v>
      </c>
      <c r="X14" s="721">
        <v>0</v>
      </c>
      <c r="Y14" s="700">
        <v>100</v>
      </c>
      <c r="Z14" s="414">
        <f>IFERROR($C14*(1-$V$1)/100*$Y14,"")</f>
        <v>43.59</v>
      </c>
      <c r="AA14" s="784">
        <f>IFERROR($Z14-$Z15,"")</f>
        <v>0.34200000000000585</v>
      </c>
      <c r="AN14" t="s">
        <v>642</v>
      </c>
      <c r="AO14" s="47"/>
      <c r="AP14" s="47"/>
      <c r="AQ14" s="47"/>
    </row>
    <row r="15" spans="1:43" ht="12.75" hidden="1" customHeight="1">
      <c r="A15" s="452" t="s">
        <v>14</v>
      </c>
      <c r="B15" s="422">
        <f t="shared" si="0"/>
        <v>124211</v>
      </c>
      <c r="C15" s="419">
        <f t="shared" si="1"/>
        <v>40.6</v>
      </c>
      <c r="D15" s="423">
        <f t="shared" si="2"/>
        <v>40.799999999999997</v>
      </c>
      <c r="E15" s="427">
        <f t="shared" si="3"/>
        <v>174311</v>
      </c>
      <c r="F15" s="310">
        <f t="shared" si="4"/>
        <v>40.799999999999997</v>
      </c>
      <c r="G15" s="432">
        <f t="shared" si="5"/>
        <v>-4.0000000000000002E-4</v>
      </c>
      <c r="H15" s="316">
        <f t="shared" si="6"/>
        <v>40.6</v>
      </c>
      <c r="I15" s="317">
        <f t="shared" si="7"/>
        <v>40.999000000000002</v>
      </c>
      <c r="J15" s="386">
        <f t="shared" si="8"/>
        <v>40.549999999999997</v>
      </c>
      <c r="K15" s="318">
        <f t="shared" si="9"/>
        <v>40.82</v>
      </c>
      <c r="L15" s="341">
        <f t="shared" si="10"/>
        <v>39604362</v>
      </c>
      <c r="M15" s="318">
        <f t="shared" si="11"/>
        <v>97048244</v>
      </c>
      <c r="N15" s="341">
        <f t="shared" si="12"/>
        <v>48328</v>
      </c>
      <c r="O15" s="377">
        <f t="shared" si="13"/>
        <v>45331.687708333331</v>
      </c>
      <c r="P15" s="389">
        <v>14</v>
      </c>
      <c r="Q15" s="544">
        <v>0</v>
      </c>
      <c r="R15" s="539">
        <v>0</v>
      </c>
      <c r="S15" s="366">
        <v>0</v>
      </c>
      <c r="T15" s="319">
        <v>0</v>
      </c>
      <c r="U15" s="353">
        <v>0</v>
      </c>
      <c r="V15" s="410">
        <v>0</v>
      </c>
      <c r="W15" s="739">
        <v>0</v>
      </c>
      <c r="X15" s="706">
        <v>0</v>
      </c>
      <c r="Y15" s="701">
        <f>IFERROR(INT($Z14/($D15*(1+$V$1)/100)),0)</f>
        <v>106</v>
      </c>
      <c r="Z15" s="415">
        <f>IFERROR($D15/100*INT($Y15),"")</f>
        <v>43.247999999999998</v>
      </c>
      <c r="AA15" s="785"/>
      <c r="AN15" t="s">
        <v>643</v>
      </c>
    </row>
    <row r="16" spans="1:43" ht="12.75" hidden="1" customHeight="1">
      <c r="A16" s="439" t="s">
        <v>15</v>
      </c>
      <c r="B16" s="429">
        <f t="shared" si="0"/>
        <v>291363</v>
      </c>
      <c r="C16" s="421">
        <f t="shared" si="1"/>
        <v>38.4</v>
      </c>
      <c r="D16" s="418">
        <f t="shared" si="2"/>
        <v>38.6</v>
      </c>
      <c r="E16" s="424">
        <f t="shared" si="3"/>
        <v>25000</v>
      </c>
      <c r="F16" s="369">
        <f t="shared" si="4"/>
        <v>38.4</v>
      </c>
      <c r="G16" s="431">
        <f t="shared" si="5"/>
        <v>-5.6000000000000008E-3</v>
      </c>
      <c r="H16" s="305">
        <f t="shared" si="6"/>
        <v>38.799999999999997</v>
      </c>
      <c r="I16" s="296">
        <f t="shared" si="7"/>
        <v>40</v>
      </c>
      <c r="J16" s="296">
        <f t="shared" si="8"/>
        <v>38.4</v>
      </c>
      <c r="K16" s="300">
        <f t="shared" si="9"/>
        <v>38.619999999999997</v>
      </c>
      <c r="L16" s="338">
        <f t="shared" si="10"/>
        <v>9408962</v>
      </c>
      <c r="M16" s="300">
        <f t="shared" si="11"/>
        <v>24264734</v>
      </c>
      <c r="N16" s="338">
        <f t="shared" si="12"/>
        <v>7030</v>
      </c>
      <c r="O16" s="374">
        <f t="shared" si="13"/>
        <v>45331.685335648152</v>
      </c>
      <c r="P16" s="390">
        <v>15</v>
      </c>
      <c r="Q16" s="545">
        <v>0</v>
      </c>
      <c r="R16" s="537">
        <v>0</v>
      </c>
      <c r="S16" s="363">
        <v>0</v>
      </c>
      <c r="T16" s="315">
        <v>0</v>
      </c>
      <c r="U16" s="352">
        <v>0</v>
      </c>
      <c r="V16" s="409">
        <v>0</v>
      </c>
      <c r="W16" s="740">
        <v>0</v>
      </c>
      <c r="X16" s="707">
        <v>0</v>
      </c>
      <c r="Y16" s="702">
        <f t="shared" ref="Y16" si="15">Y15</f>
        <v>106</v>
      </c>
      <c r="Z16" s="416">
        <f>IFERROR($C16*(1-$V$1)/100*INT($Y16),"")</f>
        <v>40.704000000000001</v>
      </c>
      <c r="AA16" s="786">
        <f>IFERROR($Z16-$Z17,"")</f>
        <v>0.35297000000000622</v>
      </c>
      <c r="AN16" t="s">
        <v>644</v>
      </c>
    </row>
    <row r="17" spans="1:42" ht="12.75" hidden="1" customHeight="1">
      <c r="A17" s="516" t="s">
        <v>17</v>
      </c>
      <c r="B17" s="425">
        <f t="shared" si="0"/>
        <v>90341</v>
      </c>
      <c r="C17" s="351">
        <f t="shared" si="1"/>
        <v>41.2</v>
      </c>
      <c r="D17" s="426">
        <f t="shared" si="2"/>
        <v>41.598999999999997</v>
      </c>
      <c r="E17" s="428">
        <f t="shared" si="3"/>
        <v>5709</v>
      </c>
      <c r="F17" s="430">
        <f t="shared" si="4"/>
        <v>41.598999999999997</v>
      </c>
      <c r="G17" s="433">
        <f t="shared" si="5"/>
        <v>-1.2E-2</v>
      </c>
      <c r="H17" s="346">
        <f t="shared" si="6"/>
        <v>42.25</v>
      </c>
      <c r="I17" s="347">
        <f t="shared" si="7"/>
        <v>42.25</v>
      </c>
      <c r="J17" s="384">
        <f t="shared" si="8"/>
        <v>41.238999999999997</v>
      </c>
      <c r="K17" s="349">
        <f t="shared" si="9"/>
        <v>42.106999999999999</v>
      </c>
      <c r="L17" s="348">
        <f t="shared" si="10"/>
        <v>287573</v>
      </c>
      <c r="M17" s="349">
        <f t="shared" si="11"/>
        <v>690413</v>
      </c>
      <c r="N17" s="348">
        <f t="shared" si="12"/>
        <v>252</v>
      </c>
      <c r="O17" s="375">
        <f t="shared" si="13"/>
        <v>45331.683645833335</v>
      </c>
      <c r="P17" s="513">
        <v>16</v>
      </c>
      <c r="Q17" s="391">
        <v>0</v>
      </c>
      <c r="R17" s="540">
        <v>0</v>
      </c>
      <c r="S17" s="364">
        <v>0</v>
      </c>
      <c r="T17" s="350">
        <v>0</v>
      </c>
      <c r="U17" s="353">
        <v>0</v>
      </c>
      <c r="V17" s="410">
        <v>0</v>
      </c>
      <c r="W17" s="453">
        <v>0</v>
      </c>
      <c r="X17" s="722">
        <v>0</v>
      </c>
      <c r="Y17" s="709">
        <f>IFERROR($Z16/($D17*(1+$V$1)/100),0)</f>
        <v>97.848505973701293</v>
      </c>
      <c r="Z17" s="514">
        <f>IFERROR($D17/100*INT($Y17),"")</f>
        <v>40.351029999999994</v>
      </c>
      <c r="AA17" s="793"/>
      <c r="AP17" s="649" t="s">
        <v>628</v>
      </c>
    </row>
    <row r="18" spans="1:42" ht="12.75" hidden="1" customHeight="1">
      <c r="A18" s="531" t="s">
        <v>13</v>
      </c>
      <c r="B18" s="547">
        <f t="shared" si="0"/>
        <v>1292</v>
      </c>
      <c r="C18" s="515">
        <f t="shared" si="1"/>
        <v>46900</v>
      </c>
      <c r="D18" s="329">
        <f t="shared" si="2"/>
        <v>46905</v>
      </c>
      <c r="E18" s="546">
        <f t="shared" si="3"/>
        <v>200</v>
      </c>
      <c r="F18" s="369">
        <f t="shared" si="4"/>
        <v>46900</v>
      </c>
      <c r="G18" s="431">
        <f t="shared" si="5"/>
        <v>-2.1700000000000001E-2</v>
      </c>
      <c r="H18" s="307">
        <f t="shared" si="6"/>
        <v>49375</v>
      </c>
      <c r="I18" s="299">
        <f t="shared" si="7"/>
        <v>49375</v>
      </c>
      <c r="J18" s="385">
        <f t="shared" si="8"/>
        <v>46810</v>
      </c>
      <c r="K18" s="303">
        <f t="shared" si="9"/>
        <v>47945</v>
      </c>
      <c r="L18" s="330">
        <f t="shared" si="10"/>
        <v>63258598812</v>
      </c>
      <c r="M18" s="303">
        <f t="shared" si="11"/>
        <v>132410733</v>
      </c>
      <c r="N18" s="330">
        <f t="shared" si="12"/>
        <v>58987</v>
      </c>
      <c r="O18" s="376">
        <f t="shared" si="13"/>
        <v>45331.687511574077</v>
      </c>
      <c r="P18" s="390">
        <v>17</v>
      </c>
      <c r="Q18" s="345">
        <v>0</v>
      </c>
      <c r="R18" s="535">
        <v>0</v>
      </c>
      <c r="S18" s="365">
        <v>0</v>
      </c>
      <c r="T18" s="322">
        <v>0</v>
      </c>
      <c r="U18" s="352">
        <v>0</v>
      </c>
      <c r="V18" s="409">
        <v>0</v>
      </c>
      <c r="W18" s="738">
        <v>0</v>
      </c>
      <c r="X18" s="705">
        <v>0</v>
      </c>
      <c r="Y18" s="710">
        <f>IFERROR(IF($Y$1&lt;&gt;"",INT($Y$1/(D18/100)),100),100)</f>
        <v>255</v>
      </c>
      <c r="Z18" s="533" t="str">
        <f>A19</f>
        <v>GD30 - spot</v>
      </c>
      <c r="AA18" s="551">
        <f>IFERROR(INT(VLOOKUP($A18,$A$54:$N$169,6,0)*$Y18/100)/(VLOOKUP($Z18,$A$54:$N$169,6,0)/100),"")</f>
        <v>237.29166666666666</v>
      </c>
      <c r="AC18" s="295"/>
    </row>
    <row r="19" spans="1:42" ht="12.75" hidden="1" customHeight="1">
      <c r="A19" s="532" t="s">
        <v>16</v>
      </c>
      <c r="B19" s="403">
        <f t="shared" si="0"/>
        <v>1988</v>
      </c>
      <c r="C19" s="419">
        <f t="shared" si="1"/>
        <v>50300</v>
      </c>
      <c r="D19" s="423">
        <f t="shared" si="2"/>
        <v>50710</v>
      </c>
      <c r="E19" s="403">
        <f t="shared" si="3"/>
        <v>30350</v>
      </c>
      <c r="F19" s="310">
        <f t="shared" si="4"/>
        <v>50400</v>
      </c>
      <c r="G19" s="432">
        <f t="shared" si="5"/>
        <v>-2.6200000000000001E-2</v>
      </c>
      <c r="H19" s="316">
        <f t="shared" si="6"/>
        <v>52430</v>
      </c>
      <c r="I19" s="317">
        <f t="shared" si="7"/>
        <v>53000</v>
      </c>
      <c r="J19" s="386">
        <f t="shared" si="8"/>
        <v>50130</v>
      </c>
      <c r="K19" s="318">
        <f t="shared" si="9"/>
        <v>51760</v>
      </c>
      <c r="L19" s="341">
        <f t="shared" si="10"/>
        <v>8199152744</v>
      </c>
      <c r="M19" s="318">
        <f t="shared" si="11"/>
        <v>15959159</v>
      </c>
      <c r="N19" s="341">
        <f t="shared" si="12"/>
        <v>7035</v>
      </c>
      <c r="O19" s="377">
        <f t="shared" si="13"/>
        <v>45331.687743055554</v>
      </c>
      <c r="P19" s="389">
        <v>18</v>
      </c>
      <c r="Q19" s="544">
        <v>0</v>
      </c>
      <c r="R19" s="539">
        <v>0</v>
      </c>
      <c r="S19" s="362">
        <v>0</v>
      </c>
      <c r="T19" s="321">
        <v>0</v>
      </c>
      <c r="U19" s="353">
        <v>0</v>
      </c>
      <c r="V19" s="410">
        <v>0</v>
      </c>
      <c r="W19" s="739">
        <v>0</v>
      </c>
      <c r="X19" s="706">
        <v>0</v>
      </c>
      <c r="Y19" s="711">
        <f>IFERROR(IF($Y$1&lt;&gt;"",INT($Y$1/(D19/100)),100),100)</f>
        <v>236</v>
      </c>
      <c r="Z19" s="534" t="str">
        <f>A18</f>
        <v>AL30 - spot</v>
      </c>
      <c r="AA19" s="550">
        <f>IFERROR(INT(VLOOKUP($A19,$A$54:$N$169,6,0)*$Y19/100)/(VLOOKUP($Z19,$A$54:$N$169,6,0)/100),"")</f>
        <v>253.61194029850745</v>
      </c>
    </row>
    <row r="20" spans="1:42" ht="12.75" hidden="1" customHeight="1">
      <c r="A20" s="531" t="s">
        <v>2</v>
      </c>
      <c r="B20" s="548">
        <f t="shared" si="0"/>
        <v>372911</v>
      </c>
      <c r="C20" s="515">
        <f t="shared" si="1"/>
        <v>47435</v>
      </c>
      <c r="D20" s="418">
        <f t="shared" si="2"/>
        <v>47485</v>
      </c>
      <c r="E20" s="546">
        <f t="shared" si="3"/>
        <v>25000</v>
      </c>
      <c r="F20" s="369">
        <f t="shared" si="4"/>
        <v>47435</v>
      </c>
      <c r="G20" s="431">
        <f t="shared" si="5"/>
        <v>-2.3900000000000001E-2</v>
      </c>
      <c r="H20" s="305">
        <f t="shared" si="6"/>
        <v>48515</v>
      </c>
      <c r="I20" s="296">
        <f t="shared" si="7"/>
        <v>49000</v>
      </c>
      <c r="J20" s="296">
        <f t="shared" si="8"/>
        <v>47195</v>
      </c>
      <c r="K20" s="300">
        <f t="shared" si="9"/>
        <v>48600</v>
      </c>
      <c r="L20" s="338">
        <f t="shared" si="10"/>
        <v>51355001481</v>
      </c>
      <c r="M20" s="300">
        <f t="shared" si="11"/>
        <v>106026893</v>
      </c>
      <c r="N20" s="338">
        <f t="shared" si="12"/>
        <v>25564</v>
      </c>
      <c r="O20" s="374">
        <f t="shared" si="13"/>
        <v>45331.708622685182</v>
      </c>
      <c r="P20" s="390">
        <v>19</v>
      </c>
      <c r="Q20" s="545">
        <v>0</v>
      </c>
      <c r="R20" s="537">
        <v>0</v>
      </c>
      <c r="S20" s="367">
        <v>0</v>
      </c>
      <c r="T20" s="320">
        <v>0</v>
      </c>
      <c r="U20" s="352">
        <v>0</v>
      </c>
      <c r="V20" s="409">
        <v>0</v>
      </c>
      <c r="W20" s="740">
        <v>0</v>
      </c>
      <c r="X20" s="707">
        <v>0</v>
      </c>
      <c r="Y20" s="710">
        <f t="shared" ref="Y20:Y21" si="16">IFERROR(IF($Y$1&lt;&gt;"",INT($Y$1/(D20/100)),100),100)</f>
        <v>252</v>
      </c>
      <c r="Z20" s="533" t="str">
        <f>A21</f>
        <v>GD30 - 48hs</v>
      </c>
      <c r="AA20" s="552">
        <f>IFERROR(INT(VLOOKUP($A20,$A$54:$N$169,6,0)*$Y20/100)/(VLOOKUP($Z20,$A$54:$N$169,6,0)/100),"")</f>
        <v>233.92563600782779</v>
      </c>
    </row>
    <row r="21" spans="1:42" ht="12.75" hidden="1" customHeight="1">
      <c r="A21" s="578" t="s">
        <v>5</v>
      </c>
      <c r="B21" s="579">
        <f t="shared" si="0"/>
        <v>319488</v>
      </c>
      <c r="C21" s="580">
        <f t="shared" si="1"/>
        <v>51000</v>
      </c>
      <c r="D21" s="581">
        <f t="shared" si="2"/>
        <v>51100</v>
      </c>
      <c r="E21" s="579">
        <f t="shared" si="3"/>
        <v>43461</v>
      </c>
      <c r="F21" s="582">
        <f t="shared" si="4"/>
        <v>51100</v>
      </c>
      <c r="G21" s="583">
        <f t="shared" si="5"/>
        <v>-2.53E-2</v>
      </c>
      <c r="H21" s="584">
        <f t="shared" si="6"/>
        <v>52400</v>
      </c>
      <c r="I21" s="585">
        <f t="shared" si="7"/>
        <v>53000</v>
      </c>
      <c r="J21" s="586">
        <f t="shared" si="8"/>
        <v>50100</v>
      </c>
      <c r="K21" s="587">
        <f t="shared" si="9"/>
        <v>52430</v>
      </c>
      <c r="L21" s="569">
        <f t="shared" si="10"/>
        <v>19823532065</v>
      </c>
      <c r="M21" s="587">
        <f t="shared" si="11"/>
        <v>38118978</v>
      </c>
      <c r="N21" s="569">
        <f t="shared" si="12"/>
        <v>5958</v>
      </c>
      <c r="O21" s="588">
        <f t="shared" si="13"/>
        <v>45331.708344907405</v>
      </c>
      <c r="P21" s="389">
        <v>20</v>
      </c>
      <c r="Q21" s="572">
        <v>0</v>
      </c>
      <c r="R21" s="589">
        <v>0</v>
      </c>
      <c r="S21" s="574">
        <v>0</v>
      </c>
      <c r="T21" s="590">
        <v>0</v>
      </c>
      <c r="U21" s="353">
        <v>0</v>
      </c>
      <c r="V21" s="600">
        <v>0</v>
      </c>
      <c r="W21" s="591">
        <v>0</v>
      </c>
      <c r="X21" s="708">
        <v>0</v>
      </c>
      <c r="Y21" s="712">
        <f t="shared" si="16"/>
        <v>234</v>
      </c>
      <c r="Z21" s="592" t="str">
        <f>A20</f>
        <v>AL30 - 48hs</v>
      </c>
      <c r="AA21" s="593">
        <f>IFERROR(INT(VLOOKUP($A21,$A$54:$N$169,6,0)*$Y21/100)/(VLOOKUP($Z21,$A$54:$N$169,6,0)/100),"")</f>
        <v>252.07968799409718</v>
      </c>
    </row>
    <row r="22" spans="1:42" ht="12.75" hidden="1" customHeight="1">
      <c r="A22" s="454" t="s">
        <v>18</v>
      </c>
      <c r="B22" s="458">
        <f t="shared" si="0"/>
        <v>3000</v>
      </c>
      <c r="C22" s="459">
        <f t="shared" si="1"/>
        <v>43.59</v>
      </c>
      <c r="D22" s="460">
        <f t="shared" si="2"/>
        <v>43.9</v>
      </c>
      <c r="E22" s="461">
        <f t="shared" si="3"/>
        <v>50738</v>
      </c>
      <c r="F22" s="462">
        <f t="shared" si="4"/>
        <v>43.78</v>
      </c>
      <c r="G22" s="463">
        <f t="shared" si="5"/>
        <v>-1.1699999999999999E-2</v>
      </c>
      <c r="H22" s="464">
        <f t="shared" si="6"/>
        <v>44.298999999999999</v>
      </c>
      <c r="I22" s="465">
        <f t="shared" si="7"/>
        <v>44.98</v>
      </c>
      <c r="J22" s="466">
        <f t="shared" si="8"/>
        <v>43.5</v>
      </c>
      <c r="K22" s="467">
        <f t="shared" si="9"/>
        <v>44.3</v>
      </c>
      <c r="L22" s="468">
        <f t="shared" si="10"/>
        <v>3144405</v>
      </c>
      <c r="M22" s="467">
        <f t="shared" si="11"/>
        <v>7152671</v>
      </c>
      <c r="N22" s="330">
        <f t="shared" si="12"/>
        <v>4660</v>
      </c>
      <c r="O22" s="376">
        <f t="shared" si="13"/>
        <v>45331.687627314815</v>
      </c>
      <c r="P22" s="390">
        <v>21</v>
      </c>
      <c r="Q22" s="345">
        <v>0</v>
      </c>
      <c r="R22" s="541">
        <v>0</v>
      </c>
      <c r="S22" s="365">
        <v>0</v>
      </c>
      <c r="T22" s="334">
        <v>0</v>
      </c>
      <c r="U22" s="553">
        <v>0</v>
      </c>
      <c r="V22" s="405">
        <v>0</v>
      </c>
      <c r="W22" s="736">
        <v>0</v>
      </c>
      <c r="X22" s="705">
        <v>0</v>
      </c>
      <c r="Y22" s="713">
        <v>102.38743455497379</v>
      </c>
      <c r="Z22" s="492" t="s">
        <v>16</v>
      </c>
      <c r="AA22" s="493" t="s">
        <v>17</v>
      </c>
    </row>
    <row r="23" spans="1:42" ht="12.75" hidden="1" customHeight="1">
      <c r="A23" s="455" t="s">
        <v>235</v>
      </c>
      <c r="B23" s="469">
        <f t="shared" si="0"/>
        <v>8224</v>
      </c>
      <c r="C23" s="470">
        <f t="shared" si="1"/>
        <v>40.1</v>
      </c>
      <c r="D23" s="471">
        <f t="shared" si="2"/>
        <v>40.75</v>
      </c>
      <c r="E23" s="472">
        <f t="shared" si="3"/>
        <v>7508</v>
      </c>
      <c r="F23" s="473">
        <f t="shared" si="4"/>
        <v>41</v>
      </c>
      <c r="G23" s="474">
        <f t="shared" si="5"/>
        <v>1.03E-2</v>
      </c>
      <c r="H23" s="475">
        <f t="shared" si="6"/>
        <v>39.4</v>
      </c>
      <c r="I23" s="476">
        <f t="shared" si="7"/>
        <v>41.79</v>
      </c>
      <c r="J23" s="477">
        <f t="shared" si="8"/>
        <v>39.4</v>
      </c>
      <c r="K23" s="478">
        <f t="shared" si="9"/>
        <v>40.581000000000003</v>
      </c>
      <c r="L23" s="479">
        <f t="shared" si="10"/>
        <v>62970</v>
      </c>
      <c r="M23" s="478">
        <f t="shared" si="11"/>
        <v>153931</v>
      </c>
      <c r="N23" s="341">
        <f t="shared" si="12"/>
        <v>203</v>
      </c>
      <c r="O23" s="377">
        <f t="shared" si="13"/>
        <v>45331.699618055558</v>
      </c>
      <c r="P23" s="389">
        <v>22</v>
      </c>
      <c r="Q23" s="544">
        <v>0</v>
      </c>
      <c r="R23" s="539">
        <v>0</v>
      </c>
      <c r="S23" s="366">
        <v>0</v>
      </c>
      <c r="T23" s="319">
        <v>0</v>
      </c>
      <c r="U23" s="554">
        <v>0</v>
      </c>
      <c r="V23" s="406">
        <v>0</v>
      </c>
      <c r="W23" s="734">
        <v>0</v>
      </c>
      <c r="X23" s="706">
        <v>0</v>
      </c>
      <c r="Y23" s="714">
        <v>101.67389956602604</v>
      </c>
      <c r="Z23" s="494" t="s">
        <v>190</v>
      </c>
      <c r="AA23" s="495" t="s">
        <v>234</v>
      </c>
    </row>
    <row r="24" spans="1:42" ht="12.75" hidden="1" customHeight="1">
      <c r="A24" s="456" t="s">
        <v>15</v>
      </c>
      <c r="B24" s="458">
        <f t="shared" si="0"/>
        <v>291363</v>
      </c>
      <c r="C24" s="459">
        <f t="shared" si="1"/>
        <v>38.4</v>
      </c>
      <c r="D24" s="480">
        <f t="shared" si="2"/>
        <v>38.6</v>
      </c>
      <c r="E24" s="481">
        <f t="shared" si="3"/>
        <v>25000</v>
      </c>
      <c r="F24" s="462">
        <f t="shared" si="4"/>
        <v>38.4</v>
      </c>
      <c r="G24" s="463">
        <f t="shared" si="5"/>
        <v>-5.6000000000000008E-3</v>
      </c>
      <c r="H24" s="482">
        <f t="shared" si="6"/>
        <v>38.799999999999997</v>
      </c>
      <c r="I24" s="483">
        <f t="shared" si="7"/>
        <v>40</v>
      </c>
      <c r="J24" s="484">
        <f t="shared" si="8"/>
        <v>38.4</v>
      </c>
      <c r="K24" s="485">
        <f t="shared" si="9"/>
        <v>38.619999999999997</v>
      </c>
      <c r="L24" s="486">
        <f t="shared" si="10"/>
        <v>9408962</v>
      </c>
      <c r="M24" s="485">
        <f t="shared" si="11"/>
        <v>24264734</v>
      </c>
      <c r="N24" s="338">
        <f t="shared" si="12"/>
        <v>7030</v>
      </c>
      <c r="O24" s="374">
        <f t="shared" si="13"/>
        <v>45331.685335648152</v>
      </c>
      <c r="P24" s="390">
        <v>23</v>
      </c>
      <c r="Q24" s="545">
        <v>0</v>
      </c>
      <c r="R24" s="537">
        <v>0</v>
      </c>
      <c r="S24" s="363">
        <v>0</v>
      </c>
      <c r="T24" s="315">
        <v>0</v>
      </c>
      <c r="U24" s="553">
        <v>0</v>
      </c>
      <c r="V24" s="405">
        <v>0</v>
      </c>
      <c r="W24" s="735">
        <v>0</v>
      </c>
      <c r="X24" s="707">
        <v>0</v>
      </c>
      <c r="Y24" s="715">
        <v>97.140950792326919</v>
      </c>
      <c r="Z24" s="492" t="s">
        <v>13</v>
      </c>
      <c r="AA24" s="496" t="s">
        <v>14</v>
      </c>
    </row>
    <row r="25" spans="1:42" ht="12.75" hidden="1" customHeight="1">
      <c r="A25" s="517" t="s">
        <v>3</v>
      </c>
      <c r="B25" s="518">
        <f t="shared" si="0"/>
        <v>100000</v>
      </c>
      <c r="C25" s="519">
        <f t="shared" si="1"/>
        <v>38.25</v>
      </c>
      <c r="D25" s="520">
        <f t="shared" si="2"/>
        <v>38.799999999999997</v>
      </c>
      <c r="E25" s="521">
        <f t="shared" si="3"/>
        <v>43987</v>
      </c>
      <c r="F25" s="522">
        <f t="shared" si="4"/>
        <v>38.6</v>
      </c>
      <c r="G25" s="523">
        <f t="shared" si="5"/>
        <v>-5.1000000000000004E-3</v>
      </c>
      <c r="H25" s="524">
        <f t="shared" si="6"/>
        <v>39.999000000000002</v>
      </c>
      <c r="I25" s="525">
        <f t="shared" si="7"/>
        <v>39.999000000000002</v>
      </c>
      <c r="J25" s="526">
        <f t="shared" si="8"/>
        <v>38</v>
      </c>
      <c r="K25" s="527">
        <f t="shared" si="9"/>
        <v>38.799999999999997</v>
      </c>
      <c r="L25" s="528">
        <f t="shared" si="10"/>
        <v>138632</v>
      </c>
      <c r="M25" s="527">
        <f t="shared" si="11"/>
        <v>357616</v>
      </c>
      <c r="N25" s="336">
        <f t="shared" si="12"/>
        <v>117</v>
      </c>
      <c r="O25" s="446">
        <f t="shared" si="13"/>
        <v>45331.702847222223</v>
      </c>
      <c r="P25" s="389">
        <v>24</v>
      </c>
      <c r="Q25" s="344">
        <v>0</v>
      </c>
      <c r="R25" s="538">
        <v>0</v>
      </c>
      <c r="S25" s="368">
        <v>0</v>
      </c>
      <c r="T25" s="448">
        <v>0</v>
      </c>
      <c r="U25" s="353">
        <v>0</v>
      </c>
      <c r="V25" s="406">
        <v>0</v>
      </c>
      <c r="W25" s="620">
        <v>0</v>
      </c>
      <c r="X25" s="732">
        <v>0</v>
      </c>
      <c r="Y25" s="716">
        <v>95.236139630390142</v>
      </c>
      <c r="Z25" s="529" t="s">
        <v>2</v>
      </c>
      <c r="AA25" s="530" t="s">
        <v>4</v>
      </c>
    </row>
    <row r="26" spans="1:42" ht="12.75" hidden="1" customHeight="1">
      <c r="A26" s="457" t="s">
        <v>576</v>
      </c>
      <c r="B26" s="458">
        <f t="shared" si="0"/>
        <v>5000</v>
      </c>
      <c r="C26" s="459">
        <f t="shared" si="1"/>
        <v>96800</v>
      </c>
      <c r="D26" s="460">
        <f t="shared" si="2"/>
        <v>99580</v>
      </c>
      <c r="E26" s="461">
        <f t="shared" si="3"/>
        <v>500</v>
      </c>
      <c r="F26" s="462">
        <f t="shared" si="4"/>
        <v>99390</v>
      </c>
      <c r="G26" s="463">
        <f t="shared" si="5"/>
        <v>-3.0999999999999999E-3</v>
      </c>
      <c r="H26" s="464">
        <f t="shared" si="6"/>
        <v>99800</v>
      </c>
      <c r="I26" s="465">
        <f t="shared" si="7"/>
        <v>101790</v>
      </c>
      <c r="J26" s="466">
        <f t="shared" si="8"/>
        <v>97000</v>
      </c>
      <c r="K26" s="467">
        <f t="shared" si="9"/>
        <v>99700</v>
      </c>
      <c r="L26" s="468">
        <f t="shared" si="10"/>
        <v>57531294</v>
      </c>
      <c r="M26" s="467">
        <f t="shared" si="11"/>
        <v>58383</v>
      </c>
      <c r="N26" s="330">
        <f t="shared" si="12"/>
        <v>358</v>
      </c>
      <c r="O26" s="378">
        <f t="shared" si="13"/>
        <v>45331.687662037039</v>
      </c>
      <c r="P26" s="390">
        <v>25</v>
      </c>
      <c r="Q26" s="345">
        <v>0</v>
      </c>
      <c r="R26" s="535">
        <v>0</v>
      </c>
      <c r="S26" s="365">
        <v>0</v>
      </c>
      <c r="T26" s="322">
        <v>0</v>
      </c>
      <c r="U26" s="352">
        <v>0</v>
      </c>
      <c r="V26" s="355">
        <v>0</v>
      </c>
      <c r="W26" s="660">
        <v>0</v>
      </c>
      <c r="X26" s="686">
        <v>0</v>
      </c>
      <c r="Y26" s="717">
        <v>117394.40809042237</v>
      </c>
      <c r="Z26" s="497" t="s">
        <v>580</v>
      </c>
      <c r="AA26" s="498" t="s">
        <v>578</v>
      </c>
    </row>
    <row r="27" spans="1:42" ht="12.75" hidden="1" customHeight="1">
      <c r="A27" s="640" t="s">
        <v>616</v>
      </c>
      <c r="B27" s="469">
        <f t="shared" si="0"/>
        <v>5875647</v>
      </c>
      <c r="C27" s="470">
        <f t="shared" si="1"/>
        <v>174.11500000000001</v>
      </c>
      <c r="D27" s="471">
        <f t="shared" si="2"/>
        <v>174.16499999999999</v>
      </c>
      <c r="E27" s="472">
        <f t="shared" si="3"/>
        <v>14589800</v>
      </c>
      <c r="F27" s="473">
        <f t="shared" si="4"/>
        <v>174.11500000000001</v>
      </c>
      <c r="G27" s="474">
        <f t="shared" si="5"/>
        <v>2.0999999999999999E-3</v>
      </c>
      <c r="H27" s="487">
        <f t="shared" si="6"/>
        <v>172.5</v>
      </c>
      <c r="I27" s="488">
        <f t="shared" si="7"/>
        <v>174.5</v>
      </c>
      <c r="J27" s="489">
        <f t="shared" si="8"/>
        <v>172.5</v>
      </c>
      <c r="K27" s="490">
        <f t="shared" si="9"/>
        <v>173.75</v>
      </c>
      <c r="L27" s="491">
        <f t="shared" si="10"/>
        <v>10509562102</v>
      </c>
      <c r="M27" s="490">
        <f t="shared" si="11"/>
        <v>6034774109</v>
      </c>
      <c r="N27" s="304">
        <f t="shared" si="12"/>
        <v>2559</v>
      </c>
      <c r="O27" s="379">
        <f t="shared" si="13"/>
        <v>45331.708437499998</v>
      </c>
      <c r="P27" s="389">
        <v>26</v>
      </c>
      <c r="Q27" s="342">
        <v>0</v>
      </c>
      <c r="R27" s="536">
        <v>0</v>
      </c>
      <c r="S27" s="362">
        <v>0</v>
      </c>
      <c r="T27" s="321">
        <v>0</v>
      </c>
      <c r="U27" s="353">
        <v>0</v>
      </c>
      <c r="V27" s="354">
        <v>0</v>
      </c>
      <c r="W27" s="741">
        <v>0</v>
      </c>
      <c r="X27" s="723">
        <v>0</v>
      </c>
      <c r="Y27" s="718">
        <v>119315.75342465752</v>
      </c>
      <c r="Z27" s="499" t="s">
        <v>620</v>
      </c>
      <c r="AA27" s="500" t="s">
        <v>618</v>
      </c>
    </row>
    <row r="28" spans="1:42" ht="12.75" hidden="1" customHeight="1">
      <c r="A28" s="457" t="s">
        <v>613</v>
      </c>
      <c r="B28" s="458">
        <f t="shared" si="0"/>
        <v>170</v>
      </c>
      <c r="C28" s="459">
        <f t="shared" si="1"/>
        <v>79910</v>
      </c>
      <c r="D28" s="480">
        <f t="shared" si="2"/>
        <v>80000</v>
      </c>
      <c r="E28" s="481">
        <f t="shared" si="3"/>
        <v>100000</v>
      </c>
      <c r="F28" s="462">
        <f t="shared" si="4"/>
        <v>79910</v>
      </c>
      <c r="G28" s="463">
        <f t="shared" si="5"/>
        <v>-1.95E-2</v>
      </c>
      <c r="H28" s="464">
        <f t="shared" si="6"/>
        <v>81840</v>
      </c>
      <c r="I28" s="465">
        <f t="shared" si="7"/>
        <v>83360</v>
      </c>
      <c r="J28" s="466">
        <f t="shared" si="8"/>
        <v>78580</v>
      </c>
      <c r="K28" s="467">
        <f t="shared" si="9"/>
        <v>81500</v>
      </c>
      <c r="L28" s="468">
        <f t="shared" si="10"/>
        <v>750179930</v>
      </c>
      <c r="M28" s="467">
        <f t="shared" si="11"/>
        <v>936230</v>
      </c>
      <c r="N28" s="330">
        <f t="shared" si="12"/>
        <v>485</v>
      </c>
      <c r="O28" s="378">
        <f t="shared" si="13"/>
        <v>45331.687673611108</v>
      </c>
      <c r="P28" s="390">
        <v>27</v>
      </c>
      <c r="Q28" s="345">
        <v>0</v>
      </c>
      <c r="R28" s="535">
        <v>0</v>
      </c>
      <c r="S28" s="365">
        <v>0</v>
      </c>
      <c r="T28" s="322">
        <v>0</v>
      </c>
      <c r="U28" s="352">
        <v>0</v>
      </c>
      <c r="V28" s="355">
        <v>0</v>
      </c>
      <c r="W28" s="742">
        <v>0</v>
      </c>
      <c r="X28" s="724">
        <v>0</v>
      </c>
      <c r="Y28" s="719">
        <v>123661.53846153845</v>
      </c>
      <c r="Z28" s="501" t="s">
        <v>609</v>
      </c>
      <c r="AA28" s="502" t="s">
        <v>611</v>
      </c>
    </row>
    <row r="29" spans="1:42" ht="12.75" hidden="1" customHeight="1">
      <c r="A29" s="641" t="s">
        <v>614</v>
      </c>
      <c r="B29" s="558">
        <f t="shared" si="0"/>
        <v>84360</v>
      </c>
      <c r="C29" s="559">
        <f t="shared" si="1"/>
        <v>79900</v>
      </c>
      <c r="D29" s="560">
        <f t="shared" si="2"/>
        <v>80760</v>
      </c>
      <c r="E29" s="561">
        <f t="shared" si="3"/>
        <v>220</v>
      </c>
      <c r="F29" s="562">
        <f t="shared" si="4"/>
        <v>79900</v>
      </c>
      <c r="G29" s="563">
        <f t="shared" si="5"/>
        <v>-2.0799999999999999E-2</v>
      </c>
      <c r="H29" s="564">
        <f t="shared" si="6"/>
        <v>83000</v>
      </c>
      <c r="I29" s="565">
        <f t="shared" si="7"/>
        <v>84410</v>
      </c>
      <c r="J29" s="566">
        <f t="shared" si="8"/>
        <v>79010</v>
      </c>
      <c r="K29" s="567">
        <f t="shared" si="9"/>
        <v>81600</v>
      </c>
      <c r="L29" s="568">
        <f t="shared" si="10"/>
        <v>16823058559</v>
      </c>
      <c r="M29" s="567">
        <f t="shared" si="11"/>
        <v>20687580</v>
      </c>
      <c r="N29" s="569">
        <f t="shared" si="12"/>
        <v>2338</v>
      </c>
      <c r="O29" s="570">
        <f t="shared" si="13"/>
        <v>45331.708541666667</v>
      </c>
      <c r="P29" s="389">
        <v>28</v>
      </c>
      <c r="Q29" s="572">
        <v>0</v>
      </c>
      <c r="R29" s="573">
        <v>0</v>
      </c>
      <c r="S29" s="574">
        <v>0</v>
      </c>
      <c r="T29" s="575">
        <v>0</v>
      </c>
      <c r="U29" s="554">
        <v>0</v>
      </c>
      <c r="V29" s="599">
        <v>0</v>
      </c>
      <c r="W29" s="743">
        <v>0</v>
      </c>
      <c r="X29" s="725">
        <v>0</v>
      </c>
      <c r="Y29" s="720">
        <v>125593.22033898305</v>
      </c>
      <c r="Z29" s="576" t="s">
        <v>610</v>
      </c>
      <c r="AA29" s="577" t="s">
        <v>612</v>
      </c>
    </row>
    <row r="30" spans="1:42" ht="12.75" customHeight="1">
      <c r="A30" s="657" t="s">
        <v>645</v>
      </c>
      <c r="B30" s="324">
        <v>58</v>
      </c>
      <c r="C30" s="418">
        <v>40</v>
      </c>
      <c r="D30" s="335">
        <v>40.5</v>
      </c>
      <c r="E30" s="324">
        <v>100</v>
      </c>
      <c r="F30" s="760">
        <v>40.5</v>
      </c>
      <c r="G30" s="431">
        <v>-0.23480000000000001</v>
      </c>
      <c r="H30" s="307">
        <v>60</v>
      </c>
      <c r="I30" s="299">
        <v>62</v>
      </c>
      <c r="J30" s="385">
        <v>38</v>
      </c>
      <c r="K30" s="303">
        <v>52.933999999999997</v>
      </c>
      <c r="L30" s="330">
        <v>176274103</v>
      </c>
      <c r="M30" s="330">
        <v>34950</v>
      </c>
      <c r="N30" s="330">
        <v>3063</v>
      </c>
      <c r="O30" s="378">
        <v>45331.708240740743</v>
      </c>
      <c r="P30" s="390">
        <v>29</v>
      </c>
      <c r="Q30" s="345">
        <v>0</v>
      </c>
      <c r="R30" s="359">
        <v>0</v>
      </c>
      <c r="S30" s="365">
        <v>0</v>
      </c>
      <c r="T30" s="322">
        <v>0</v>
      </c>
      <c r="U30" s="553">
        <v>0</v>
      </c>
      <c r="V30" s="612">
        <v>0</v>
      </c>
      <c r="W30" s="726">
        <v>40500</v>
      </c>
      <c r="X30" s="757">
        <v>4400</v>
      </c>
      <c r="Y30" s="776">
        <v>0</v>
      </c>
      <c r="Z30" s="768">
        <v>0</v>
      </c>
      <c r="AA30" s="328"/>
    </row>
    <row r="31" spans="1:42" ht="12.75" customHeight="1">
      <c r="A31" s="658" t="s">
        <v>590</v>
      </c>
      <c r="B31" s="309">
        <v>32</v>
      </c>
      <c r="C31" s="308">
        <v>19</v>
      </c>
      <c r="D31" s="308">
        <v>23</v>
      </c>
      <c r="E31" s="309">
        <v>200</v>
      </c>
      <c r="F31" s="761">
        <v>19</v>
      </c>
      <c r="G31" s="434">
        <v>-0.39840000000000003</v>
      </c>
      <c r="H31" s="306">
        <v>21</v>
      </c>
      <c r="I31" s="297">
        <v>40</v>
      </c>
      <c r="J31" s="382">
        <v>18.201000000000001</v>
      </c>
      <c r="K31" s="301">
        <v>31.585999999999999</v>
      </c>
      <c r="L31" s="304">
        <v>79923862</v>
      </c>
      <c r="M31" s="304">
        <v>28705</v>
      </c>
      <c r="N31" s="304">
        <v>2044</v>
      </c>
      <c r="O31" s="379">
        <v>45331.708310185182</v>
      </c>
      <c r="P31" s="389">
        <v>30</v>
      </c>
      <c r="Q31" s="342">
        <v>0</v>
      </c>
      <c r="R31" s="360">
        <v>0</v>
      </c>
      <c r="S31" s="362">
        <v>0</v>
      </c>
      <c r="T31" s="321">
        <v>0</v>
      </c>
      <c r="U31" s="353">
        <v>0</v>
      </c>
      <c r="V31" s="754">
        <v>0</v>
      </c>
      <c r="W31" s="727">
        <v>0</v>
      </c>
      <c r="X31" s="758">
        <v>0</v>
      </c>
      <c r="Y31" s="777">
        <v>0</v>
      </c>
      <c r="Z31" s="770">
        <v>0</v>
      </c>
      <c r="AA31" s="328"/>
    </row>
    <row r="32" spans="1:42" ht="12.75" customHeight="1">
      <c r="A32" s="657" t="s">
        <v>591</v>
      </c>
      <c r="B32" s="324">
        <v>3</v>
      </c>
      <c r="C32" s="418">
        <v>8.1199999999999992</v>
      </c>
      <c r="D32" s="335">
        <v>10</v>
      </c>
      <c r="E32" s="324">
        <v>55</v>
      </c>
      <c r="F32" s="760">
        <v>9</v>
      </c>
      <c r="G32" s="431">
        <v>-0.52670000000000006</v>
      </c>
      <c r="H32" s="311">
        <v>15.5</v>
      </c>
      <c r="I32" s="298">
        <v>25</v>
      </c>
      <c r="J32" s="388">
        <v>9</v>
      </c>
      <c r="K32" s="302">
        <v>19.015999999999998</v>
      </c>
      <c r="L32" s="323">
        <v>25134135</v>
      </c>
      <c r="M32" s="323">
        <v>17205</v>
      </c>
      <c r="N32" s="323">
        <v>1418</v>
      </c>
      <c r="O32" s="380">
        <v>45331.708310185182</v>
      </c>
      <c r="P32" s="390">
        <v>31</v>
      </c>
      <c r="Q32" s="343">
        <v>0</v>
      </c>
      <c r="R32" s="361">
        <v>0</v>
      </c>
      <c r="S32" s="367">
        <v>0</v>
      </c>
      <c r="T32" s="320">
        <v>0</v>
      </c>
      <c r="U32" s="352">
        <v>0</v>
      </c>
      <c r="V32" s="612">
        <v>0</v>
      </c>
      <c r="W32" s="728">
        <v>0</v>
      </c>
      <c r="X32" s="757">
        <v>0</v>
      </c>
      <c r="Y32" s="778">
        <v>0</v>
      </c>
      <c r="Z32" s="772">
        <v>0</v>
      </c>
      <c r="AA32" s="328"/>
    </row>
    <row r="33" spans="1:27" ht="12.75" customHeight="1">
      <c r="A33" s="658" t="s">
        <v>592</v>
      </c>
      <c r="B33" s="309">
        <v>21</v>
      </c>
      <c r="C33" s="308">
        <v>4.0999999999999996</v>
      </c>
      <c r="D33" s="308">
        <v>5</v>
      </c>
      <c r="E33" s="309">
        <v>10</v>
      </c>
      <c r="F33" s="761">
        <v>4.0999999999999996</v>
      </c>
      <c r="G33" s="434">
        <v>-0.60580000000000001</v>
      </c>
      <c r="H33" s="306">
        <v>6</v>
      </c>
      <c r="I33" s="297">
        <v>11.9</v>
      </c>
      <c r="J33" s="382">
        <v>3.7</v>
      </c>
      <c r="K33" s="301">
        <v>10.401999999999999</v>
      </c>
      <c r="L33" s="304">
        <v>7877559</v>
      </c>
      <c r="M33" s="304">
        <v>12172</v>
      </c>
      <c r="N33" s="304">
        <v>1168</v>
      </c>
      <c r="O33" s="379">
        <v>45331.708310185182</v>
      </c>
      <c r="P33" s="389">
        <v>32</v>
      </c>
      <c r="Q33" s="342">
        <v>0</v>
      </c>
      <c r="R33" s="360">
        <v>0</v>
      </c>
      <c r="S33" s="362">
        <v>0</v>
      </c>
      <c r="T33" s="321">
        <v>0</v>
      </c>
      <c r="U33" s="353">
        <v>0</v>
      </c>
      <c r="V33" s="754">
        <v>0</v>
      </c>
      <c r="W33" s="727">
        <v>0</v>
      </c>
      <c r="X33" s="758">
        <v>0</v>
      </c>
      <c r="Y33" s="777">
        <v>0</v>
      </c>
      <c r="Z33" s="770">
        <v>0</v>
      </c>
      <c r="AA33" s="328"/>
    </row>
    <row r="34" spans="1:27" ht="12.75" customHeight="1">
      <c r="A34" s="657" t="s">
        <v>593</v>
      </c>
      <c r="B34" s="324">
        <v>797</v>
      </c>
      <c r="C34" s="418">
        <v>1.35</v>
      </c>
      <c r="D34" s="335">
        <v>1.95</v>
      </c>
      <c r="E34" s="324">
        <v>1</v>
      </c>
      <c r="F34" s="760">
        <v>1.35</v>
      </c>
      <c r="G34" s="431">
        <v>-0.78</v>
      </c>
      <c r="H34" s="311">
        <v>6</v>
      </c>
      <c r="I34" s="298">
        <v>7</v>
      </c>
      <c r="J34" s="388">
        <v>1.35</v>
      </c>
      <c r="K34" s="302">
        <v>6.1369999999999996</v>
      </c>
      <c r="L34" s="323">
        <v>4400954</v>
      </c>
      <c r="M34" s="323">
        <v>12870</v>
      </c>
      <c r="N34" s="323">
        <v>919</v>
      </c>
      <c r="O34" s="380">
        <v>45331.708229166667</v>
      </c>
      <c r="P34" s="390">
        <v>33</v>
      </c>
      <c r="Q34" s="343">
        <v>0</v>
      </c>
      <c r="R34" s="361">
        <v>0</v>
      </c>
      <c r="S34" s="367">
        <v>0</v>
      </c>
      <c r="T34" s="320">
        <v>0</v>
      </c>
      <c r="U34" s="352">
        <v>0</v>
      </c>
      <c r="V34" s="612">
        <v>0</v>
      </c>
      <c r="W34" s="756">
        <v>1350</v>
      </c>
      <c r="X34" s="757">
        <v>150</v>
      </c>
      <c r="Y34" s="778">
        <v>0</v>
      </c>
      <c r="Z34" s="772">
        <v>0</v>
      </c>
      <c r="AA34" s="328"/>
    </row>
    <row r="35" spans="1:27" ht="12.75" customHeight="1">
      <c r="A35" s="658" t="s">
        <v>594</v>
      </c>
      <c r="B35" s="309">
        <v>7</v>
      </c>
      <c r="C35" s="308">
        <v>1</v>
      </c>
      <c r="D35" s="308">
        <v>1.22</v>
      </c>
      <c r="E35" s="309">
        <v>55</v>
      </c>
      <c r="F35" s="761">
        <v>1.05</v>
      </c>
      <c r="G35" s="434">
        <v>-0.70849999999999991</v>
      </c>
      <c r="H35" s="306">
        <v>2.9</v>
      </c>
      <c r="I35" s="297">
        <v>4.7</v>
      </c>
      <c r="J35" s="382">
        <v>1.05</v>
      </c>
      <c r="K35" s="301">
        <v>3.6030000000000002</v>
      </c>
      <c r="L35" s="304">
        <v>1523105</v>
      </c>
      <c r="M35" s="304">
        <v>7671</v>
      </c>
      <c r="N35" s="304">
        <v>842</v>
      </c>
      <c r="O35" s="379">
        <v>45331.70820601852</v>
      </c>
      <c r="P35" s="389">
        <v>34</v>
      </c>
      <c r="Q35" s="342">
        <v>0</v>
      </c>
      <c r="R35" s="360">
        <v>0</v>
      </c>
      <c r="S35" s="362">
        <v>0</v>
      </c>
      <c r="T35" s="321">
        <v>0</v>
      </c>
      <c r="U35" s="353">
        <v>0</v>
      </c>
      <c r="V35" s="754">
        <v>0</v>
      </c>
      <c r="W35" s="727">
        <v>0</v>
      </c>
      <c r="X35" s="758">
        <v>0</v>
      </c>
      <c r="Y35" s="777">
        <v>0</v>
      </c>
      <c r="Z35" s="770">
        <v>0</v>
      </c>
      <c r="AA35" s="328"/>
    </row>
    <row r="36" spans="1:27" ht="12.75" customHeight="1">
      <c r="A36" s="657" t="s">
        <v>595</v>
      </c>
      <c r="B36" s="324">
        <v>75</v>
      </c>
      <c r="C36" s="418">
        <v>0.76100000000000001</v>
      </c>
      <c r="D36" s="335">
        <v>1</v>
      </c>
      <c r="E36" s="324">
        <v>40</v>
      </c>
      <c r="F36" s="760">
        <v>1</v>
      </c>
      <c r="G36" s="431">
        <v>-0.39350000000000002</v>
      </c>
      <c r="H36" s="311">
        <v>1.59</v>
      </c>
      <c r="I36" s="298">
        <v>1.9</v>
      </c>
      <c r="J36" s="388">
        <v>0.70299999999999996</v>
      </c>
      <c r="K36" s="302">
        <v>1.649</v>
      </c>
      <c r="L36" s="323">
        <v>3196667</v>
      </c>
      <c r="M36" s="323">
        <v>23665</v>
      </c>
      <c r="N36" s="323">
        <v>1427</v>
      </c>
      <c r="O36" s="380">
        <v>45331.708182870374</v>
      </c>
      <c r="P36" s="390">
        <v>35</v>
      </c>
      <c r="Q36" s="343">
        <v>0</v>
      </c>
      <c r="R36" s="361">
        <v>0</v>
      </c>
      <c r="S36" s="367">
        <v>0</v>
      </c>
      <c r="T36" s="320">
        <v>0</v>
      </c>
      <c r="U36" s="352">
        <v>0</v>
      </c>
      <c r="V36" s="612">
        <v>0</v>
      </c>
      <c r="W36" s="728">
        <v>0</v>
      </c>
      <c r="X36" s="757">
        <v>0</v>
      </c>
      <c r="Y36" s="778">
        <v>0</v>
      </c>
      <c r="Z36" s="772">
        <v>0</v>
      </c>
      <c r="AA36" s="328"/>
    </row>
    <row r="37" spans="1:27" ht="12.75" customHeight="1">
      <c r="A37" s="658" t="s">
        <v>629</v>
      </c>
      <c r="B37" s="309">
        <v>30</v>
      </c>
      <c r="C37" s="308">
        <v>0.56000000000000005</v>
      </c>
      <c r="D37" s="308">
        <v>1.1990000000000001</v>
      </c>
      <c r="E37" s="309">
        <v>30</v>
      </c>
      <c r="F37" s="761">
        <v>0.6</v>
      </c>
      <c r="G37" s="434">
        <v>-0.4849</v>
      </c>
      <c r="H37" s="306">
        <v>1.2</v>
      </c>
      <c r="I37" s="297">
        <v>1.5</v>
      </c>
      <c r="J37" s="382">
        <v>0.6</v>
      </c>
      <c r="K37" s="301">
        <v>1.165</v>
      </c>
      <c r="L37" s="304">
        <v>698426</v>
      </c>
      <c r="M37" s="304">
        <v>7637</v>
      </c>
      <c r="N37" s="304">
        <v>800</v>
      </c>
      <c r="O37" s="379">
        <v>45331.707800925928</v>
      </c>
      <c r="P37" s="389">
        <v>36</v>
      </c>
      <c r="Q37" s="342">
        <v>0</v>
      </c>
      <c r="R37" s="360">
        <v>0</v>
      </c>
      <c r="S37" s="362">
        <v>0</v>
      </c>
      <c r="T37" s="321">
        <v>0</v>
      </c>
      <c r="U37" s="353">
        <v>0</v>
      </c>
      <c r="V37" s="754">
        <v>0</v>
      </c>
      <c r="W37" s="727">
        <v>0</v>
      </c>
      <c r="X37" s="758">
        <v>0</v>
      </c>
      <c r="Y37" s="777">
        <v>0</v>
      </c>
      <c r="Z37" s="770">
        <v>0</v>
      </c>
      <c r="AA37" s="328"/>
    </row>
    <row r="38" spans="1:27" ht="12.75" customHeight="1">
      <c r="A38" s="657" t="s">
        <v>630</v>
      </c>
      <c r="B38" s="324">
        <v>36</v>
      </c>
      <c r="C38" s="418">
        <v>0.35</v>
      </c>
      <c r="D38" s="335">
        <v>0.78400000000000003</v>
      </c>
      <c r="E38" s="324">
        <v>16</v>
      </c>
      <c r="F38" s="760">
        <v>0.35</v>
      </c>
      <c r="G38" s="431">
        <v>-0.64680000000000004</v>
      </c>
      <c r="H38" s="311">
        <v>0.6</v>
      </c>
      <c r="I38" s="298">
        <v>1</v>
      </c>
      <c r="J38" s="388">
        <v>0.30099999999999999</v>
      </c>
      <c r="K38" s="302">
        <v>0.99099999999999999</v>
      </c>
      <c r="L38" s="323">
        <v>97051</v>
      </c>
      <c r="M38" s="323">
        <v>1304</v>
      </c>
      <c r="N38" s="323">
        <v>309</v>
      </c>
      <c r="O38" s="380">
        <v>45331.706875000003</v>
      </c>
      <c r="P38" s="390">
        <v>37</v>
      </c>
      <c r="Q38" s="343">
        <v>0</v>
      </c>
      <c r="R38" s="361">
        <v>0</v>
      </c>
      <c r="S38" s="367">
        <v>0</v>
      </c>
      <c r="T38" s="320">
        <v>0</v>
      </c>
      <c r="U38" s="352">
        <v>0</v>
      </c>
      <c r="V38" s="612">
        <v>0</v>
      </c>
      <c r="W38" s="728">
        <v>0</v>
      </c>
      <c r="X38" s="757">
        <v>0</v>
      </c>
      <c r="Y38" s="778">
        <v>0</v>
      </c>
      <c r="Z38" s="772">
        <v>0</v>
      </c>
      <c r="AA38" s="328"/>
    </row>
    <row r="39" spans="1:27" ht="12.75" customHeight="1">
      <c r="A39" s="658" t="s">
        <v>631</v>
      </c>
      <c r="B39" s="309">
        <v>5</v>
      </c>
      <c r="C39" s="308">
        <v>0.35</v>
      </c>
      <c r="D39" s="308">
        <v>0.79900000000000004</v>
      </c>
      <c r="E39" s="309">
        <v>13</v>
      </c>
      <c r="F39" s="761">
        <v>0.79900000000000004</v>
      </c>
      <c r="G39" s="434">
        <v>0.1681</v>
      </c>
      <c r="H39" s="306">
        <v>0.46</v>
      </c>
      <c r="I39" s="297">
        <v>0.89700000000000002</v>
      </c>
      <c r="J39" s="382">
        <v>0.26</v>
      </c>
      <c r="K39" s="301">
        <v>0.68400000000000005</v>
      </c>
      <c r="L39" s="304">
        <v>26249</v>
      </c>
      <c r="M39" s="304">
        <v>462</v>
      </c>
      <c r="N39" s="304">
        <v>159</v>
      </c>
      <c r="O39" s="379">
        <v>45331.704317129632</v>
      </c>
      <c r="P39" s="389">
        <v>38</v>
      </c>
      <c r="Q39" s="342">
        <v>0</v>
      </c>
      <c r="R39" s="360">
        <v>0</v>
      </c>
      <c r="S39" s="362">
        <v>0</v>
      </c>
      <c r="T39" s="321">
        <v>0</v>
      </c>
      <c r="U39" s="353">
        <v>0</v>
      </c>
      <c r="V39" s="754">
        <v>0</v>
      </c>
      <c r="W39" s="727">
        <v>0</v>
      </c>
      <c r="X39" s="758">
        <v>0</v>
      </c>
      <c r="Y39" s="777">
        <v>0</v>
      </c>
      <c r="Z39" s="770">
        <v>0</v>
      </c>
      <c r="AA39" s="328"/>
    </row>
    <row r="40" spans="1:27" ht="12.75" customHeight="1">
      <c r="A40" s="657" t="s">
        <v>632</v>
      </c>
      <c r="B40" s="324">
        <v>8</v>
      </c>
      <c r="C40" s="418">
        <v>0.12</v>
      </c>
      <c r="D40" s="335">
        <v>0.31</v>
      </c>
      <c r="E40" s="324">
        <v>49</v>
      </c>
      <c r="F40" s="760">
        <v>0.31</v>
      </c>
      <c r="G40" s="431">
        <v>-0.40490000000000004</v>
      </c>
      <c r="H40" s="311">
        <v>0.31</v>
      </c>
      <c r="I40" s="298">
        <v>0.6</v>
      </c>
      <c r="J40" s="388">
        <v>0.25</v>
      </c>
      <c r="K40" s="302">
        <v>0.52100000000000002</v>
      </c>
      <c r="L40" s="323">
        <v>211632</v>
      </c>
      <c r="M40" s="323">
        <v>6406</v>
      </c>
      <c r="N40" s="323">
        <v>423</v>
      </c>
      <c r="O40" s="380">
        <v>45331.708078703705</v>
      </c>
      <c r="P40" s="390">
        <v>39</v>
      </c>
      <c r="Q40" s="343">
        <v>0</v>
      </c>
      <c r="R40" s="361">
        <v>0</v>
      </c>
      <c r="S40" s="367">
        <v>0</v>
      </c>
      <c r="T40" s="320">
        <v>0</v>
      </c>
      <c r="U40" s="352">
        <v>0</v>
      </c>
      <c r="V40" s="612">
        <v>0</v>
      </c>
      <c r="W40" s="728">
        <v>0</v>
      </c>
      <c r="X40" s="757">
        <v>0</v>
      </c>
      <c r="Y40" s="778">
        <v>0</v>
      </c>
      <c r="Z40" s="772">
        <v>0</v>
      </c>
      <c r="AA40" s="328"/>
    </row>
    <row r="41" spans="1:27" ht="12.75" customHeight="1">
      <c r="A41" s="659" t="s">
        <v>633</v>
      </c>
      <c r="B41" s="605">
        <v>287</v>
      </c>
      <c r="C41" s="580">
        <v>0.15</v>
      </c>
      <c r="D41" s="580">
        <v>0.44</v>
      </c>
      <c r="E41" s="605">
        <v>50</v>
      </c>
      <c r="F41" s="762">
        <v>0.15</v>
      </c>
      <c r="G41" s="606">
        <v>-0.57020000000000004</v>
      </c>
      <c r="H41" s="584">
        <v>0.46</v>
      </c>
      <c r="I41" s="585">
        <v>0.46</v>
      </c>
      <c r="J41" s="586">
        <v>0.1</v>
      </c>
      <c r="K41" s="587">
        <v>0.34899999999999998</v>
      </c>
      <c r="L41" s="569">
        <v>19072</v>
      </c>
      <c r="M41" s="569">
        <v>732</v>
      </c>
      <c r="N41" s="569">
        <v>108</v>
      </c>
      <c r="O41" s="570">
        <v>45331.708078703705</v>
      </c>
      <c r="P41" s="389">
        <v>40</v>
      </c>
      <c r="Q41" s="572">
        <v>0</v>
      </c>
      <c r="R41" s="607">
        <v>0</v>
      </c>
      <c r="S41" s="574">
        <v>0</v>
      </c>
      <c r="T41" s="590">
        <v>0</v>
      </c>
      <c r="U41" s="353">
        <v>0</v>
      </c>
      <c r="V41" s="754">
        <v>0</v>
      </c>
      <c r="W41" s="729">
        <v>0</v>
      </c>
      <c r="X41" s="759">
        <v>0</v>
      </c>
      <c r="Y41" s="779">
        <v>0</v>
      </c>
      <c r="Z41" s="774">
        <v>0</v>
      </c>
      <c r="AA41" s="328"/>
    </row>
    <row r="42" spans="1:27" ht="12.75" customHeight="1">
      <c r="A42" s="657" t="s">
        <v>596</v>
      </c>
      <c r="B42" s="324">
        <v>67</v>
      </c>
      <c r="C42" s="418">
        <v>0.02</v>
      </c>
      <c r="D42" s="335">
        <v>0.05</v>
      </c>
      <c r="E42" s="324">
        <v>37</v>
      </c>
      <c r="F42" s="760">
        <v>0.02</v>
      </c>
      <c r="G42" s="431">
        <v>-0.5</v>
      </c>
      <c r="H42" s="307">
        <v>0.02</v>
      </c>
      <c r="I42" s="299">
        <v>0.02</v>
      </c>
      <c r="J42" s="385">
        <v>0.02</v>
      </c>
      <c r="K42" s="303">
        <v>0.04</v>
      </c>
      <c r="L42" s="330">
        <v>84</v>
      </c>
      <c r="M42" s="330">
        <v>42</v>
      </c>
      <c r="N42" s="330">
        <v>7</v>
      </c>
      <c r="O42" s="378">
        <v>45331.687789351854</v>
      </c>
      <c r="P42" s="390">
        <v>41</v>
      </c>
      <c r="Q42" s="345">
        <v>0</v>
      </c>
      <c r="R42" s="359">
        <v>0</v>
      </c>
      <c r="S42" s="365">
        <v>0</v>
      </c>
      <c r="T42" s="322">
        <v>0</v>
      </c>
      <c r="U42" s="553">
        <v>0</v>
      </c>
      <c r="V42" s="612">
        <v>0</v>
      </c>
      <c r="W42" s="730">
        <v>0</v>
      </c>
      <c r="X42" s="757">
        <v>0</v>
      </c>
      <c r="Y42" s="775">
        <v>0</v>
      </c>
      <c r="Z42" s="768">
        <v>0</v>
      </c>
      <c r="AA42" s="328"/>
    </row>
    <row r="43" spans="1:27" ht="12.75" customHeight="1">
      <c r="A43" s="658" t="s">
        <v>597</v>
      </c>
      <c r="B43" s="309"/>
      <c r="C43" s="308"/>
      <c r="D43" s="308">
        <v>0.04</v>
      </c>
      <c r="E43" s="309">
        <v>1</v>
      </c>
      <c r="F43" s="761"/>
      <c r="G43" s="434"/>
      <c r="H43" s="306"/>
      <c r="I43" s="297"/>
      <c r="J43" s="382"/>
      <c r="K43" s="301">
        <v>7.3999999999999996E-2</v>
      </c>
      <c r="L43" s="304"/>
      <c r="M43" s="304"/>
      <c r="N43" s="304"/>
      <c r="O43" s="379"/>
      <c r="P43" s="389">
        <v>42</v>
      </c>
      <c r="Q43" s="342">
        <v>0</v>
      </c>
      <c r="R43" s="360">
        <v>0</v>
      </c>
      <c r="S43" s="362">
        <v>0</v>
      </c>
      <c r="T43" s="321">
        <v>0</v>
      </c>
      <c r="U43" s="353">
        <v>0</v>
      </c>
      <c r="V43" s="754">
        <v>0</v>
      </c>
      <c r="W43" s="727">
        <v>0</v>
      </c>
      <c r="X43" s="758">
        <v>0</v>
      </c>
      <c r="Y43" s="769">
        <v>0</v>
      </c>
      <c r="Z43" s="770">
        <v>0</v>
      </c>
      <c r="AA43" s="328"/>
    </row>
    <row r="44" spans="1:27" ht="12.75" customHeight="1">
      <c r="A44" s="657" t="s">
        <v>598</v>
      </c>
      <c r="B44" s="324">
        <v>150</v>
      </c>
      <c r="C44" s="418">
        <v>0.04</v>
      </c>
      <c r="D44" s="335">
        <v>7.9000000000000001E-2</v>
      </c>
      <c r="E44" s="324">
        <v>4</v>
      </c>
      <c r="F44" s="760">
        <v>0.08</v>
      </c>
      <c r="G44" s="431">
        <v>-0.57889999999999997</v>
      </c>
      <c r="H44" s="311">
        <v>0.1</v>
      </c>
      <c r="I44" s="298">
        <v>0.1</v>
      </c>
      <c r="J44" s="388">
        <v>0.08</v>
      </c>
      <c r="K44" s="302">
        <v>0.19</v>
      </c>
      <c r="L44" s="323">
        <v>3177</v>
      </c>
      <c r="M44" s="323">
        <v>395</v>
      </c>
      <c r="N44" s="323">
        <v>14</v>
      </c>
      <c r="O44" s="380">
        <v>45331.684733796297</v>
      </c>
      <c r="P44" s="390">
        <v>43</v>
      </c>
      <c r="Q44" s="343">
        <v>0</v>
      </c>
      <c r="R44" s="361">
        <v>0</v>
      </c>
      <c r="S44" s="367">
        <v>0</v>
      </c>
      <c r="T44" s="320">
        <v>0</v>
      </c>
      <c r="U44" s="352">
        <v>0</v>
      </c>
      <c r="V44" s="612">
        <v>0</v>
      </c>
      <c r="W44" s="728">
        <v>0</v>
      </c>
      <c r="X44" s="757">
        <v>0</v>
      </c>
      <c r="Y44" s="771">
        <v>0</v>
      </c>
      <c r="Z44" s="772">
        <v>0</v>
      </c>
      <c r="AA44" s="328"/>
    </row>
    <row r="45" spans="1:27" ht="12.75" customHeight="1">
      <c r="A45" s="658" t="s">
        <v>599</v>
      </c>
      <c r="B45" s="309">
        <v>19</v>
      </c>
      <c r="C45" s="308">
        <v>0.05</v>
      </c>
      <c r="D45" s="308">
        <v>0.09</v>
      </c>
      <c r="E45" s="309">
        <v>50</v>
      </c>
      <c r="F45" s="761">
        <v>0.05</v>
      </c>
      <c r="G45" s="434">
        <v>-0.66659999999999997</v>
      </c>
      <c r="H45" s="306">
        <v>0.1</v>
      </c>
      <c r="I45" s="297">
        <v>0.1</v>
      </c>
      <c r="J45" s="382">
        <v>0.05</v>
      </c>
      <c r="K45" s="301">
        <v>0.15</v>
      </c>
      <c r="L45" s="304">
        <v>575</v>
      </c>
      <c r="M45" s="304">
        <v>84</v>
      </c>
      <c r="N45" s="304">
        <v>12</v>
      </c>
      <c r="O45" s="379">
        <v>45331.700856481482</v>
      </c>
      <c r="P45" s="389">
        <v>44</v>
      </c>
      <c r="Q45" s="342">
        <v>0</v>
      </c>
      <c r="R45" s="360">
        <v>0</v>
      </c>
      <c r="S45" s="362">
        <v>0</v>
      </c>
      <c r="T45" s="321">
        <v>0</v>
      </c>
      <c r="U45" s="353">
        <v>0</v>
      </c>
      <c r="V45" s="754">
        <v>0</v>
      </c>
      <c r="W45" s="727">
        <v>0</v>
      </c>
      <c r="X45" s="758">
        <v>0</v>
      </c>
      <c r="Y45" s="769">
        <v>0</v>
      </c>
      <c r="Z45" s="770">
        <v>0</v>
      </c>
      <c r="AA45" s="328"/>
    </row>
    <row r="46" spans="1:27" ht="12.75" customHeight="1">
      <c r="A46" s="657" t="s">
        <v>600</v>
      </c>
      <c r="B46" s="324">
        <v>20</v>
      </c>
      <c r="C46" s="418">
        <v>0.05</v>
      </c>
      <c r="D46" s="335">
        <v>0.105</v>
      </c>
      <c r="E46" s="324">
        <v>174</v>
      </c>
      <c r="F46" s="760">
        <v>0.105</v>
      </c>
      <c r="G46" s="431">
        <v>-0.36359999999999998</v>
      </c>
      <c r="H46" s="311">
        <v>0.105</v>
      </c>
      <c r="I46" s="298">
        <v>0.121</v>
      </c>
      <c r="J46" s="388">
        <v>0.1</v>
      </c>
      <c r="K46" s="302">
        <v>0.16500000000000001</v>
      </c>
      <c r="L46" s="323">
        <v>10972</v>
      </c>
      <c r="M46" s="323">
        <v>1012</v>
      </c>
      <c r="N46" s="323">
        <v>42</v>
      </c>
      <c r="O46" s="380">
        <v>45331.678530092591</v>
      </c>
      <c r="P46" s="390">
        <v>45</v>
      </c>
      <c r="Q46" s="343">
        <v>0</v>
      </c>
      <c r="R46" s="361">
        <v>0</v>
      </c>
      <c r="S46" s="367">
        <v>0</v>
      </c>
      <c r="T46" s="320">
        <v>0</v>
      </c>
      <c r="U46" s="352">
        <v>0</v>
      </c>
      <c r="V46" s="612">
        <v>0</v>
      </c>
      <c r="W46" s="728">
        <v>0</v>
      </c>
      <c r="X46" s="757">
        <v>0</v>
      </c>
      <c r="Y46" s="771">
        <v>0</v>
      </c>
      <c r="Z46" s="772">
        <v>0</v>
      </c>
      <c r="AA46" s="328"/>
    </row>
    <row r="47" spans="1:27" ht="12.75" customHeight="1">
      <c r="A47" s="658" t="s">
        <v>601</v>
      </c>
      <c r="B47" s="309">
        <v>10</v>
      </c>
      <c r="C47" s="308">
        <v>0.1</v>
      </c>
      <c r="D47" s="308">
        <v>0.23</v>
      </c>
      <c r="E47" s="309">
        <v>255</v>
      </c>
      <c r="F47" s="761">
        <v>0.23</v>
      </c>
      <c r="G47" s="434">
        <v>-0.43200000000000005</v>
      </c>
      <c r="H47" s="306">
        <v>0.4</v>
      </c>
      <c r="I47" s="297">
        <v>0.4</v>
      </c>
      <c r="J47" s="382">
        <v>0.15</v>
      </c>
      <c r="K47" s="301">
        <v>0.40500000000000003</v>
      </c>
      <c r="L47" s="304">
        <v>9680</v>
      </c>
      <c r="M47" s="304">
        <v>431</v>
      </c>
      <c r="N47" s="304">
        <v>91</v>
      </c>
      <c r="O47" s="379">
        <v>45331.687928240739</v>
      </c>
      <c r="P47" s="389">
        <v>46</v>
      </c>
      <c r="Q47" s="342">
        <v>0</v>
      </c>
      <c r="R47" s="360">
        <v>0</v>
      </c>
      <c r="S47" s="362">
        <v>0</v>
      </c>
      <c r="T47" s="321">
        <v>0</v>
      </c>
      <c r="U47" s="353">
        <v>0</v>
      </c>
      <c r="V47" s="754">
        <v>0</v>
      </c>
      <c r="W47" s="727">
        <v>0</v>
      </c>
      <c r="X47" s="758">
        <v>0</v>
      </c>
      <c r="Y47" s="769">
        <v>0</v>
      </c>
      <c r="Z47" s="770">
        <v>0</v>
      </c>
      <c r="AA47" s="328"/>
    </row>
    <row r="48" spans="1:27" ht="12.75" customHeight="1">
      <c r="A48" s="657" t="s">
        <v>602</v>
      </c>
      <c r="B48" s="324">
        <v>213</v>
      </c>
      <c r="C48" s="418">
        <v>0.13</v>
      </c>
      <c r="D48" s="335">
        <v>0.249</v>
      </c>
      <c r="E48" s="324">
        <v>16</v>
      </c>
      <c r="F48" s="760">
        <v>0.14099999999999999</v>
      </c>
      <c r="G48" s="431">
        <v>-0.75930000000000009</v>
      </c>
      <c r="H48" s="311">
        <v>0.748</v>
      </c>
      <c r="I48" s="298">
        <v>0.748</v>
      </c>
      <c r="J48" s="388">
        <v>0.12</v>
      </c>
      <c r="K48" s="302">
        <v>0.58599999999999997</v>
      </c>
      <c r="L48" s="323">
        <v>16521</v>
      </c>
      <c r="M48" s="323">
        <v>780</v>
      </c>
      <c r="N48" s="323">
        <v>117</v>
      </c>
      <c r="O48" s="380">
        <v>45331.704340277778</v>
      </c>
      <c r="P48" s="390">
        <v>47</v>
      </c>
      <c r="Q48" s="343">
        <v>0</v>
      </c>
      <c r="R48" s="361">
        <v>0</v>
      </c>
      <c r="S48" s="367">
        <v>0</v>
      </c>
      <c r="T48" s="320">
        <v>0</v>
      </c>
      <c r="U48" s="352">
        <v>0</v>
      </c>
      <c r="V48" s="612">
        <v>0</v>
      </c>
      <c r="W48" s="728">
        <v>0</v>
      </c>
      <c r="X48" s="757">
        <v>0</v>
      </c>
      <c r="Y48" s="771">
        <v>0</v>
      </c>
      <c r="Z48" s="772">
        <v>0</v>
      </c>
      <c r="AA48" s="328"/>
    </row>
    <row r="49" spans="1:41" ht="12.75" customHeight="1">
      <c r="A49" s="658" t="s">
        <v>603</v>
      </c>
      <c r="B49" s="309">
        <v>15</v>
      </c>
      <c r="C49" s="308">
        <v>0.20499999999999999</v>
      </c>
      <c r="D49" s="308">
        <v>0.39</v>
      </c>
      <c r="E49" s="309">
        <v>28</v>
      </c>
      <c r="F49" s="761">
        <v>0.22</v>
      </c>
      <c r="G49" s="434">
        <v>-0.74939999999999996</v>
      </c>
      <c r="H49" s="306">
        <v>0.6</v>
      </c>
      <c r="I49" s="297">
        <v>0.85</v>
      </c>
      <c r="J49" s="382">
        <v>0.121</v>
      </c>
      <c r="K49" s="301">
        <v>0.878</v>
      </c>
      <c r="L49" s="304">
        <v>114822</v>
      </c>
      <c r="M49" s="304">
        <v>3509</v>
      </c>
      <c r="N49" s="304">
        <v>383</v>
      </c>
      <c r="O49" s="379">
        <v>45331.691423611112</v>
      </c>
      <c r="P49" s="389">
        <v>48</v>
      </c>
      <c r="Q49" s="342">
        <v>0</v>
      </c>
      <c r="R49" s="360">
        <v>0</v>
      </c>
      <c r="S49" s="362">
        <v>0</v>
      </c>
      <c r="T49" s="321">
        <v>0</v>
      </c>
      <c r="U49" s="353">
        <v>0</v>
      </c>
      <c r="V49" s="754">
        <v>0</v>
      </c>
      <c r="W49" s="727">
        <v>0</v>
      </c>
      <c r="X49" s="758">
        <v>0</v>
      </c>
      <c r="Y49" s="769">
        <v>0</v>
      </c>
      <c r="Z49" s="770">
        <v>0</v>
      </c>
      <c r="AA49" s="328"/>
    </row>
    <row r="50" spans="1:41" ht="12.75" customHeight="1">
      <c r="A50" s="657" t="s">
        <v>604</v>
      </c>
      <c r="B50" s="324">
        <v>49</v>
      </c>
      <c r="C50" s="418">
        <v>0.39</v>
      </c>
      <c r="D50" s="335">
        <v>0.75</v>
      </c>
      <c r="E50" s="324">
        <v>5</v>
      </c>
      <c r="F50" s="760">
        <v>0.39</v>
      </c>
      <c r="G50" s="431">
        <v>-0.76489999999999991</v>
      </c>
      <c r="H50" s="311">
        <v>1.79</v>
      </c>
      <c r="I50" s="298">
        <v>1.9750000000000001</v>
      </c>
      <c r="J50" s="388">
        <v>0.39</v>
      </c>
      <c r="K50" s="302">
        <v>1.659</v>
      </c>
      <c r="L50" s="323">
        <v>313213</v>
      </c>
      <c r="M50" s="323">
        <v>3456</v>
      </c>
      <c r="N50" s="323">
        <v>348</v>
      </c>
      <c r="O50" s="380">
        <v>45331.70821759259</v>
      </c>
      <c r="P50" s="390">
        <v>49</v>
      </c>
      <c r="Q50" s="343">
        <v>0</v>
      </c>
      <c r="R50" s="361">
        <v>0</v>
      </c>
      <c r="S50" s="367">
        <v>0</v>
      </c>
      <c r="T50" s="320">
        <v>0</v>
      </c>
      <c r="U50" s="352">
        <v>0</v>
      </c>
      <c r="V50" s="612">
        <v>0</v>
      </c>
      <c r="W50" s="728">
        <v>0</v>
      </c>
      <c r="X50" s="757">
        <v>0</v>
      </c>
      <c r="Y50" s="771">
        <v>0</v>
      </c>
      <c r="Z50" s="772">
        <v>0</v>
      </c>
      <c r="AA50" s="328"/>
    </row>
    <row r="51" spans="1:41" ht="12.75" customHeight="1">
      <c r="A51" s="658" t="s">
        <v>605</v>
      </c>
      <c r="B51" s="309">
        <v>15</v>
      </c>
      <c r="C51" s="308">
        <v>1.71</v>
      </c>
      <c r="D51" s="308">
        <v>2</v>
      </c>
      <c r="E51" s="309">
        <v>16</v>
      </c>
      <c r="F51" s="761">
        <v>1.7</v>
      </c>
      <c r="G51" s="434">
        <v>-0.59460000000000002</v>
      </c>
      <c r="H51" s="306">
        <v>4.5449999999999999</v>
      </c>
      <c r="I51" s="297">
        <v>5</v>
      </c>
      <c r="J51" s="382">
        <v>1.51</v>
      </c>
      <c r="K51" s="301">
        <v>4.194</v>
      </c>
      <c r="L51" s="304">
        <v>2269670</v>
      </c>
      <c r="M51" s="304">
        <v>9516</v>
      </c>
      <c r="N51" s="304">
        <v>1567</v>
      </c>
      <c r="O51" s="379">
        <v>45331.708298611113</v>
      </c>
      <c r="P51" s="389">
        <v>50</v>
      </c>
      <c r="Q51" s="342">
        <v>0</v>
      </c>
      <c r="R51" s="360">
        <v>0</v>
      </c>
      <c r="S51" s="362">
        <v>0</v>
      </c>
      <c r="T51" s="321">
        <v>0</v>
      </c>
      <c r="U51" s="353">
        <v>0</v>
      </c>
      <c r="V51" s="754">
        <v>0</v>
      </c>
      <c r="W51" s="727">
        <v>0</v>
      </c>
      <c r="X51" s="758">
        <v>0</v>
      </c>
      <c r="Y51" s="769">
        <v>0</v>
      </c>
      <c r="Z51" s="770">
        <v>0</v>
      </c>
      <c r="AA51" s="328"/>
    </row>
    <row r="52" spans="1:41" ht="12.75" customHeight="1">
      <c r="A52" s="657" t="s">
        <v>606</v>
      </c>
      <c r="B52" s="324">
        <v>10</v>
      </c>
      <c r="C52" s="418">
        <v>4.1100000000000003</v>
      </c>
      <c r="D52" s="335">
        <v>5.49</v>
      </c>
      <c r="E52" s="324">
        <v>40</v>
      </c>
      <c r="F52" s="760">
        <v>4.0999999999999996</v>
      </c>
      <c r="G52" s="431">
        <v>-0.46619999999999995</v>
      </c>
      <c r="H52" s="311">
        <v>8.5500000000000007</v>
      </c>
      <c r="I52" s="298">
        <v>11</v>
      </c>
      <c r="J52" s="388">
        <v>3</v>
      </c>
      <c r="K52" s="302">
        <v>7.681</v>
      </c>
      <c r="L52" s="323">
        <v>8597403</v>
      </c>
      <c r="M52" s="323">
        <v>16291</v>
      </c>
      <c r="N52" s="323">
        <v>1545</v>
      </c>
      <c r="O52" s="380">
        <v>45331.707905092589</v>
      </c>
      <c r="P52" s="390">
        <v>51</v>
      </c>
      <c r="Q52" s="343">
        <v>0</v>
      </c>
      <c r="R52" s="361">
        <v>0</v>
      </c>
      <c r="S52" s="367">
        <v>0</v>
      </c>
      <c r="T52" s="320">
        <v>0</v>
      </c>
      <c r="U52" s="352">
        <v>0</v>
      </c>
      <c r="V52" s="612">
        <v>0</v>
      </c>
      <c r="W52" s="728">
        <f>V52*X52</f>
        <v>0</v>
      </c>
      <c r="X52" s="757">
        <v>409</v>
      </c>
      <c r="Y52" s="771">
        <v>0</v>
      </c>
      <c r="Z52" s="772">
        <v>0</v>
      </c>
      <c r="AA52" s="328"/>
    </row>
    <row r="53" spans="1:41" ht="12.75" customHeight="1">
      <c r="A53" s="659" t="s">
        <v>607</v>
      </c>
      <c r="B53" s="605">
        <v>4</v>
      </c>
      <c r="C53" s="580">
        <v>12</v>
      </c>
      <c r="D53" s="580">
        <v>13.89</v>
      </c>
      <c r="E53" s="605">
        <v>40</v>
      </c>
      <c r="F53" s="762">
        <v>12</v>
      </c>
      <c r="G53" s="606">
        <v>-0.33700000000000002</v>
      </c>
      <c r="H53" s="584">
        <v>21</v>
      </c>
      <c r="I53" s="585">
        <v>35</v>
      </c>
      <c r="J53" s="586">
        <v>7.7770000000000001</v>
      </c>
      <c r="K53" s="587">
        <v>18.100000000000001</v>
      </c>
      <c r="L53" s="569">
        <v>19234507</v>
      </c>
      <c r="M53" s="569">
        <v>12915</v>
      </c>
      <c r="N53" s="569">
        <v>1636</v>
      </c>
      <c r="O53" s="570">
        <v>45331.708298611113</v>
      </c>
      <c r="P53" s="389">
        <v>52</v>
      </c>
      <c r="Q53" s="572">
        <v>0</v>
      </c>
      <c r="R53" s="607">
        <v>0</v>
      </c>
      <c r="S53" s="574">
        <v>0</v>
      </c>
      <c r="T53" s="590">
        <v>0</v>
      </c>
      <c r="U53" s="353">
        <v>0</v>
      </c>
      <c r="V53" s="754">
        <v>0</v>
      </c>
      <c r="W53" s="729">
        <v>0</v>
      </c>
      <c r="X53" s="759">
        <v>0</v>
      </c>
      <c r="Y53" s="773">
        <v>0</v>
      </c>
      <c r="Z53" s="774">
        <v>0</v>
      </c>
      <c r="AA53" s="328"/>
    </row>
    <row r="54" spans="1:41" ht="12.75" customHeight="1">
      <c r="A54" s="358" t="s">
        <v>335</v>
      </c>
      <c r="B54" s="324">
        <v>2</v>
      </c>
      <c r="C54" s="418">
        <v>2295</v>
      </c>
      <c r="D54" s="335">
        <v>2310</v>
      </c>
      <c r="E54" s="324">
        <v>90</v>
      </c>
      <c r="F54" s="760">
        <v>2310</v>
      </c>
      <c r="G54" s="431">
        <v>2.46E-2</v>
      </c>
      <c r="H54" s="307">
        <v>2250</v>
      </c>
      <c r="I54" s="299">
        <v>2346.85</v>
      </c>
      <c r="J54" s="385">
        <v>2240</v>
      </c>
      <c r="K54" s="303">
        <v>2254.35</v>
      </c>
      <c r="L54" s="330">
        <v>148154633</v>
      </c>
      <c r="M54" s="303">
        <v>64266</v>
      </c>
      <c r="N54" s="330">
        <v>849</v>
      </c>
      <c r="O54" s="378">
        <v>45331.686979166669</v>
      </c>
      <c r="P54" s="390">
        <v>53</v>
      </c>
      <c r="Q54" s="345">
        <v>0</v>
      </c>
      <c r="R54" s="359">
        <v>0</v>
      </c>
      <c r="S54" s="365">
        <v>0</v>
      </c>
      <c r="T54" s="322">
        <v>0</v>
      </c>
      <c r="U54" s="352">
        <v>0</v>
      </c>
      <c r="V54" s="355">
        <v>0</v>
      </c>
      <c r="W54" s="660">
        <v>0</v>
      </c>
      <c r="X54" s="686">
        <v>0</v>
      </c>
      <c r="Y54" s="677">
        <f>IF(D54&lt;&gt;0,($C55*(1-$V$1))-$D54,0)</f>
        <v>20</v>
      </c>
      <c r="Z54" s="656">
        <f>$F55*($AE$1*$AD$1)</f>
        <v>33.915863013698633</v>
      </c>
      <c r="AA54" s="791" t="str">
        <f>MID($A54,1,5)</f>
        <v xml:space="preserve">GGAL </v>
      </c>
    </row>
    <row r="55" spans="1:41" ht="12.75" customHeight="1">
      <c r="A55" s="651" t="s">
        <v>336</v>
      </c>
      <c r="B55" s="605">
        <v>1120</v>
      </c>
      <c r="C55" s="580">
        <v>2330</v>
      </c>
      <c r="D55" s="644">
        <v>2335</v>
      </c>
      <c r="E55" s="595">
        <v>97</v>
      </c>
      <c r="F55" s="762">
        <v>2330</v>
      </c>
      <c r="G55" s="606">
        <v>1.1299999999999999E-2</v>
      </c>
      <c r="H55" s="584">
        <v>2300</v>
      </c>
      <c r="I55" s="585">
        <v>2372</v>
      </c>
      <c r="J55" s="586">
        <v>2279</v>
      </c>
      <c r="K55" s="587">
        <v>2303.9499999999998</v>
      </c>
      <c r="L55" s="569">
        <v>4881495920</v>
      </c>
      <c r="M55" s="587">
        <v>2091383</v>
      </c>
      <c r="N55" s="569">
        <v>4514</v>
      </c>
      <c r="O55" s="570">
        <v>45331.70821759259</v>
      </c>
      <c r="P55" s="571">
        <v>54</v>
      </c>
      <c r="Q55" s="572">
        <v>0</v>
      </c>
      <c r="R55" s="607">
        <v>0</v>
      </c>
      <c r="S55" s="574">
        <v>0</v>
      </c>
      <c r="T55" s="590">
        <v>0</v>
      </c>
      <c r="U55" s="353">
        <v>0</v>
      </c>
      <c r="V55" s="354">
        <v>0</v>
      </c>
      <c r="W55" s="661">
        <v>0</v>
      </c>
      <c r="X55" s="685">
        <v>0</v>
      </c>
      <c r="Y55" s="678">
        <f>IFERROR(IF($Y$1&lt;&gt;"",INT($Y$1/(D54)),100),100)</f>
        <v>51</v>
      </c>
      <c r="Z55" s="668"/>
      <c r="AA55" s="792"/>
    </row>
    <row r="56" spans="1:41" ht="12.75" hidden="1" customHeight="1">
      <c r="A56" s="358" t="s">
        <v>582</v>
      </c>
      <c r="B56" s="325">
        <v>602</v>
      </c>
      <c r="C56" s="665">
        <v>2150</v>
      </c>
      <c r="D56" s="666">
        <v>2194</v>
      </c>
      <c r="E56" s="325">
        <v>9</v>
      </c>
      <c r="F56" s="760">
        <v>2190</v>
      </c>
      <c r="G56" s="431">
        <v>3.4200000000000001E-2</v>
      </c>
      <c r="H56" s="307">
        <v>2197.65</v>
      </c>
      <c r="I56" s="299">
        <v>2245.4</v>
      </c>
      <c r="J56" s="385">
        <v>2100.0500000000002</v>
      </c>
      <c r="K56" s="303">
        <v>2117.4</v>
      </c>
      <c r="L56" s="330">
        <v>131290454</v>
      </c>
      <c r="M56" s="303">
        <v>60151</v>
      </c>
      <c r="N56" s="330">
        <v>1392</v>
      </c>
      <c r="O56" s="378">
        <v>45331.687152777777</v>
      </c>
      <c r="P56" s="390">
        <v>55</v>
      </c>
      <c r="Q56" s="345">
        <v>0</v>
      </c>
      <c r="R56" s="359">
        <v>0</v>
      </c>
      <c r="S56" s="365">
        <v>0</v>
      </c>
      <c r="T56" s="322">
        <v>0</v>
      </c>
      <c r="U56" s="352">
        <v>0</v>
      </c>
      <c r="V56" s="355">
        <v>0</v>
      </c>
      <c r="W56" s="660">
        <v>0</v>
      </c>
      <c r="X56" s="686">
        <v>0</v>
      </c>
      <c r="Y56" s="677">
        <f>IF(D56&lt;&gt;0,($C57*(1-$V$1))-$D56,0)</f>
        <v>-9</v>
      </c>
      <c r="Z56" s="656">
        <f>$F57*($AE$1*$AD$1)</f>
        <v>32.000999589041093</v>
      </c>
      <c r="AA56" s="789" t="str">
        <f>MID($A56,1,5)</f>
        <v xml:space="preserve">PAMP </v>
      </c>
    </row>
    <row r="57" spans="1:41" ht="12.75" hidden="1" customHeight="1">
      <c r="A57" s="651" t="s">
        <v>583</v>
      </c>
      <c r="B57" s="652">
        <v>20</v>
      </c>
      <c r="C57" s="667">
        <v>2185</v>
      </c>
      <c r="D57" s="667">
        <v>2198.4499999999998</v>
      </c>
      <c r="E57" s="652">
        <v>455</v>
      </c>
      <c r="F57" s="765">
        <v>2198.4499999999998</v>
      </c>
      <c r="G57" s="606">
        <v>2.9999999999999997E-4</v>
      </c>
      <c r="H57" s="584">
        <v>2197.65</v>
      </c>
      <c r="I57" s="585">
        <v>2244.4</v>
      </c>
      <c r="J57" s="586">
        <v>2133</v>
      </c>
      <c r="K57" s="587">
        <v>2197.65</v>
      </c>
      <c r="L57" s="569">
        <v>2740131727</v>
      </c>
      <c r="M57" s="587">
        <v>1245899</v>
      </c>
      <c r="N57" s="569">
        <v>6665</v>
      </c>
      <c r="O57" s="653">
        <v>45331.708055555559</v>
      </c>
      <c r="P57" s="389">
        <v>56</v>
      </c>
      <c r="Q57" s="572">
        <v>0</v>
      </c>
      <c r="R57" s="607">
        <v>0</v>
      </c>
      <c r="S57" s="574">
        <v>0</v>
      </c>
      <c r="T57" s="590">
        <v>0</v>
      </c>
      <c r="U57" s="554">
        <v>0</v>
      </c>
      <c r="V57" s="601">
        <v>0</v>
      </c>
      <c r="W57" s="661">
        <v>0</v>
      </c>
      <c r="X57" s="685">
        <v>0</v>
      </c>
      <c r="Y57" s="679">
        <f>IFERROR(IF($Y$1&lt;&gt;"",INT($Y$1/(D56)),100),100)</f>
        <v>54</v>
      </c>
      <c r="Z57" s="655"/>
      <c r="AA57" s="790"/>
    </row>
    <row r="58" spans="1:41" ht="12.75" customHeight="1">
      <c r="A58" s="358" t="s">
        <v>13</v>
      </c>
      <c r="B58" s="324">
        <v>1292</v>
      </c>
      <c r="C58" s="418">
        <v>46900</v>
      </c>
      <c r="D58" s="335">
        <v>46905</v>
      </c>
      <c r="E58" s="324">
        <v>200</v>
      </c>
      <c r="F58" s="760">
        <v>46900</v>
      </c>
      <c r="G58" s="431">
        <v>-2.1700000000000001E-2</v>
      </c>
      <c r="H58" s="307">
        <v>49375</v>
      </c>
      <c r="I58" s="299">
        <v>49375</v>
      </c>
      <c r="J58" s="385">
        <v>46810</v>
      </c>
      <c r="K58" s="303">
        <v>47945</v>
      </c>
      <c r="L58" s="330">
        <v>63258598812</v>
      </c>
      <c r="M58" s="303">
        <v>132410733</v>
      </c>
      <c r="N58" s="330">
        <v>58987</v>
      </c>
      <c r="O58" s="378">
        <v>45331.687511574077</v>
      </c>
      <c r="P58" s="390">
        <v>57</v>
      </c>
      <c r="Q58" s="345">
        <v>0</v>
      </c>
      <c r="R58" s="359">
        <v>0</v>
      </c>
      <c r="S58" s="365">
        <v>0</v>
      </c>
      <c r="T58" s="322">
        <v>0</v>
      </c>
      <c r="U58" s="553">
        <v>0</v>
      </c>
      <c r="V58" s="615">
        <v>0</v>
      </c>
      <c r="W58" s="744">
        <f t="shared" ref="W58:W62" si="17">(V58*X58)</f>
        <v>0</v>
      </c>
      <c r="X58" s="687">
        <v>495</v>
      </c>
      <c r="Y58" s="677">
        <f>IF(D58&lt;&gt;0,($C59*(1-$V$1))-$D58,0)</f>
        <v>530</v>
      </c>
      <c r="Z58" s="654"/>
      <c r="AA58" s="437"/>
      <c r="AB58" s="38"/>
      <c r="AC58" s="629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647"/>
      <c r="AO58" s="648"/>
    </row>
    <row r="59" spans="1:41" ht="12.75" customHeight="1">
      <c r="A59" s="642" t="s">
        <v>2</v>
      </c>
      <c r="B59" s="309">
        <v>372911</v>
      </c>
      <c r="C59" s="308">
        <v>47435</v>
      </c>
      <c r="D59" s="645">
        <v>47485</v>
      </c>
      <c r="E59" s="646">
        <v>25000</v>
      </c>
      <c r="F59" s="763">
        <v>47435</v>
      </c>
      <c r="G59" s="434">
        <v>-2.3900000000000001E-2</v>
      </c>
      <c r="H59" s="306">
        <v>48515</v>
      </c>
      <c r="I59" s="297">
        <v>49000</v>
      </c>
      <c r="J59" s="382">
        <v>47195</v>
      </c>
      <c r="K59" s="301">
        <v>48600</v>
      </c>
      <c r="L59" s="304">
        <v>51355001481</v>
      </c>
      <c r="M59" s="301">
        <v>106026893</v>
      </c>
      <c r="N59" s="304">
        <v>25564</v>
      </c>
      <c r="O59" s="379">
        <v>45331.708622685182</v>
      </c>
      <c r="P59" s="389">
        <v>58</v>
      </c>
      <c r="Q59" s="342">
        <v>0</v>
      </c>
      <c r="R59" s="360">
        <v>0</v>
      </c>
      <c r="S59" s="362">
        <v>0</v>
      </c>
      <c r="T59" s="321">
        <v>0</v>
      </c>
      <c r="U59" s="353">
        <v>0</v>
      </c>
      <c r="V59" s="614">
        <v>0</v>
      </c>
      <c r="W59" s="745">
        <f>V58*(F58/100)</f>
        <v>0</v>
      </c>
      <c r="X59" s="688"/>
      <c r="Y59" s="680">
        <f>IFERROR(INT($Y$1/(F58/100)),"")</f>
        <v>255</v>
      </c>
      <c r="Z59" s="549"/>
      <c r="AA59" s="438"/>
      <c r="AB59" s="38"/>
      <c r="AC59" s="629">
        <v>111</v>
      </c>
      <c r="AE59" s="47">
        <v>0.41034999999999999</v>
      </c>
      <c r="AF59" s="47">
        <f t="shared" ref="AF59:AF61" si="18">AC59*AE59</f>
        <v>45.548850000000002</v>
      </c>
      <c r="AI59" s="47">
        <v>416994</v>
      </c>
      <c r="AN59" s="647"/>
      <c r="AO59" s="648"/>
    </row>
    <row r="60" spans="1:41" ht="12.75" customHeight="1">
      <c r="A60" s="312" t="s">
        <v>15</v>
      </c>
      <c r="B60" s="324">
        <v>291363</v>
      </c>
      <c r="C60" s="418">
        <v>38.4</v>
      </c>
      <c r="D60" s="335">
        <v>38.6</v>
      </c>
      <c r="E60" s="324">
        <v>25000</v>
      </c>
      <c r="F60" s="766">
        <v>38.4</v>
      </c>
      <c r="G60" s="435">
        <v>-5.6000000000000008E-3</v>
      </c>
      <c r="H60" s="311">
        <v>38.799999999999997</v>
      </c>
      <c r="I60" s="298">
        <v>40</v>
      </c>
      <c r="J60" s="388">
        <v>38.4</v>
      </c>
      <c r="K60" s="302">
        <v>38.619999999999997</v>
      </c>
      <c r="L60" s="323">
        <v>9408962</v>
      </c>
      <c r="M60" s="302">
        <v>24264734</v>
      </c>
      <c r="N60" s="323">
        <v>7030</v>
      </c>
      <c r="O60" s="380">
        <v>45331.685335648152</v>
      </c>
      <c r="P60" s="390">
        <v>59</v>
      </c>
      <c r="Q60" s="343">
        <v>0</v>
      </c>
      <c r="R60" s="361">
        <v>0</v>
      </c>
      <c r="S60" s="367">
        <v>0</v>
      </c>
      <c r="T60" s="320">
        <v>0</v>
      </c>
      <c r="U60" s="352">
        <v>0</v>
      </c>
      <c r="V60" s="408">
        <v>0</v>
      </c>
      <c r="W60" s="746">
        <f t="shared" si="17"/>
        <v>0</v>
      </c>
      <c r="X60" s="689"/>
      <c r="Y60" s="681">
        <f>IF(D60&lt;&gt;0,($C61*(1-$V$1))-$D60,0)</f>
        <v>-0.35000000000000142</v>
      </c>
      <c r="Z60" s="416">
        <f>IFERROR(IF(C60&lt;&gt;"",$Y$1/(D58/100)*(C60/100),""),"")</f>
        <v>98.241125679565073</v>
      </c>
      <c r="AA60" s="510">
        <f>IFERROR($AA$1/(D60/100)*(C58/100),"")</f>
        <v>121502.59067357513</v>
      </c>
      <c r="AB60" s="38"/>
      <c r="AC60" s="630"/>
      <c r="AF60" s="47">
        <f t="shared" si="18"/>
        <v>0</v>
      </c>
      <c r="AN60" s="647"/>
      <c r="AO60" s="648"/>
    </row>
    <row r="61" spans="1:41" ht="12.75" customHeight="1">
      <c r="A61" s="392" t="s">
        <v>3</v>
      </c>
      <c r="B61" s="309">
        <v>100000</v>
      </c>
      <c r="C61" s="308">
        <v>38.25</v>
      </c>
      <c r="D61" s="645">
        <v>38.799999999999997</v>
      </c>
      <c r="E61" s="646">
        <v>43987</v>
      </c>
      <c r="F61" s="763">
        <v>38.6</v>
      </c>
      <c r="G61" s="434">
        <v>-5.1000000000000004E-3</v>
      </c>
      <c r="H61" s="306">
        <v>39.999000000000002</v>
      </c>
      <c r="I61" s="297">
        <v>39.999000000000002</v>
      </c>
      <c r="J61" s="382">
        <v>38</v>
      </c>
      <c r="K61" s="301">
        <v>38.799999999999997</v>
      </c>
      <c r="L61" s="304">
        <v>138632</v>
      </c>
      <c r="M61" s="301">
        <v>357616</v>
      </c>
      <c r="N61" s="304">
        <v>117</v>
      </c>
      <c r="O61" s="379">
        <v>45331.702847222223</v>
      </c>
      <c r="P61" s="389">
        <v>60</v>
      </c>
      <c r="Q61" s="342">
        <v>0</v>
      </c>
      <c r="R61" s="360">
        <v>0</v>
      </c>
      <c r="S61" s="362">
        <v>0</v>
      </c>
      <c r="T61" s="321">
        <v>0</v>
      </c>
      <c r="U61" s="353">
        <v>0</v>
      </c>
      <c r="V61" s="407">
        <v>0</v>
      </c>
      <c r="W61" s="747">
        <f>V60*(F60/100)</f>
        <v>0</v>
      </c>
      <c r="X61" s="690"/>
      <c r="Y61" s="682">
        <f>IFERROR(INT($AA$1/(F60/100)),"")</f>
        <v>260</v>
      </c>
      <c r="Z61" s="415">
        <f>IFERROR(IF(C61&lt;&gt;"",$Y$1/(D59/100)*(C61/100),""),"")</f>
        <v>96.662103822259652</v>
      </c>
      <c r="AA61" s="512">
        <f>IFERROR($AA$1/(D61/100)*(C59/100),"")</f>
        <v>122255.15463917528</v>
      </c>
      <c r="AB61" s="38"/>
      <c r="AC61" s="631"/>
      <c r="AD61" s="628"/>
      <c r="AE61" s="628"/>
      <c r="AF61" s="628">
        <f t="shared" si="18"/>
        <v>0</v>
      </c>
      <c r="AN61" s="647"/>
      <c r="AO61" s="648"/>
    </row>
    <row r="62" spans="1:41" ht="12.75" customHeight="1">
      <c r="A62" s="557" t="s">
        <v>14</v>
      </c>
      <c r="B62" s="324">
        <v>124211</v>
      </c>
      <c r="C62" s="418">
        <v>40.6</v>
      </c>
      <c r="D62" s="335">
        <v>40.799999999999997</v>
      </c>
      <c r="E62" s="324">
        <v>174311</v>
      </c>
      <c r="F62" s="766">
        <v>40.799999999999997</v>
      </c>
      <c r="G62" s="435">
        <v>-4.0000000000000002E-4</v>
      </c>
      <c r="H62" s="311">
        <v>40.6</v>
      </c>
      <c r="I62" s="298">
        <v>40.999000000000002</v>
      </c>
      <c r="J62" s="388">
        <v>40.549999999999997</v>
      </c>
      <c r="K62" s="302">
        <v>40.82</v>
      </c>
      <c r="L62" s="323">
        <v>39604362</v>
      </c>
      <c r="M62" s="302">
        <v>97048244</v>
      </c>
      <c r="N62" s="323">
        <v>48328</v>
      </c>
      <c r="O62" s="380">
        <v>45331.687708333331</v>
      </c>
      <c r="P62" s="390">
        <v>61</v>
      </c>
      <c r="Q62" s="343">
        <v>0</v>
      </c>
      <c r="R62" s="361">
        <v>0</v>
      </c>
      <c r="S62" s="367">
        <v>0</v>
      </c>
      <c r="T62" s="320">
        <v>0</v>
      </c>
      <c r="U62" s="352">
        <v>0</v>
      </c>
      <c r="V62" s="612">
        <v>219</v>
      </c>
      <c r="W62" s="748">
        <f t="shared" si="17"/>
        <v>90.468900000000005</v>
      </c>
      <c r="X62" s="691">
        <v>0.41310000000000002</v>
      </c>
      <c r="Y62" s="683">
        <f>IF(D62&lt;&gt;0,($C63*(1-$V$1))-$D62,0)</f>
        <v>-9.9999999999980105E-3</v>
      </c>
      <c r="Z62" s="414">
        <f>IFERROR(IF(C62&lt;&gt;"",$Y$1/(D58/100)*(C62/100),""),"")</f>
        <v>103.86952350495683</v>
      </c>
      <c r="AA62" s="511">
        <f>IFERROR($Z$1/(D62/100)*(C58/100),"")</f>
        <v>114950.98039215687</v>
      </c>
      <c r="AB62" s="38"/>
      <c r="AC62" s="632">
        <f>SUM(AC58:AC61)</f>
        <v>219</v>
      </c>
      <c r="AD62" s="633"/>
      <c r="AE62" s="633"/>
      <c r="AF62" s="633">
        <f>SUM(AF58:AF61)</f>
        <v>90.476849999999999</v>
      </c>
    </row>
    <row r="63" spans="1:41" ht="12.75" customHeight="1">
      <c r="A63" s="604" t="s">
        <v>4</v>
      </c>
      <c r="B63" s="605">
        <v>7354</v>
      </c>
      <c r="C63" s="580">
        <v>40.79</v>
      </c>
      <c r="D63" s="644">
        <v>40.82</v>
      </c>
      <c r="E63" s="595">
        <v>23975</v>
      </c>
      <c r="F63" s="765">
        <v>40.799999999999997</v>
      </c>
      <c r="G63" s="606">
        <v>2.3999999999999998E-3</v>
      </c>
      <c r="H63" s="584">
        <v>40.409999999999997</v>
      </c>
      <c r="I63" s="585">
        <v>40.997</v>
      </c>
      <c r="J63" s="586">
        <v>40.409999999999997</v>
      </c>
      <c r="K63" s="587">
        <v>40.700000000000003</v>
      </c>
      <c r="L63" s="569">
        <v>6762342</v>
      </c>
      <c r="M63" s="587">
        <v>16578384</v>
      </c>
      <c r="N63" s="569">
        <v>8888</v>
      </c>
      <c r="O63" s="570">
        <v>45331.708622685182</v>
      </c>
      <c r="P63" s="389">
        <v>62</v>
      </c>
      <c r="Q63" s="572">
        <v>0</v>
      </c>
      <c r="R63" s="607">
        <v>0</v>
      </c>
      <c r="S63" s="574">
        <v>0</v>
      </c>
      <c r="T63" s="590">
        <v>0</v>
      </c>
      <c r="U63" s="554">
        <v>0</v>
      </c>
      <c r="V63" s="669">
        <v>0</v>
      </c>
      <c r="W63" s="749">
        <f>V62*(F62/100)</f>
        <v>89.35199999999999</v>
      </c>
      <c r="X63" s="692"/>
      <c r="Y63" s="684">
        <f>IFERROR(INT($Z$1/(F62/100)),"")</f>
        <v>245</v>
      </c>
      <c r="Z63" s="598">
        <f>IFERROR(IF(C63&lt;&gt;"",$Y$1/(D59/100)*(C63/100),""),"")</f>
        <v>103.08097293882277</v>
      </c>
      <c r="AA63" s="608">
        <f>IFERROR($Z$1/(D63/100)*(C59/100),"")</f>
        <v>116205.29152376286</v>
      </c>
      <c r="AB63" s="38"/>
      <c r="AC63" s="783">
        <f>AF62/AC62</f>
        <v>0.41313630136986301</v>
      </c>
      <c r="AD63" s="783"/>
      <c r="AE63" s="783"/>
      <c r="AF63" s="783"/>
    </row>
    <row r="64" spans="1:41" ht="12.75" customHeight="1">
      <c r="A64" s="358" t="s">
        <v>16</v>
      </c>
      <c r="B64" s="324">
        <v>1988</v>
      </c>
      <c r="C64" s="418">
        <v>50300</v>
      </c>
      <c r="D64" s="335">
        <v>50710</v>
      </c>
      <c r="E64" s="324">
        <v>30350</v>
      </c>
      <c r="F64" s="760">
        <v>50400</v>
      </c>
      <c r="G64" s="431">
        <v>-2.6200000000000001E-2</v>
      </c>
      <c r="H64" s="307">
        <v>52430</v>
      </c>
      <c r="I64" s="299">
        <v>53000</v>
      </c>
      <c r="J64" s="385">
        <v>50130</v>
      </c>
      <c r="K64" s="303">
        <v>51760</v>
      </c>
      <c r="L64" s="330">
        <v>8199152744</v>
      </c>
      <c r="M64" s="303">
        <v>15959159</v>
      </c>
      <c r="N64" s="330">
        <v>7035</v>
      </c>
      <c r="O64" s="378">
        <v>45331.687743055554</v>
      </c>
      <c r="P64" s="390">
        <v>63</v>
      </c>
      <c r="Q64" s="345">
        <v>0</v>
      </c>
      <c r="R64" s="359">
        <v>0</v>
      </c>
      <c r="S64" s="365">
        <v>0</v>
      </c>
      <c r="T64" s="322">
        <v>0</v>
      </c>
      <c r="U64" s="602">
        <v>0</v>
      </c>
      <c r="V64" s="405">
        <v>0</v>
      </c>
      <c r="W64" s="750">
        <f t="shared" ref="W64:W76" si="19">(V64*X64)</f>
        <v>0</v>
      </c>
      <c r="X64" s="694">
        <v>541</v>
      </c>
      <c r="Y64" s="677">
        <f>IF(D64&lt;&gt;0,($C65*(1-$V$1))-$D64,0)</f>
        <v>290</v>
      </c>
      <c r="Z64" s="643"/>
      <c r="AA64" s="437"/>
      <c r="AB64" s="38"/>
      <c r="AC64" s="610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642" t="s">
        <v>5</v>
      </c>
      <c r="B65" s="309">
        <v>319488</v>
      </c>
      <c r="C65" s="308">
        <v>51000</v>
      </c>
      <c r="D65" s="645">
        <v>51100</v>
      </c>
      <c r="E65" s="646">
        <v>43461</v>
      </c>
      <c r="F65" s="763">
        <v>51100</v>
      </c>
      <c r="G65" s="434">
        <v>-2.53E-2</v>
      </c>
      <c r="H65" s="306">
        <v>52400</v>
      </c>
      <c r="I65" s="297">
        <v>53000</v>
      </c>
      <c r="J65" s="382">
        <v>50100</v>
      </c>
      <c r="K65" s="301">
        <v>52430</v>
      </c>
      <c r="L65" s="304">
        <v>19823532065</v>
      </c>
      <c r="M65" s="301">
        <v>38118978</v>
      </c>
      <c r="N65" s="304">
        <v>5958</v>
      </c>
      <c r="O65" s="379">
        <v>45331.708344907405</v>
      </c>
      <c r="P65" s="389">
        <v>64</v>
      </c>
      <c r="Q65" s="342">
        <v>0</v>
      </c>
      <c r="R65" s="360">
        <v>0</v>
      </c>
      <c r="S65" s="362">
        <v>0</v>
      </c>
      <c r="T65" s="321">
        <v>0</v>
      </c>
      <c r="U65" s="353">
        <v>0</v>
      </c>
      <c r="V65" s="614">
        <v>0</v>
      </c>
      <c r="W65" s="745">
        <f>V64*(F64/100)</f>
        <v>0</v>
      </c>
      <c r="X65" s="688"/>
      <c r="Y65" s="680">
        <f>IFERROR(INT($Y$1/(F64/100)),"")</f>
        <v>238</v>
      </c>
      <c r="Z65" s="549"/>
      <c r="AA65" s="438"/>
      <c r="AB65" s="38"/>
      <c r="AC65" s="610">
        <v>64423</v>
      </c>
      <c r="AE65" s="47">
        <v>1.4400000000000001E-3</v>
      </c>
      <c r="AF65" s="47">
        <f t="shared" ref="AF65:AF67" si="20">AC65*AE65</f>
        <v>92.769120000000001</v>
      </c>
    </row>
    <row r="66" spans="1:32" ht="12.75" customHeight="1">
      <c r="A66" s="312" t="s">
        <v>17</v>
      </c>
      <c r="B66" s="324">
        <v>90341</v>
      </c>
      <c r="C66" s="418">
        <v>41.2</v>
      </c>
      <c r="D66" s="335">
        <v>41.598999999999997</v>
      </c>
      <c r="E66" s="324">
        <v>5709</v>
      </c>
      <c r="F66" s="766">
        <v>41.598999999999997</v>
      </c>
      <c r="G66" s="435">
        <v>-1.2E-2</v>
      </c>
      <c r="H66" s="311">
        <v>42.25</v>
      </c>
      <c r="I66" s="298">
        <v>42.25</v>
      </c>
      <c r="J66" s="388">
        <v>41.238999999999997</v>
      </c>
      <c r="K66" s="302">
        <v>42.106999999999999</v>
      </c>
      <c r="L66" s="323">
        <v>287573</v>
      </c>
      <c r="M66" s="302">
        <v>690413</v>
      </c>
      <c r="N66" s="323">
        <v>252</v>
      </c>
      <c r="O66" s="380">
        <v>45331.683645833335</v>
      </c>
      <c r="P66" s="390">
        <v>65</v>
      </c>
      <c r="Q66" s="343">
        <v>0</v>
      </c>
      <c r="R66" s="361">
        <v>0</v>
      </c>
      <c r="S66" s="367">
        <v>0</v>
      </c>
      <c r="T66" s="320">
        <v>0</v>
      </c>
      <c r="U66" s="352">
        <v>0</v>
      </c>
      <c r="V66" s="408">
        <v>0</v>
      </c>
      <c r="W66" s="746">
        <f t="shared" ref="W66" si="21">(V66*X66)</f>
        <v>0</v>
      </c>
      <c r="X66" s="689"/>
      <c r="Y66" s="681">
        <f>IF(D66&lt;&gt;0,($C67*(1-$V$1))-$D66,0)</f>
        <v>-0.44899999999999807</v>
      </c>
      <c r="Z66" s="416">
        <f>IFERROR(IF(C66&lt;&gt;"",$Y$1/(D64/100)*(C66/100),""),"")</f>
        <v>97.495563005324399</v>
      </c>
      <c r="AA66" s="510">
        <f>IFERROR($AA$1/(D66/100)*(C64/100),"")</f>
        <v>120916.36818192745</v>
      </c>
      <c r="AB66" s="38"/>
      <c r="AC66" s="610"/>
      <c r="AF66" s="47">
        <f t="shared" si="20"/>
        <v>0</v>
      </c>
    </row>
    <row r="67" spans="1:32" ht="12.75" customHeight="1">
      <c r="A67" s="392" t="s">
        <v>6</v>
      </c>
      <c r="B67" s="309">
        <v>97636</v>
      </c>
      <c r="C67" s="308">
        <v>41.15</v>
      </c>
      <c r="D67" s="645">
        <v>41.6</v>
      </c>
      <c r="E67" s="646">
        <v>97636</v>
      </c>
      <c r="F67" s="763">
        <v>41.6</v>
      </c>
      <c r="G67" s="434">
        <v>-1.3000000000000001E-2</v>
      </c>
      <c r="H67" s="306">
        <v>42.25</v>
      </c>
      <c r="I67" s="297">
        <v>42.25</v>
      </c>
      <c r="J67" s="382">
        <v>41.35</v>
      </c>
      <c r="K67" s="301">
        <v>42.15</v>
      </c>
      <c r="L67" s="304">
        <v>4829</v>
      </c>
      <c r="M67" s="301">
        <v>11560</v>
      </c>
      <c r="N67" s="304">
        <v>6</v>
      </c>
      <c r="O67" s="379">
        <v>45331.679884259262</v>
      </c>
      <c r="P67" s="389">
        <v>66</v>
      </c>
      <c r="Q67" s="342">
        <v>0</v>
      </c>
      <c r="R67" s="360">
        <v>0</v>
      </c>
      <c r="S67" s="362">
        <v>0</v>
      </c>
      <c r="T67" s="321">
        <v>0</v>
      </c>
      <c r="U67" s="353">
        <v>0</v>
      </c>
      <c r="V67" s="407">
        <v>0</v>
      </c>
      <c r="W67" s="747">
        <f>V66*(F66/100)</f>
        <v>0</v>
      </c>
      <c r="X67" s="690"/>
      <c r="Y67" s="682">
        <f>IFERROR(INT($AA$1/(F66/100)),"")</f>
        <v>240</v>
      </c>
      <c r="Z67" s="415">
        <f>IFERROR(IF(C67&lt;&gt;"",$Y$1/(D65/100)*(C67/100),""),"")</f>
        <v>96.634050880626219</v>
      </c>
      <c r="AA67" s="512">
        <f>IFERROR($AA$1/(D67/100)*(C65/100),"")</f>
        <v>122596.15384615383</v>
      </c>
      <c r="AB67" s="38"/>
      <c r="AC67" s="628"/>
      <c r="AD67" s="628"/>
      <c r="AE67" s="628"/>
      <c r="AF67" s="628">
        <f t="shared" si="20"/>
        <v>0</v>
      </c>
    </row>
    <row r="68" spans="1:32" ht="12.75" customHeight="1">
      <c r="A68" s="557" t="s">
        <v>18</v>
      </c>
      <c r="B68" s="324">
        <v>3000</v>
      </c>
      <c r="C68" s="418">
        <v>43.59</v>
      </c>
      <c r="D68" s="335">
        <v>43.9</v>
      </c>
      <c r="E68" s="324">
        <v>50738</v>
      </c>
      <c r="F68" s="766">
        <v>43.78</v>
      </c>
      <c r="G68" s="435">
        <v>-1.1699999999999999E-2</v>
      </c>
      <c r="H68" s="311">
        <v>44.298999999999999</v>
      </c>
      <c r="I68" s="298">
        <v>44.98</v>
      </c>
      <c r="J68" s="388">
        <v>43.5</v>
      </c>
      <c r="K68" s="302">
        <v>44.3</v>
      </c>
      <c r="L68" s="323">
        <v>3144405</v>
      </c>
      <c r="M68" s="302">
        <v>7152671</v>
      </c>
      <c r="N68" s="323">
        <v>4660</v>
      </c>
      <c r="O68" s="380">
        <v>45331.687627314815</v>
      </c>
      <c r="P68" s="390">
        <v>67</v>
      </c>
      <c r="Q68" s="343">
        <v>0</v>
      </c>
      <c r="R68" s="361">
        <v>0</v>
      </c>
      <c r="S68" s="367">
        <v>0</v>
      </c>
      <c r="T68" s="320">
        <v>0</v>
      </c>
      <c r="U68" s="352">
        <v>0</v>
      </c>
      <c r="V68" s="612">
        <v>0</v>
      </c>
      <c r="W68" s="748">
        <f t="shared" si="19"/>
        <v>0</v>
      </c>
      <c r="X68" s="691">
        <v>0.44901000000000002</v>
      </c>
      <c r="Y68" s="683">
        <f>IF(D68&lt;&gt;0,($C69*(1-$V$1))-$D68,0)</f>
        <v>-0.35000000000000142</v>
      </c>
      <c r="Z68" s="414">
        <f>IFERROR(IF(C68&lt;&gt;"",$Y$1/(D64/100)*(C68/100),""),"")</f>
        <v>103.15125221849733</v>
      </c>
      <c r="AA68" s="511">
        <f>IFERROR($Z$1/(D68/100)*(C64/100),"")</f>
        <v>114578.58769931663</v>
      </c>
      <c r="AB68" s="38"/>
      <c r="AC68" s="632">
        <f>SUM(AC64:AC67)</f>
        <v>138650</v>
      </c>
      <c r="AD68" s="633"/>
      <c r="AE68" s="633" t="s">
        <v>627</v>
      </c>
      <c r="AF68" s="633">
        <f>SUM(AF64:AF67)</f>
        <v>195.20238000000001</v>
      </c>
    </row>
    <row r="69" spans="1:32" ht="12.75" customHeight="1">
      <c r="A69" s="604" t="s">
        <v>7</v>
      </c>
      <c r="B69" s="605">
        <v>1500</v>
      </c>
      <c r="C69" s="580">
        <v>43.55</v>
      </c>
      <c r="D69" s="644">
        <v>43.94</v>
      </c>
      <c r="E69" s="595">
        <v>656</v>
      </c>
      <c r="F69" s="765">
        <v>43.55</v>
      </c>
      <c r="G69" s="606">
        <v>-1.6899999999999998E-2</v>
      </c>
      <c r="H69" s="584">
        <v>44</v>
      </c>
      <c r="I69" s="585">
        <v>44.8</v>
      </c>
      <c r="J69" s="586">
        <v>43.502000000000002</v>
      </c>
      <c r="K69" s="587">
        <v>44.298999999999999</v>
      </c>
      <c r="L69" s="597">
        <v>650269</v>
      </c>
      <c r="M69" s="587">
        <v>1482734</v>
      </c>
      <c r="N69" s="569">
        <v>925</v>
      </c>
      <c r="O69" s="570">
        <v>45331.708437499998</v>
      </c>
      <c r="P69" s="389">
        <v>68</v>
      </c>
      <c r="Q69" s="572">
        <v>0</v>
      </c>
      <c r="R69" s="607">
        <v>0</v>
      </c>
      <c r="S69" s="574">
        <v>0</v>
      </c>
      <c r="T69" s="590">
        <v>0</v>
      </c>
      <c r="U69" s="554">
        <v>0</v>
      </c>
      <c r="V69" s="613">
        <v>0</v>
      </c>
      <c r="W69" s="749">
        <f>V68*(F68/100)</f>
        <v>0</v>
      </c>
      <c r="X69" s="692"/>
      <c r="Y69" s="684">
        <f>IFERROR(INT($Z$1/(F68/100)),"")</f>
        <v>228</v>
      </c>
      <c r="Z69" s="598">
        <f>IFERROR(IF(C69&lt;&gt;"",$Y$1/(D65/100)*(C69/100),""),"")</f>
        <v>102.27005870841488</v>
      </c>
      <c r="AA69" s="608">
        <f>IFERROR($Z$1/(D69/100)*(C65/100),"")</f>
        <v>116067.36458807466</v>
      </c>
      <c r="AB69" s="38"/>
      <c r="AC69" s="783">
        <f>AF68/AC68</f>
        <v>1.4078786873422287E-3</v>
      </c>
      <c r="AD69" s="783"/>
      <c r="AE69" s="783"/>
      <c r="AF69" s="783"/>
    </row>
    <row r="70" spans="1:32" ht="12.75" customHeight="1">
      <c r="A70" s="358" t="s">
        <v>615</v>
      </c>
      <c r="B70" s="324">
        <v>2562</v>
      </c>
      <c r="C70" s="418">
        <v>171.69900000000001</v>
      </c>
      <c r="D70" s="335">
        <v>171.7</v>
      </c>
      <c r="E70" s="324">
        <v>24589632</v>
      </c>
      <c r="F70" s="760">
        <v>171.7</v>
      </c>
      <c r="G70" s="431">
        <v>4.0000000000000001E-3</v>
      </c>
      <c r="H70" s="307">
        <v>172</v>
      </c>
      <c r="I70" s="299">
        <v>175.751</v>
      </c>
      <c r="J70" s="385">
        <v>171</v>
      </c>
      <c r="K70" s="303">
        <v>171.01300000000001</v>
      </c>
      <c r="L70" s="330">
        <v>16098186503</v>
      </c>
      <c r="M70" s="303">
        <v>9380427133</v>
      </c>
      <c r="N70" s="330">
        <v>4155</v>
      </c>
      <c r="O70" s="378">
        <v>45331.6875462963</v>
      </c>
      <c r="P70" s="390">
        <v>69</v>
      </c>
      <c r="Q70" s="345">
        <v>0</v>
      </c>
      <c r="R70" s="359">
        <v>0</v>
      </c>
      <c r="S70" s="365">
        <v>0</v>
      </c>
      <c r="T70" s="322">
        <v>0</v>
      </c>
      <c r="U70" s="602">
        <v>0</v>
      </c>
      <c r="V70" s="637">
        <v>0</v>
      </c>
      <c r="W70" s="750"/>
      <c r="X70" s="694">
        <v>1.702</v>
      </c>
      <c r="Y70" s="677">
        <f>IF(D70&lt;&gt;0,($C71*(1-$V$1))-$D70,0)</f>
        <v>2.4150000000000205</v>
      </c>
      <c r="Z70" s="643"/>
      <c r="AA70" s="437"/>
      <c r="AB70" s="38"/>
    </row>
    <row r="71" spans="1:32" ht="12.75" customHeight="1">
      <c r="A71" s="642" t="s">
        <v>616</v>
      </c>
      <c r="B71" s="309">
        <v>5875647</v>
      </c>
      <c r="C71" s="308">
        <v>174.11500000000001</v>
      </c>
      <c r="D71" s="645">
        <v>174.16499999999999</v>
      </c>
      <c r="E71" s="646">
        <v>14589800</v>
      </c>
      <c r="F71" s="763">
        <v>174.11500000000001</v>
      </c>
      <c r="G71" s="434">
        <v>2.0999999999999999E-3</v>
      </c>
      <c r="H71" s="306">
        <v>172.5</v>
      </c>
      <c r="I71" s="297">
        <v>174.5</v>
      </c>
      <c r="J71" s="382">
        <v>172.5</v>
      </c>
      <c r="K71" s="301">
        <v>173.75</v>
      </c>
      <c r="L71" s="304">
        <v>10509562102</v>
      </c>
      <c r="M71" s="301">
        <v>6034774109</v>
      </c>
      <c r="N71" s="304">
        <v>2559</v>
      </c>
      <c r="O71" s="379">
        <v>45331.708437499998</v>
      </c>
      <c r="P71" s="389">
        <v>70</v>
      </c>
      <c r="Q71" s="342">
        <v>0</v>
      </c>
      <c r="R71" s="360">
        <v>0</v>
      </c>
      <c r="S71" s="362">
        <v>0</v>
      </c>
      <c r="T71" s="321">
        <v>0</v>
      </c>
      <c r="U71" s="353">
        <v>0</v>
      </c>
      <c r="V71" s="634">
        <v>0</v>
      </c>
      <c r="W71" s="745">
        <f>V70*(F70/100)</f>
        <v>0</v>
      </c>
      <c r="X71" s="688"/>
      <c r="Y71" s="680">
        <f>IFERROR(INT($Y$1/(F70/100)),"")</f>
        <v>69889</v>
      </c>
      <c r="Z71" s="549"/>
      <c r="AA71" s="438"/>
      <c r="AB71" s="38"/>
    </row>
    <row r="72" spans="1:32" ht="12.75" hidden="1" customHeight="1">
      <c r="A72" s="312" t="s">
        <v>617</v>
      </c>
      <c r="B72" s="324">
        <v>100000000</v>
      </c>
      <c r="C72" s="418">
        <v>0.14000000000000001</v>
      </c>
      <c r="D72" s="335">
        <v>0.14199999999999999</v>
      </c>
      <c r="E72" s="324">
        <v>29927750</v>
      </c>
      <c r="F72" s="766">
        <v>0.14199999999999999</v>
      </c>
      <c r="G72" s="435">
        <v>2.8900000000000002E-2</v>
      </c>
      <c r="H72" s="311">
        <v>0.14000000000000001</v>
      </c>
      <c r="I72" s="298">
        <v>0.14199999999999999</v>
      </c>
      <c r="J72" s="388">
        <v>0.13800000000000001</v>
      </c>
      <c r="K72" s="302">
        <v>0.13800000000000001</v>
      </c>
      <c r="L72" s="323">
        <v>7128485</v>
      </c>
      <c r="M72" s="302">
        <v>5111241356</v>
      </c>
      <c r="N72" s="323">
        <v>1457</v>
      </c>
      <c r="O72" s="380">
        <v>45331.684745370374</v>
      </c>
      <c r="P72" s="390">
        <v>71</v>
      </c>
      <c r="Q72" s="343">
        <v>0</v>
      </c>
      <c r="R72" s="361">
        <v>0</v>
      </c>
      <c r="S72" s="367">
        <v>0</v>
      </c>
      <c r="T72" s="320">
        <v>0</v>
      </c>
      <c r="U72" s="352">
        <v>0</v>
      </c>
      <c r="V72" s="638">
        <v>0</v>
      </c>
      <c r="W72" s="746">
        <f t="shared" ref="W72" si="22">(V72*X72)</f>
        <v>0</v>
      </c>
      <c r="X72" s="689"/>
      <c r="Y72" s="681">
        <f>IF(D72&lt;&gt;0,($C73*(1-$V$1))-$D72,0)</f>
        <v>-1.999999999999974E-3</v>
      </c>
      <c r="Z72" s="416">
        <f>IFERROR(IF(C72&lt;&gt;"",$Y$1/(D70/100)*(C72/100),""),"")</f>
        <v>97.845078625509629</v>
      </c>
      <c r="AA72" s="510">
        <f>IFERROR($AA$1/(D72/100)*(C70/100),"")</f>
        <v>120914.78873239439</v>
      </c>
      <c r="AB72" s="38"/>
    </row>
    <row r="73" spans="1:32" ht="12.75" hidden="1" customHeight="1">
      <c r="A73" s="392" t="s">
        <v>618</v>
      </c>
      <c r="B73" s="309">
        <v>50000000</v>
      </c>
      <c r="C73" s="308">
        <v>0.14000000000000001</v>
      </c>
      <c r="D73" s="645"/>
      <c r="E73" s="646"/>
      <c r="F73" s="763"/>
      <c r="G73" s="434"/>
      <c r="H73" s="306"/>
      <c r="I73" s="297"/>
      <c r="J73" s="382"/>
      <c r="K73" s="301">
        <v>0.13700000000000001</v>
      </c>
      <c r="L73" s="304"/>
      <c r="M73" s="301"/>
      <c r="N73" s="304"/>
      <c r="O73" s="379"/>
      <c r="P73" s="389">
        <v>72</v>
      </c>
      <c r="Q73" s="342">
        <v>0</v>
      </c>
      <c r="R73" s="360">
        <v>0</v>
      </c>
      <c r="S73" s="362">
        <v>0</v>
      </c>
      <c r="T73" s="321">
        <v>0</v>
      </c>
      <c r="U73" s="353">
        <v>0</v>
      </c>
      <c r="V73" s="635">
        <v>0</v>
      </c>
      <c r="W73" s="747">
        <f>V72*(F72/100)</f>
        <v>0</v>
      </c>
      <c r="X73" s="690"/>
      <c r="Y73" s="682">
        <f>IFERROR(INT($AA$1/(F72/100)),"")</f>
        <v>70422</v>
      </c>
      <c r="Z73" s="415">
        <f>IFERROR(IF(C73&lt;&gt;"",$Y$1/(D71/100)*(C73/100),""),"")</f>
        <v>96.460253208164687</v>
      </c>
      <c r="AA73" s="512" t="str">
        <f>IFERROR($AA$1/(D73/100)*(C71/100),"")</f>
        <v/>
      </c>
      <c r="AB73" s="38"/>
    </row>
    <row r="74" spans="1:32" ht="12.75" customHeight="1">
      <c r="A74" s="557" t="s">
        <v>619</v>
      </c>
      <c r="B74" s="324">
        <v>96832909</v>
      </c>
      <c r="C74" s="418">
        <v>0.14799999999999999</v>
      </c>
      <c r="D74" s="335">
        <v>0.151</v>
      </c>
      <c r="E74" s="324">
        <v>10000</v>
      </c>
      <c r="F74" s="766">
        <v>0.15</v>
      </c>
      <c r="G74" s="435">
        <v>2.0400000000000001E-2</v>
      </c>
      <c r="H74" s="311">
        <v>0.14699999999999999</v>
      </c>
      <c r="I74" s="298">
        <v>0.15</v>
      </c>
      <c r="J74" s="388">
        <v>0.14499999999999999</v>
      </c>
      <c r="K74" s="302">
        <v>0.14699999999999999</v>
      </c>
      <c r="L74" s="323">
        <v>7422944</v>
      </c>
      <c r="M74" s="302">
        <v>5052000986</v>
      </c>
      <c r="N74" s="323">
        <v>1080</v>
      </c>
      <c r="O74" s="380">
        <v>45331.687604166669</v>
      </c>
      <c r="P74" s="390">
        <v>73</v>
      </c>
      <c r="Q74" s="343">
        <v>0</v>
      </c>
      <c r="R74" s="361">
        <v>0</v>
      </c>
      <c r="S74" s="367">
        <v>0</v>
      </c>
      <c r="T74" s="320">
        <v>0</v>
      </c>
      <c r="U74" s="352">
        <v>0</v>
      </c>
      <c r="V74" s="639">
        <v>138650</v>
      </c>
      <c r="W74" s="748">
        <f t="shared" si="19"/>
        <v>195.08055000000002</v>
      </c>
      <c r="X74" s="691">
        <v>1.407E-3</v>
      </c>
      <c r="Y74" s="683">
        <f>IF(D74&lt;&gt;0,($C75*(1-$V$1))-$D74,0)</f>
        <v>-3.0000000000000027E-3</v>
      </c>
      <c r="Z74" s="414">
        <f>IFERROR(IF(C74&lt;&gt;"",$Y$1/(D70/100)*(C74/100),""),"")</f>
        <v>103.43622597553873</v>
      </c>
      <c r="AA74" s="511">
        <f>IFERROR($Z$1/(D74/100)*(C70/100),"")</f>
        <v>113707.94701986754</v>
      </c>
      <c r="AB74" s="38"/>
      <c r="AC74"/>
    </row>
    <row r="75" spans="1:32" ht="12.75" customHeight="1">
      <c r="A75" s="604" t="s">
        <v>620</v>
      </c>
      <c r="B75" s="605">
        <v>322297</v>
      </c>
      <c r="C75" s="580">
        <v>0.14799999999999999</v>
      </c>
      <c r="D75" s="644">
        <v>1</v>
      </c>
      <c r="E75" s="595">
        <v>1</v>
      </c>
      <c r="F75" s="765">
        <v>0.14799999999999999</v>
      </c>
      <c r="G75" s="606">
        <v>6.8000000000000005E-3</v>
      </c>
      <c r="H75" s="584">
        <v>0.14799999999999999</v>
      </c>
      <c r="I75" s="585">
        <v>0.14799999999999999</v>
      </c>
      <c r="J75" s="586">
        <v>0.14499999999999999</v>
      </c>
      <c r="K75" s="587">
        <v>0.14699999999999999</v>
      </c>
      <c r="L75" s="569">
        <v>86617</v>
      </c>
      <c r="M75" s="587">
        <v>58637217</v>
      </c>
      <c r="N75" s="569">
        <v>97</v>
      </c>
      <c r="O75" s="570">
        <v>45331.677060185182</v>
      </c>
      <c r="P75" s="389">
        <v>74</v>
      </c>
      <c r="Q75" s="572">
        <v>0</v>
      </c>
      <c r="R75" s="607">
        <v>0</v>
      </c>
      <c r="S75" s="574">
        <v>0</v>
      </c>
      <c r="T75" s="590">
        <v>0</v>
      </c>
      <c r="U75" s="554">
        <v>0</v>
      </c>
      <c r="V75" s="636">
        <v>0</v>
      </c>
      <c r="W75" s="749">
        <f>V74*(F74/100)</f>
        <v>207.97499999999999</v>
      </c>
      <c r="X75" s="692"/>
      <c r="Y75" s="684">
        <f>IFERROR(INT($Z$1/(F74/100)),"")</f>
        <v>66666</v>
      </c>
      <c r="Z75" s="598">
        <f>IFERROR(IF(C75&lt;&gt;"",$Y$1/(D71/100)*(C75/100),""),"")</f>
        <v>101.97226767720265</v>
      </c>
      <c r="AA75" s="608">
        <f>IFERROR($Z$1/(D75/100)*(C71/100),"")</f>
        <v>17411.500000000004</v>
      </c>
      <c r="AB75" s="38"/>
      <c r="AC75"/>
    </row>
    <row r="76" spans="1:32" ht="12.75" customHeight="1">
      <c r="A76" s="358" t="s">
        <v>543</v>
      </c>
      <c r="B76" s="324">
        <v>577</v>
      </c>
      <c r="C76" s="418">
        <v>51940</v>
      </c>
      <c r="D76" s="335">
        <v>52150</v>
      </c>
      <c r="E76" s="324">
        <v>4008</v>
      </c>
      <c r="F76" s="760">
        <v>51870</v>
      </c>
      <c r="G76" s="431">
        <v>-8.199999999999999E-3</v>
      </c>
      <c r="H76" s="307">
        <v>52310</v>
      </c>
      <c r="I76" s="299">
        <v>53500</v>
      </c>
      <c r="J76" s="385">
        <v>51680</v>
      </c>
      <c r="K76" s="303">
        <v>52300</v>
      </c>
      <c r="L76" s="330">
        <v>37362997</v>
      </c>
      <c r="M76" s="303">
        <v>71428</v>
      </c>
      <c r="N76" s="330">
        <v>156</v>
      </c>
      <c r="O76" s="378">
        <v>45331.677164351851</v>
      </c>
      <c r="P76" s="390">
        <v>75</v>
      </c>
      <c r="Q76" s="345">
        <v>0</v>
      </c>
      <c r="R76" s="359">
        <v>0</v>
      </c>
      <c r="S76" s="365">
        <v>0</v>
      </c>
      <c r="T76" s="322">
        <v>0</v>
      </c>
      <c r="U76" s="602">
        <v>0</v>
      </c>
      <c r="V76" s="615"/>
      <c r="W76" s="750">
        <f t="shared" si="19"/>
        <v>0</v>
      </c>
      <c r="X76" s="694"/>
      <c r="Y76" s="677">
        <f>IF(D76&lt;&gt;0,($C77*(1-$V$1))-$D76,0)</f>
        <v>270</v>
      </c>
      <c r="Z76" s="643"/>
      <c r="AA76" s="437"/>
      <c r="AB76" s="38"/>
      <c r="AC76"/>
    </row>
    <row r="77" spans="1:32" ht="12.75" customHeight="1">
      <c r="A77" s="357" t="s">
        <v>544</v>
      </c>
      <c r="B77" s="309">
        <v>119</v>
      </c>
      <c r="C77" s="308">
        <v>52420</v>
      </c>
      <c r="D77" s="645">
        <v>52500</v>
      </c>
      <c r="E77" s="646">
        <v>9930</v>
      </c>
      <c r="F77" s="763">
        <v>52420</v>
      </c>
      <c r="G77" s="434">
        <v>-1.18E-2</v>
      </c>
      <c r="H77" s="306">
        <v>52900</v>
      </c>
      <c r="I77" s="297">
        <v>53890</v>
      </c>
      <c r="J77" s="382">
        <v>52410</v>
      </c>
      <c r="K77" s="301">
        <v>53050</v>
      </c>
      <c r="L77" s="304">
        <v>136299133</v>
      </c>
      <c r="M77" s="301">
        <v>257079</v>
      </c>
      <c r="N77" s="304">
        <v>523</v>
      </c>
      <c r="O77" s="379">
        <v>45331.708402777775</v>
      </c>
      <c r="P77" s="389">
        <v>76</v>
      </c>
      <c r="Q77" s="342">
        <v>0</v>
      </c>
      <c r="R77" s="360">
        <v>0</v>
      </c>
      <c r="S77" s="362">
        <v>0</v>
      </c>
      <c r="T77" s="321">
        <v>0</v>
      </c>
      <c r="U77" s="353">
        <v>0</v>
      </c>
      <c r="V77" s="614">
        <v>0</v>
      </c>
      <c r="W77" s="745">
        <f>V76*(F76/100)</f>
        <v>0</v>
      </c>
      <c r="X77" s="688"/>
      <c r="Y77" s="680">
        <f>IFERROR(INT($Y$1/(F76/100)),"")</f>
        <v>231</v>
      </c>
      <c r="Z77" s="549"/>
      <c r="AA77" s="438"/>
      <c r="AB77" s="38"/>
      <c r="AC77"/>
    </row>
    <row r="78" spans="1:32" ht="12.75" hidden="1" customHeight="1">
      <c r="A78" s="312" t="s">
        <v>545</v>
      </c>
      <c r="B78" s="324"/>
      <c r="C78" s="418"/>
      <c r="D78" s="335"/>
      <c r="E78" s="324"/>
      <c r="F78" s="766"/>
      <c r="G78" s="435"/>
      <c r="H78" s="311"/>
      <c r="I78" s="298"/>
      <c r="J78" s="388"/>
      <c r="K78" s="302">
        <v>42.7</v>
      </c>
      <c r="L78" s="323"/>
      <c r="M78" s="302"/>
      <c r="N78" s="323"/>
      <c r="O78" s="380"/>
      <c r="P78" s="390">
        <v>77</v>
      </c>
      <c r="Q78" s="343">
        <v>0</v>
      </c>
      <c r="R78" s="361">
        <v>0</v>
      </c>
      <c r="S78" s="367">
        <v>0</v>
      </c>
      <c r="T78" s="320">
        <v>0</v>
      </c>
      <c r="U78" s="352">
        <v>0</v>
      </c>
      <c r="V78" s="408"/>
      <c r="W78" s="746">
        <f t="shared" ref="W78" si="23">(V78*X78)</f>
        <v>0</v>
      </c>
      <c r="X78" s="689"/>
      <c r="Y78" s="681">
        <f>IF(D78&lt;&gt;0,($C79*(1-$V$1))-$D78,0)</f>
        <v>0</v>
      </c>
      <c r="Z78" s="416" t="str">
        <f>IFERROR(IF(C78&lt;&gt;"",$Y$1/(D76/100)*(C78/100),""),"")</f>
        <v/>
      </c>
      <c r="AA78" s="510" t="str">
        <f>IFERROR($AA$1/(D78/100)*(C76/100),"")</f>
        <v/>
      </c>
      <c r="AB78" s="38"/>
      <c r="AC78"/>
    </row>
    <row r="79" spans="1:32" ht="12.75" hidden="1" customHeight="1">
      <c r="A79" s="392" t="s">
        <v>546</v>
      </c>
      <c r="B79" s="309"/>
      <c r="C79" s="308"/>
      <c r="D79" s="645"/>
      <c r="E79" s="646"/>
      <c r="F79" s="763"/>
      <c r="G79" s="434"/>
      <c r="H79" s="306"/>
      <c r="I79" s="297"/>
      <c r="J79" s="382"/>
      <c r="K79" s="301">
        <v>36.005000000000003</v>
      </c>
      <c r="L79" s="304"/>
      <c r="M79" s="301"/>
      <c r="N79" s="304"/>
      <c r="O79" s="379"/>
      <c r="P79" s="389">
        <v>78</v>
      </c>
      <c r="Q79" s="342">
        <v>0</v>
      </c>
      <c r="R79" s="360">
        <v>0</v>
      </c>
      <c r="S79" s="362">
        <v>0</v>
      </c>
      <c r="T79" s="321">
        <v>0</v>
      </c>
      <c r="U79" s="353">
        <v>0</v>
      </c>
      <c r="V79" s="407">
        <v>0</v>
      </c>
      <c r="W79" s="747">
        <f>V78*(F78/100)</f>
        <v>0</v>
      </c>
      <c r="X79" s="690"/>
      <c r="Y79" s="682" t="str">
        <f>IFERROR(INT($AA$1/(F78/100)),"")</f>
        <v/>
      </c>
      <c r="Z79" s="415" t="str">
        <f>IFERROR(IF(C79&lt;&gt;"",$Y$1/(D77/100)*(C79/100),""),"")</f>
        <v/>
      </c>
      <c r="AA79" s="512" t="str">
        <f>IFERROR($AA$1/(D79/100)*(C77/100),"")</f>
        <v/>
      </c>
      <c r="AB79" s="38"/>
      <c r="AC79"/>
    </row>
    <row r="80" spans="1:32" ht="12.75" customHeight="1">
      <c r="A80" s="557" t="s">
        <v>547</v>
      </c>
      <c r="B80" s="324">
        <v>5000</v>
      </c>
      <c r="C80" s="418">
        <v>44.4</v>
      </c>
      <c r="D80" s="335">
        <v>45.5</v>
      </c>
      <c r="E80" s="324">
        <v>100</v>
      </c>
      <c r="F80" s="766">
        <v>46.249000000000002</v>
      </c>
      <c r="G80" s="435">
        <v>3.5799999999999998E-2</v>
      </c>
      <c r="H80" s="311">
        <v>44.6</v>
      </c>
      <c r="I80" s="298">
        <v>46.249000000000002</v>
      </c>
      <c r="J80" s="388">
        <v>44.201000000000001</v>
      </c>
      <c r="K80" s="302">
        <v>44.65</v>
      </c>
      <c r="L80" s="323">
        <v>1614</v>
      </c>
      <c r="M80" s="302">
        <v>3635</v>
      </c>
      <c r="N80" s="323">
        <v>5</v>
      </c>
      <c r="O80" s="380">
        <v>45331.584918981483</v>
      </c>
      <c r="P80" s="390">
        <v>79</v>
      </c>
      <c r="Q80" s="343">
        <v>0</v>
      </c>
      <c r="R80" s="361">
        <v>0</v>
      </c>
      <c r="S80" s="367">
        <v>0</v>
      </c>
      <c r="T80" s="320">
        <v>0</v>
      </c>
      <c r="U80" s="352">
        <v>0</v>
      </c>
      <c r="V80" s="612">
        <v>0</v>
      </c>
      <c r="W80" s="748">
        <f t="shared" ref="W80" si="24">(V80*X80)</f>
        <v>0</v>
      </c>
      <c r="X80" s="691"/>
      <c r="Y80" s="683">
        <f>IF(D80&lt;&gt;0,($C81*(1-$V$1))-$D80,0)</f>
        <v>-0.49900000000000233</v>
      </c>
      <c r="Z80" s="414">
        <f>IFERROR(IF(C80&lt;&gt;"",$Y$1/(D76/100)*(C80/100),""),"")</f>
        <v>102.16682646212848</v>
      </c>
      <c r="AA80" s="511">
        <f>IFERROR($Z$1/(D80/100)*(C76/100),"")</f>
        <v>114153.84615384614</v>
      </c>
      <c r="AB80" s="38"/>
      <c r="AC80"/>
    </row>
    <row r="81" spans="1:29" ht="12.75" customHeight="1">
      <c r="A81" s="604" t="s">
        <v>548</v>
      </c>
      <c r="B81" s="605">
        <v>533</v>
      </c>
      <c r="C81" s="580">
        <v>45.000999999999998</v>
      </c>
      <c r="D81" s="644">
        <v>45.298999999999999</v>
      </c>
      <c r="E81" s="595">
        <v>500</v>
      </c>
      <c r="F81" s="765">
        <v>45.5</v>
      </c>
      <c r="G81" s="606">
        <v>2.2400000000000003E-2</v>
      </c>
      <c r="H81" s="584">
        <v>45</v>
      </c>
      <c r="I81" s="585">
        <v>45.999000000000002</v>
      </c>
      <c r="J81" s="586">
        <v>44.6</v>
      </c>
      <c r="K81" s="587">
        <v>44.5</v>
      </c>
      <c r="L81" s="569">
        <v>27880</v>
      </c>
      <c r="M81" s="587">
        <v>62038</v>
      </c>
      <c r="N81" s="569">
        <v>87</v>
      </c>
      <c r="O81" s="570">
        <v>45331.685127314813</v>
      </c>
      <c r="P81" s="389">
        <v>80</v>
      </c>
      <c r="Q81" s="572">
        <v>0</v>
      </c>
      <c r="R81" s="607">
        <v>0</v>
      </c>
      <c r="S81" s="574">
        <v>0</v>
      </c>
      <c r="T81" s="590">
        <v>0</v>
      </c>
      <c r="U81" s="554">
        <v>0</v>
      </c>
      <c r="V81" s="613">
        <v>0</v>
      </c>
      <c r="W81" s="751">
        <f>V80*(F80/100)</f>
        <v>0</v>
      </c>
      <c r="X81" s="692"/>
      <c r="Y81" s="684">
        <f>IFERROR(INT($Z$1/(F80/100)),"")</f>
        <v>216</v>
      </c>
      <c r="Z81" s="598">
        <f>IFERROR(IF(C81&lt;&gt;"",$Y$1/(D77/100)*(C81/100),""),"")</f>
        <v>102.85942857142857</v>
      </c>
      <c r="AA81" s="608">
        <f>IFERROR($Z$1/(D81/100)*(C77/100),"")</f>
        <v>115719.99381884812</v>
      </c>
      <c r="AB81" s="38"/>
      <c r="AC81"/>
    </row>
    <row r="82" spans="1:29" ht="12.75" customHeight="1">
      <c r="A82" s="358" t="s">
        <v>576</v>
      </c>
      <c r="B82" s="324">
        <v>5000</v>
      </c>
      <c r="C82" s="418">
        <v>96800</v>
      </c>
      <c r="D82" s="335">
        <v>99580</v>
      </c>
      <c r="E82" s="324">
        <v>500</v>
      </c>
      <c r="F82" s="760">
        <v>99390</v>
      </c>
      <c r="G82" s="431">
        <v>-3.0999999999999999E-3</v>
      </c>
      <c r="H82" s="307">
        <v>99800</v>
      </c>
      <c r="I82" s="299">
        <v>101790</v>
      </c>
      <c r="J82" s="385">
        <v>97000</v>
      </c>
      <c r="K82" s="303">
        <v>99700</v>
      </c>
      <c r="L82" s="330">
        <v>57531294</v>
      </c>
      <c r="M82" s="303">
        <v>58383</v>
      </c>
      <c r="N82" s="330">
        <v>358</v>
      </c>
      <c r="O82" s="378">
        <v>45331.687662037039</v>
      </c>
      <c r="P82" s="390">
        <v>81</v>
      </c>
      <c r="Q82" s="345">
        <v>0</v>
      </c>
      <c r="R82" s="359">
        <v>0</v>
      </c>
      <c r="S82" s="365">
        <v>0</v>
      </c>
      <c r="T82" s="322">
        <v>0</v>
      </c>
      <c r="U82" s="602">
        <v>0</v>
      </c>
      <c r="V82" s="615"/>
      <c r="W82" s="750">
        <f t="shared" ref="W82" si="25">(V82*X82)</f>
        <v>0</v>
      </c>
      <c r="X82" s="694"/>
      <c r="Y82" s="677">
        <f>IF(D82&lt;&gt;0,($C83*(1-$V$1))-$D82,0)</f>
        <v>-1070</v>
      </c>
      <c r="Z82" s="643"/>
      <c r="AA82" s="437"/>
      <c r="AB82" s="38"/>
      <c r="AC82"/>
    </row>
    <row r="83" spans="1:29" ht="12.75" customHeight="1">
      <c r="A83" s="357" t="s">
        <v>577</v>
      </c>
      <c r="B83" s="309">
        <v>463</v>
      </c>
      <c r="C83" s="308">
        <v>98510</v>
      </c>
      <c r="D83" s="645">
        <v>98900</v>
      </c>
      <c r="E83" s="646">
        <v>95</v>
      </c>
      <c r="F83" s="763">
        <v>98900</v>
      </c>
      <c r="G83" s="434">
        <v>-1.1000000000000001E-2</v>
      </c>
      <c r="H83" s="306">
        <v>99000</v>
      </c>
      <c r="I83" s="297">
        <v>101000</v>
      </c>
      <c r="J83" s="382">
        <v>98410</v>
      </c>
      <c r="K83" s="301">
        <v>100000</v>
      </c>
      <c r="L83" s="304">
        <v>451243711</v>
      </c>
      <c r="M83" s="301">
        <v>452820</v>
      </c>
      <c r="N83" s="304">
        <v>1129</v>
      </c>
      <c r="O83" s="379">
        <v>45331.708391203705</v>
      </c>
      <c r="P83" s="389">
        <v>82</v>
      </c>
      <c r="Q83" s="342">
        <v>0</v>
      </c>
      <c r="R83" s="360">
        <v>0</v>
      </c>
      <c r="S83" s="362">
        <v>0</v>
      </c>
      <c r="T83" s="321">
        <v>0</v>
      </c>
      <c r="U83" s="353">
        <v>0</v>
      </c>
      <c r="V83" s="614">
        <v>0</v>
      </c>
      <c r="W83" s="745">
        <f>V82*(F82/100)</f>
        <v>0</v>
      </c>
      <c r="X83" s="688"/>
      <c r="Y83" s="680">
        <f>IFERROR(INT($Y$1/(F82/100)),"")</f>
        <v>120</v>
      </c>
      <c r="Z83" s="549"/>
      <c r="AA83" s="438"/>
      <c r="AB83" s="38"/>
      <c r="AC83"/>
    </row>
    <row r="84" spans="1:29" ht="12.75" hidden="1" customHeight="1">
      <c r="A84" s="312" t="s">
        <v>578</v>
      </c>
      <c r="B84" s="324"/>
      <c r="C84" s="418"/>
      <c r="D84" s="335"/>
      <c r="E84" s="324"/>
      <c r="F84" s="766"/>
      <c r="G84" s="435"/>
      <c r="H84" s="311"/>
      <c r="I84" s="298"/>
      <c r="J84" s="298"/>
      <c r="K84" s="340">
        <v>72.757000000000005</v>
      </c>
      <c r="L84" s="323"/>
      <c r="M84" s="302"/>
      <c r="N84" s="323"/>
      <c r="O84" s="380"/>
      <c r="P84" s="390">
        <v>83</v>
      </c>
      <c r="Q84" s="343">
        <v>0</v>
      </c>
      <c r="R84" s="361">
        <v>0</v>
      </c>
      <c r="S84" s="367">
        <v>0</v>
      </c>
      <c r="T84" s="320">
        <v>0</v>
      </c>
      <c r="U84" s="352">
        <v>0</v>
      </c>
      <c r="V84" s="408"/>
      <c r="W84" s="746">
        <f t="shared" ref="W84" si="26">(V84*X84)</f>
        <v>0</v>
      </c>
      <c r="X84" s="689"/>
      <c r="Y84" s="681">
        <f>IF(D84&lt;&gt;0,($C85*(1-$V$1))-$D84,0)</f>
        <v>0</v>
      </c>
      <c r="Z84" s="416" t="str">
        <f>IFERROR(IF(C84&lt;&gt;"",$Y$1/(D82/100)*(C84/100),""),"")</f>
        <v/>
      </c>
      <c r="AA84" s="510" t="str">
        <f>IFERROR($AA$1/(D84/100)*(C82/100),"")</f>
        <v/>
      </c>
      <c r="AB84" s="38"/>
      <c r="AC84"/>
    </row>
    <row r="85" spans="1:29" ht="12.75" hidden="1" customHeight="1">
      <c r="A85" s="392" t="s">
        <v>579</v>
      </c>
      <c r="B85" s="309"/>
      <c r="C85" s="308"/>
      <c r="D85" s="645"/>
      <c r="E85" s="646"/>
      <c r="F85" s="763"/>
      <c r="G85" s="434"/>
      <c r="H85" s="306"/>
      <c r="I85" s="297"/>
      <c r="J85" s="297"/>
      <c r="K85" s="337"/>
      <c r="L85" s="304"/>
      <c r="M85" s="301"/>
      <c r="N85" s="304"/>
      <c r="O85" s="379"/>
      <c r="P85" s="389">
        <v>84</v>
      </c>
      <c r="Q85" s="342">
        <v>0</v>
      </c>
      <c r="R85" s="360">
        <v>0</v>
      </c>
      <c r="S85" s="362">
        <v>0</v>
      </c>
      <c r="T85" s="321">
        <v>0</v>
      </c>
      <c r="U85" s="353">
        <v>0</v>
      </c>
      <c r="V85" s="407">
        <v>0</v>
      </c>
      <c r="W85" s="747">
        <f>V84*(F84/100)</f>
        <v>0</v>
      </c>
      <c r="X85" s="690"/>
      <c r="Y85" s="682" t="str">
        <f>IFERROR(INT($AA$1/(F84/100)),"")</f>
        <v/>
      </c>
      <c r="Z85" s="415" t="str">
        <f>IFERROR(IF(C85&lt;&gt;"",$Y$1/(D83/100)*(C85/100),""),"")</f>
        <v/>
      </c>
      <c r="AA85" s="512" t="str">
        <f>IFERROR($AA$1/(D85/100)*(C83/100),"")</f>
        <v/>
      </c>
      <c r="AB85" s="38"/>
      <c r="AC85"/>
    </row>
    <row r="86" spans="1:29" ht="12.75" customHeight="1">
      <c r="A86" s="557" t="s">
        <v>580</v>
      </c>
      <c r="B86" s="324">
        <v>19885</v>
      </c>
      <c r="C86" s="418">
        <v>83.8</v>
      </c>
      <c r="D86" s="335">
        <v>84.3</v>
      </c>
      <c r="E86" s="324">
        <v>5075</v>
      </c>
      <c r="F86" s="766">
        <v>84.1</v>
      </c>
      <c r="G86" s="435">
        <v>-6.6E-3</v>
      </c>
      <c r="H86" s="311">
        <v>85</v>
      </c>
      <c r="I86" s="298">
        <v>85</v>
      </c>
      <c r="J86" s="298">
        <v>83.2</v>
      </c>
      <c r="K86" s="340">
        <v>84.66</v>
      </c>
      <c r="L86" s="323">
        <v>27154</v>
      </c>
      <c r="M86" s="302">
        <v>32217</v>
      </c>
      <c r="N86" s="323">
        <v>76</v>
      </c>
      <c r="O86" s="380">
        <v>45331.684016203704</v>
      </c>
      <c r="P86" s="390">
        <v>85</v>
      </c>
      <c r="Q86" s="343">
        <v>0</v>
      </c>
      <c r="R86" s="361">
        <v>0</v>
      </c>
      <c r="S86" s="367">
        <v>0</v>
      </c>
      <c r="T86" s="320">
        <v>0</v>
      </c>
      <c r="U86" s="352">
        <v>0</v>
      </c>
      <c r="V86" s="612">
        <v>0</v>
      </c>
      <c r="W86" s="748">
        <f t="shared" ref="W86" si="27">(V86*X86)</f>
        <v>0</v>
      </c>
      <c r="X86" s="691"/>
      <c r="Y86" s="683">
        <f>IF(D86&lt;&gt;0,($C87*(1-$V$1))-$D86,0)</f>
        <v>-0.59999999999999432</v>
      </c>
      <c r="Z86" s="414">
        <f>IFERROR(IF(C86&lt;&gt;"",$Y$1/(D82/100)*(C86/100),""),"")</f>
        <v>100.98413336011248</v>
      </c>
      <c r="AA86" s="511">
        <f>IFERROR($Z$1/(D86/100)*(C82/100),"")</f>
        <v>114827.99525504152</v>
      </c>
      <c r="AB86" s="38"/>
      <c r="AC86"/>
    </row>
    <row r="87" spans="1:29" ht="12.75" customHeight="1">
      <c r="A87" s="604" t="s">
        <v>581</v>
      </c>
      <c r="B87" s="605">
        <v>3733</v>
      </c>
      <c r="C87" s="580">
        <v>83.7</v>
      </c>
      <c r="D87" s="644">
        <v>84.5</v>
      </c>
      <c r="E87" s="595">
        <v>196884</v>
      </c>
      <c r="F87" s="765">
        <v>84.5</v>
      </c>
      <c r="G87" s="606">
        <v>-1.7000000000000001E-3</v>
      </c>
      <c r="H87" s="584">
        <v>84.99</v>
      </c>
      <c r="I87" s="585">
        <v>84.99</v>
      </c>
      <c r="J87" s="585">
        <v>83.5</v>
      </c>
      <c r="K87" s="609">
        <v>84.65</v>
      </c>
      <c r="L87" s="569">
        <v>295794</v>
      </c>
      <c r="M87" s="587">
        <v>352358</v>
      </c>
      <c r="N87" s="569">
        <v>511</v>
      </c>
      <c r="O87" s="570">
        <v>45331.708599537036</v>
      </c>
      <c r="P87" s="389">
        <v>86</v>
      </c>
      <c r="Q87" s="572">
        <v>0</v>
      </c>
      <c r="R87" s="607">
        <v>0</v>
      </c>
      <c r="S87" s="574">
        <v>0</v>
      </c>
      <c r="T87" s="590">
        <v>0</v>
      </c>
      <c r="U87" s="554">
        <v>0</v>
      </c>
      <c r="V87" s="613">
        <v>0</v>
      </c>
      <c r="W87" s="751">
        <f>V86*(F86/100)</f>
        <v>0</v>
      </c>
      <c r="X87" s="692"/>
      <c r="Y87" s="684">
        <f>IFERROR(INT($Z$1/(F86/100)),"")</f>
        <v>118</v>
      </c>
      <c r="Z87" s="598">
        <f>IFERROR(IF(C87&lt;&gt;"",$Y$1/(D83/100)*(C87/100),""),"")</f>
        <v>101.55712841253792</v>
      </c>
      <c r="AA87" s="608">
        <f>IFERROR($Z$1/(D87/100)*(C83/100),"")</f>
        <v>116579.88165680473</v>
      </c>
      <c r="AB87" s="38"/>
      <c r="AC87"/>
    </row>
    <row r="88" spans="1:29" ht="12.75" customHeight="1">
      <c r="A88" s="358" t="s">
        <v>584</v>
      </c>
      <c r="B88" s="324">
        <v>300</v>
      </c>
      <c r="C88" s="418">
        <v>30500</v>
      </c>
      <c r="D88" s="335">
        <v>33700</v>
      </c>
      <c r="E88" s="324">
        <v>1470</v>
      </c>
      <c r="F88" s="760">
        <v>30510</v>
      </c>
      <c r="G88" s="431">
        <v>-1.54E-2</v>
      </c>
      <c r="H88" s="307">
        <v>30200</v>
      </c>
      <c r="I88" s="299">
        <v>31000</v>
      </c>
      <c r="J88" s="299">
        <v>30200</v>
      </c>
      <c r="K88" s="339">
        <v>30990</v>
      </c>
      <c r="L88" s="330">
        <v>1424280</v>
      </c>
      <c r="M88" s="303">
        <v>4603</v>
      </c>
      <c r="N88" s="330">
        <v>3</v>
      </c>
      <c r="O88" s="378">
        <v>45331.673703703702</v>
      </c>
      <c r="P88" s="390">
        <v>87</v>
      </c>
      <c r="Q88" s="345">
        <v>0</v>
      </c>
      <c r="R88" s="359">
        <v>0</v>
      </c>
      <c r="S88" s="365">
        <v>0</v>
      </c>
      <c r="T88" s="322">
        <v>0</v>
      </c>
      <c r="U88" s="602">
        <v>0</v>
      </c>
      <c r="V88" s="615">
        <v>0</v>
      </c>
      <c r="W88" s="750">
        <f t="shared" ref="W88" si="28">(V88*X88)</f>
        <v>0</v>
      </c>
      <c r="X88" s="694"/>
      <c r="Y88" s="677">
        <f>IF(D88&lt;&gt;0,($C89*(1-$V$1))-$D88,0)</f>
        <v>-2430</v>
      </c>
      <c r="Z88" s="643"/>
      <c r="AA88" s="437"/>
      <c r="AB88" s="38"/>
      <c r="AC88"/>
    </row>
    <row r="89" spans="1:29" ht="12.75" customHeight="1">
      <c r="A89" s="357" t="s">
        <v>585</v>
      </c>
      <c r="B89" s="309">
        <v>175</v>
      </c>
      <c r="C89" s="308">
        <v>31270</v>
      </c>
      <c r="D89" s="645">
        <v>31300</v>
      </c>
      <c r="E89" s="646">
        <v>1771</v>
      </c>
      <c r="F89" s="763">
        <v>31290</v>
      </c>
      <c r="G89" s="434">
        <v>9.300000000000001E-3</v>
      </c>
      <c r="H89" s="306">
        <v>30510</v>
      </c>
      <c r="I89" s="297">
        <v>31490</v>
      </c>
      <c r="J89" s="297">
        <v>30510</v>
      </c>
      <c r="K89" s="337">
        <v>31000</v>
      </c>
      <c r="L89" s="304">
        <v>8022735</v>
      </c>
      <c r="M89" s="301">
        <v>25680</v>
      </c>
      <c r="N89" s="304">
        <v>58</v>
      </c>
      <c r="O89" s="379">
        <v>45331.708379629628</v>
      </c>
      <c r="P89" s="389">
        <v>88</v>
      </c>
      <c r="Q89" s="342">
        <v>0</v>
      </c>
      <c r="R89" s="360">
        <v>0</v>
      </c>
      <c r="S89" s="362">
        <v>0</v>
      </c>
      <c r="T89" s="321">
        <v>0</v>
      </c>
      <c r="U89" s="353">
        <v>0</v>
      </c>
      <c r="V89" s="614">
        <v>0</v>
      </c>
      <c r="W89" s="745">
        <f>V88*(F88/100)</f>
        <v>0</v>
      </c>
      <c r="X89" s="688"/>
      <c r="Y89" s="680">
        <f>IFERROR(INT($Y$1/(F88/100)),"")</f>
        <v>393</v>
      </c>
      <c r="Z89" s="549"/>
      <c r="AA89" s="438"/>
      <c r="AB89" s="38"/>
      <c r="AC89"/>
    </row>
    <row r="90" spans="1:29" ht="12.75" hidden="1" customHeight="1">
      <c r="A90" s="312" t="s">
        <v>586</v>
      </c>
      <c r="B90" s="324"/>
      <c r="C90" s="418"/>
      <c r="D90" s="335"/>
      <c r="E90" s="324"/>
      <c r="F90" s="766"/>
      <c r="G90" s="435"/>
      <c r="H90" s="311"/>
      <c r="I90" s="298"/>
      <c r="J90" s="298"/>
      <c r="K90" s="340">
        <v>30.7</v>
      </c>
      <c r="L90" s="323"/>
      <c r="M90" s="302"/>
      <c r="N90" s="323"/>
      <c r="O90" s="380"/>
      <c r="P90" s="390">
        <v>89</v>
      </c>
      <c r="Q90" s="343">
        <v>0</v>
      </c>
      <c r="R90" s="361">
        <v>0</v>
      </c>
      <c r="S90" s="367">
        <v>0</v>
      </c>
      <c r="T90" s="320">
        <v>0</v>
      </c>
      <c r="U90" s="352">
        <v>0</v>
      </c>
      <c r="V90" s="408"/>
      <c r="W90" s="746">
        <f t="shared" ref="W90" si="29">(V90*X90)</f>
        <v>0</v>
      </c>
      <c r="X90" s="689"/>
      <c r="Y90" s="681">
        <f>IF(D90&lt;&gt;0,($C91*(1-$V$1))-$D90,0)</f>
        <v>0</v>
      </c>
      <c r="Z90" s="416" t="str">
        <f>IFERROR(IF(C90&lt;&gt;"",$Y$1/(D88/100)*(C90/100),""),"")</f>
        <v/>
      </c>
      <c r="AA90" s="510" t="str">
        <f>IFERROR($AA$1/(D90/100)*(C88/100),"")</f>
        <v/>
      </c>
      <c r="AB90" s="38"/>
      <c r="AC90"/>
    </row>
    <row r="91" spans="1:29" ht="12.75" hidden="1" customHeight="1">
      <c r="A91" s="392" t="s">
        <v>587</v>
      </c>
      <c r="B91" s="309"/>
      <c r="C91" s="308"/>
      <c r="D91" s="645"/>
      <c r="E91" s="646"/>
      <c r="F91" s="763"/>
      <c r="G91" s="434"/>
      <c r="H91" s="306"/>
      <c r="I91" s="297"/>
      <c r="J91" s="297"/>
      <c r="K91" s="337">
        <v>31</v>
      </c>
      <c r="L91" s="304"/>
      <c r="M91" s="301"/>
      <c r="N91" s="304"/>
      <c r="O91" s="379"/>
      <c r="P91" s="389">
        <v>90</v>
      </c>
      <c r="Q91" s="342">
        <v>0</v>
      </c>
      <c r="R91" s="360">
        <v>0</v>
      </c>
      <c r="S91" s="362">
        <v>0</v>
      </c>
      <c r="T91" s="321">
        <v>0</v>
      </c>
      <c r="U91" s="353">
        <v>0</v>
      </c>
      <c r="V91" s="407">
        <v>0</v>
      </c>
      <c r="W91" s="747">
        <f>V90*(F90/100)</f>
        <v>0</v>
      </c>
      <c r="X91" s="690"/>
      <c r="Y91" s="682" t="str">
        <f>IFERROR(INT($AA$1/(F90/100)),"")</f>
        <v/>
      </c>
      <c r="Z91" s="415" t="str">
        <f>IFERROR(IF(C91&lt;&gt;"",$Y$1/(D89/100)*(C91/100),""),"")</f>
        <v/>
      </c>
      <c r="AA91" s="512" t="str">
        <f>IFERROR($AA$1/(D91/100)*(C89/100),"")</f>
        <v/>
      </c>
      <c r="AB91" s="38"/>
    </row>
    <row r="92" spans="1:29" ht="12.75" customHeight="1">
      <c r="A92" s="557" t="s">
        <v>588</v>
      </c>
      <c r="B92" s="324">
        <v>100</v>
      </c>
      <c r="C92" s="418">
        <v>25.51</v>
      </c>
      <c r="D92" s="335">
        <v>28.49</v>
      </c>
      <c r="E92" s="324">
        <v>130</v>
      </c>
      <c r="F92" s="766">
        <v>25.25</v>
      </c>
      <c r="G92" s="435">
        <v>-4.7100000000000003E-2</v>
      </c>
      <c r="H92" s="311">
        <v>25.5</v>
      </c>
      <c r="I92" s="298">
        <v>25.5</v>
      </c>
      <c r="J92" s="298">
        <v>25.25</v>
      </c>
      <c r="K92" s="340">
        <v>26.5</v>
      </c>
      <c r="L92" s="323">
        <v>76</v>
      </c>
      <c r="M92" s="302">
        <v>300</v>
      </c>
      <c r="N92" s="323">
        <v>3</v>
      </c>
      <c r="O92" s="380">
        <v>45331.571180555555</v>
      </c>
      <c r="P92" s="390">
        <v>91</v>
      </c>
      <c r="Q92" s="343">
        <v>0</v>
      </c>
      <c r="R92" s="361">
        <v>0</v>
      </c>
      <c r="S92" s="367">
        <v>0</v>
      </c>
      <c r="T92" s="320">
        <v>0</v>
      </c>
      <c r="U92" s="352">
        <v>0</v>
      </c>
      <c r="V92" s="612">
        <v>0</v>
      </c>
      <c r="W92" s="748">
        <f t="shared" ref="W92" si="30">(V92*X92)</f>
        <v>0</v>
      </c>
      <c r="X92" s="691"/>
      <c r="Y92" s="683">
        <f>IF(D92&lt;&gt;0,($C93*(1-$V$1))-$D92,0)</f>
        <v>-1.889999999999997</v>
      </c>
      <c r="Z92" s="414">
        <f>IFERROR(IF(C92&lt;&gt;"",$Y$1/(D88/100)*(C92/100),""),"")</f>
        <v>90.836795252225514</v>
      </c>
      <c r="AA92" s="511">
        <f>IFERROR($Z$1/(D92/100)*(C88/100),"")</f>
        <v>107055.10705510706</v>
      </c>
      <c r="AB92" s="38"/>
      <c r="AC92" s="11"/>
    </row>
    <row r="93" spans="1:29" ht="12.75" customHeight="1">
      <c r="A93" s="604" t="s">
        <v>589</v>
      </c>
      <c r="B93" s="605">
        <v>751</v>
      </c>
      <c r="C93" s="580">
        <v>26.6</v>
      </c>
      <c r="D93" s="644">
        <v>26.99</v>
      </c>
      <c r="E93" s="595">
        <v>12331</v>
      </c>
      <c r="F93" s="765">
        <v>26.99</v>
      </c>
      <c r="G93" s="606">
        <v>-2.9999999999999997E-4</v>
      </c>
      <c r="H93" s="584">
        <v>26.5</v>
      </c>
      <c r="I93" s="585">
        <v>27</v>
      </c>
      <c r="J93" s="585">
        <v>26.5</v>
      </c>
      <c r="K93" s="609">
        <v>27</v>
      </c>
      <c r="L93" s="569">
        <v>4412</v>
      </c>
      <c r="M93" s="587">
        <v>16381</v>
      </c>
      <c r="N93" s="569">
        <v>23</v>
      </c>
      <c r="O93" s="570">
        <v>45331.688993055555</v>
      </c>
      <c r="P93" s="389">
        <v>92</v>
      </c>
      <c r="Q93" s="572">
        <v>0</v>
      </c>
      <c r="R93" s="607">
        <v>0</v>
      </c>
      <c r="S93" s="574">
        <v>0</v>
      </c>
      <c r="T93" s="590">
        <v>0</v>
      </c>
      <c r="U93" s="554">
        <v>0</v>
      </c>
      <c r="V93" s="613">
        <v>0</v>
      </c>
      <c r="W93" s="751">
        <f>V92*(F92/100)</f>
        <v>0</v>
      </c>
      <c r="X93" s="692"/>
      <c r="Y93" s="684">
        <f>IFERROR(INT($Z$1/(F92/100)),"")</f>
        <v>396</v>
      </c>
      <c r="Z93" s="598">
        <f>IFERROR(IF(C93&lt;&gt;"",$Y$1/(D89/100)*(C93/100),""),"")</f>
        <v>101.98083067092652</v>
      </c>
      <c r="AA93" s="608">
        <f>IFERROR($Z$1/(D93/100)*(C89/100),"")</f>
        <v>115857.72508336422</v>
      </c>
      <c r="AB93" s="38"/>
      <c r="AC93" s="11"/>
    </row>
    <row r="94" spans="1:29" ht="12.75" customHeight="1">
      <c r="A94" s="358" t="s">
        <v>613</v>
      </c>
      <c r="B94" s="324">
        <v>170</v>
      </c>
      <c r="C94" s="418">
        <v>79910</v>
      </c>
      <c r="D94" s="335">
        <v>80000</v>
      </c>
      <c r="E94" s="324">
        <v>100000</v>
      </c>
      <c r="F94" s="760">
        <v>79910</v>
      </c>
      <c r="G94" s="431">
        <v>-1.95E-2</v>
      </c>
      <c r="H94" s="307">
        <v>81840</v>
      </c>
      <c r="I94" s="299">
        <v>83360</v>
      </c>
      <c r="J94" s="299">
        <v>78580</v>
      </c>
      <c r="K94" s="339">
        <v>81500</v>
      </c>
      <c r="L94" s="330">
        <v>750179930</v>
      </c>
      <c r="M94" s="303">
        <v>936230</v>
      </c>
      <c r="N94" s="330">
        <v>485</v>
      </c>
      <c r="O94" s="378">
        <v>45331.687673611108</v>
      </c>
      <c r="P94" s="390">
        <v>93</v>
      </c>
      <c r="Q94" s="345">
        <v>0</v>
      </c>
      <c r="R94" s="359">
        <v>0</v>
      </c>
      <c r="S94" s="365">
        <v>0</v>
      </c>
      <c r="T94" s="322">
        <v>0</v>
      </c>
      <c r="U94" s="602">
        <v>0</v>
      </c>
      <c r="V94" s="615">
        <v>0</v>
      </c>
      <c r="W94" s="750">
        <f t="shared" ref="W94" si="31">(V94*X94)</f>
        <v>0</v>
      </c>
      <c r="X94" s="694">
        <v>844</v>
      </c>
      <c r="Y94" s="677">
        <f>IF(D94&lt;&gt;0,($C95*(1-$V$1))-$D94,0)</f>
        <v>-100</v>
      </c>
      <c r="Z94" s="643"/>
      <c r="AA94" s="437"/>
      <c r="AB94" s="38"/>
      <c r="AC94" s="11"/>
    </row>
    <row r="95" spans="1:29" ht="12.75" customHeight="1">
      <c r="A95" s="357" t="s">
        <v>614</v>
      </c>
      <c r="B95" s="309">
        <v>84360</v>
      </c>
      <c r="C95" s="308">
        <v>79900</v>
      </c>
      <c r="D95" s="645">
        <v>80760</v>
      </c>
      <c r="E95" s="646">
        <v>220</v>
      </c>
      <c r="F95" s="763">
        <v>79900</v>
      </c>
      <c r="G95" s="434">
        <v>-2.0799999999999999E-2</v>
      </c>
      <c r="H95" s="306">
        <v>83000</v>
      </c>
      <c r="I95" s="297">
        <v>84410</v>
      </c>
      <c r="J95" s="297">
        <v>79010</v>
      </c>
      <c r="K95" s="337">
        <v>81600</v>
      </c>
      <c r="L95" s="304">
        <v>16823058559</v>
      </c>
      <c r="M95" s="301">
        <v>20687580</v>
      </c>
      <c r="N95" s="304">
        <v>2338</v>
      </c>
      <c r="O95" s="379">
        <v>45331.708541666667</v>
      </c>
      <c r="P95" s="389">
        <v>94</v>
      </c>
      <c r="Q95" s="342">
        <v>0</v>
      </c>
      <c r="R95" s="360">
        <v>0</v>
      </c>
      <c r="S95" s="362">
        <v>0</v>
      </c>
      <c r="T95" s="321">
        <v>0</v>
      </c>
      <c r="U95" s="353">
        <v>0</v>
      </c>
      <c r="V95" s="614">
        <v>0</v>
      </c>
      <c r="W95" s="745">
        <f>V94*(F94/100)</f>
        <v>0</v>
      </c>
      <c r="X95" s="688"/>
      <c r="Y95" s="680">
        <f>IFERROR(INT($Y$1/(F94/100)),"")</f>
        <v>150</v>
      </c>
      <c r="Z95" s="549"/>
      <c r="AA95" s="438"/>
      <c r="AB95" s="38"/>
      <c r="AC95" s="11"/>
    </row>
    <row r="96" spans="1:29" ht="12.75" hidden="1" customHeight="1">
      <c r="A96" s="312" t="s">
        <v>609</v>
      </c>
      <c r="B96" s="324">
        <v>250000</v>
      </c>
      <c r="C96" s="418">
        <v>64.25</v>
      </c>
      <c r="D96" s="335">
        <v>64.5</v>
      </c>
      <c r="E96" s="324">
        <v>127920</v>
      </c>
      <c r="F96" s="766">
        <v>64.5</v>
      </c>
      <c r="G96" s="435">
        <v>-1.37E-2</v>
      </c>
      <c r="H96" s="311">
        <v>66</v>
      </c>
      <c r="I96" s="298">
        <v>66</v>
      </c>
      <c r="J96" s="298">
        <v>64</v>
      </c>
      <c r="K96" s="340">
        <v>65.400000000000006</v>
      </c>
      <c r="L96" s="323">
        <v>5944562</v>
      </c>
      <c r="M96" s="302">
        <v>9207860</v>
      </c>
      <c r="N96" s="323">
        <v>359</v>
      </c>
      <c r="O96" s="380">
        <v>45331.681261574071</v>
      </c>
      <c r="P96" s="390">
        <v>95</v>
      </c>
      <c r="Q96" s="343">
        <v>0</v>
      </c>
      <c r="R96" s="361">
        <v>0</v>
      </c>
      <c r="S96" s="367">
        <v>0</v>
      </c>
      <c r="T96" s="320">
        <v>0</v>
      </c>
      <c r="U96" s="352">
        <v>0</v>
      </c>
      <c r="V96" s="408"/>
      <c r="W96" s="746">
        <f t="shared" ref="W96" si="32">(V96*X96)</f>
        <v>0</v>
      </c>
      <c r="X96" s="689"/>
      <c r="Y96" s="681">
        <f>IF(D96&lt;&gt;0,($C97*(1-$V$1))-$D96,0)</f>
        <v>-0.15000000000000568</v>
      </c>
      <c r="Z96" s="416">
        <f>IFERROR(IF(C96&lt;&gt;"",$Y$1/(D94/100)*(C96/100),""),"")</f>
        <v>96.375</v>
      </c>
      <c r="AA96" s="510">
        <f>IFERROR($AA$1/(D96/100)*(C94/100),"")</f>
        <v>123891.47286821705</v>
      </c>
      <c r="AB96" s="38"/>
      <c r="AC96" s="11"/>
    </row>
    <row r="97" spans="1:29" ht="12.75" hidden="1" customHeight="1">
      <c r="A97" s="392" t="s">
        <v>610</v>
      </c>
      <c r="B97" s="309">
        <v>47820</v>
      </c>
      <c r="C97" s="308">
        <v>64.349999999999994</v>
      </c>
      <c r="D97" s="645">
        <v>64.599999999999994</v>
      </c>
      <c r="E97" s="646">
        <v>88920</v>
      </c>
      <c r="F97" s="763">
        <v>64.349999999999994</v>
      </c>
      <c r="G97" s="434">
        <v>-1.6799999999999999E-2</v>
      </c>
      <c r="H97" s="306">
        <v>66</v>
      </c>
      <c r="I97" s="297">
        <v>66</v>
      </c>
      <c r="J97" s="297">
        <v>64.150000000000006</v>
      </c>
      <c r="K97" s="337">
        <v>65.45</v>
      </c>
      <c r="L97" s="304">
        <v>12241745</v>
      </c>
      <c r="M97" s="301">
        <v>18939520</v>
      </c>
      <c r="N97" s="304">
        <v>1104</v>
      </c>
      <c r="O97" s="379">
        <v>45331.708483796298</v>
      </c>
      <c r="P97" s="389">
        <v>96</v>
      </c>
      <c r="Q97" s="342">
        <v>0</v>
      </c>
      <c r="R97" s="360">
        <v>0</v>
      </c>
      <c r="S97" s="362">
        <v>0</v>
      </c>
      <c r="T97" s="321">
        <v>0</v>
      </c>
      <c r="U97" s="353">
        <v>0</v>
      </c>
      <c r="V97" s="407">
        <v>0</v>
      </c>
      <c r="W97" s="747">
        <f>V96*(F96/100)</f>
        <v>0</v>
      </c>
      <c r="X97" s="690"/>
      <c r="Y97" s="682">
        <f>IFERROR(INT($AA$1/(F96/100)),"")</f>
        <v>155</v>
      </c>
      <c r="Z97" s="415">
        <f>IFERROR(IF(C97&lt;&gt;"",$Y$1/(D95/100)*(C97/100),""),"")</f>
        <v>95.616641901931629</v>
      </c>
      <c r="AA97" s="512">
        <f>IFERROR($AA$1/(D97/100)*(C95/100),"")</f>
        <v>123684.2105263158</v>
      </c>
      <c r="AB97" s="38"/>
      <c r="AC97" s="11"/>
    </row>
    <row r="98" spans="1:29" ht="12.75" customHeight="1">
      <c r="A98" s="557" t="s">
        <v>611</v>
      </c>
      <c r="B98" s="324">
        <v>120</v>
      </c>
      <c r="C98" s="418">
        <v>68.17</v>
      </c>
      <c r="D98" s="335">
        <v>68.25</v>
      </c>
      <c r="E98" s="324">
        <v>91600</v>
      </c>
      <c r="F98" s="766">
        <v>68.25</v>
      </c>
      <c r="G98" s="435">
        <v>-1.23E-2</v>
      </c>
      <c r="H98" s="311">
        <v>71</v>
      </c>
      <c r="I98" s="298">
        <v>71</v>
      </c>
      <c r="J98" s="298">
        <v>68</v>
      </c>
      <c r="K98" s="340">
        <v>69.099999999999994</v>
      </c>
      <c r="L98" s="323">
        <v>79334</v>
      </c>
      <c r="M98" s="302">
        <v>115460</v>
      </c>
      <c r="N98" s="323">
        <v>65</v>
      </c>
      <c r="O98" s="380">
        <v>45331.687604166669</v>
      </c>
      <c r="P98" s="390">
        <v>97</v>
      </c>
      <c r="Q98" s="343">
        <v>0</v>
      </c>
      <c r="R98" s="361">
        <v>0</v>
      </c>
      <c r="S98" s="367">
        <v>0</v>
      </c>
      <c r="T98" s="320">
        <v>0</v>
      </c>
      <c r="U98" s="352">
        <v>0</v>
      </c>
      <c r="V98" s="612">
        <v>0</v>
      </c>
      <c r="W98" s="748">
        <f t="shared" ref="W98" si="33">(V98*X98)</f>
        <v>0</v>
      </c>
      <c r="X98" s="691">
        <v>0.71499999999999997</v>
      </c>
      <c r="Y98" s="683">
        <f>IF(D98&lt;&gt;0,($C99*(1-$V$1))-$D98,0)</f>
        <v>-0.25</v>
      </c>
      <c r="Z98" s="414">
        <f>IFERROR(IF(C98&lt;&gt;"",$Y$1/(D94/100)*(C98/100),""),"")</f>
        <v>102.255</v>
      </c>
      <c r="AA98" s="511">
        <f>IFERROR($Z$1/(D98/100)*(C94/100),"")</f>
        <v>117084.24908424908</v>
      </c>
      <c r="AB98" s="38"/>
      <c r="AC98" s="11"/>
    </row>
    <row r="99" spans="1:29" ht="12.75" customHeight="1">
      <c r="A99" s="604" t="s">
        <v>612</v>
      </c>
      <c r="B99" s="605">
        <v>440</v>
      </c>
      <c r="C99" s="580">
        <v>68</v>
      </c>
      <c r="D99" s="644">
        <v>68.25</v>
      </c>
      <c r="E99" s="595">
        <v>197500</v>
      </c>
      <c r="F99" s="765">
        <v>68.25</v>
      </c>
      <c r="G99" s="606">
        <v>-1.23E-2</v>
      </c>
      <c r="H99" s="584">
        <v>70</v>
      </c>
      <c r="I99" s="585">
        <v>70</v>
      </c>
      <c r="J99" s="585">
        <v>67.5</v>
      </c>
      <c r="K99" s="609">
        <v>69.099999999999994</v>
      </c>
      <c r="L99" s="569">
        <v>1161217</v>
      </c>
      <c r="M99" s="587">
        <v>1701630</v>
      </c>
      <c r="N99" s="569">
        <v>567</v>
      </c>
      <c r="O99" s="570">
        <v>45331.703611111108</v>
      </c>
      <c r="P99" s="389">
        <v>98</v>
      </c>
      <c r="Q99" s="572">
        <v>0</v>
      </c>
      <c r="R99" s="607">
        <v>0</v>
      </c>
      <c r="S99" s="574">
        <v>0</v>
      </c>
      <c r="T99" s="590">
        <v>0</v>
      </c>
      <c r="U99" s="554">
        <v>0</v>
      </c>
      <c r="V99" s="613">
        <v>0</v>
      </c>
      <c r="W99" s="751">
        <f>V98*(F98/100)</f>
        <v>0</v>
      </c>
      <c r="X99" s="692"/>
      <c r="Y99" s="684">
        <f>IFERROR(INT($Z$1/(F98/100)),"")</f>
        <v>146</v>
      </c>
      <c r="Z99" s="598">
        <f>IFERROR(IF(C99&lt;&gt;"",$Y$1/(D95/100)*(C99/100),""),"")</f>
        <v>101.04011887072808</v>
      </c>
      <c r="AA99" s="608">
        <f>IFERROR($Z$1/(D99/100)*(C95/100),"")</f>
        <v>117069.59706959706</v>
      </c>
      <c r="AB99" s="38"/>
    </row>
    <row r="100" spans="1:29" ht="12.75" customHeight="1">
      <c r="A100" s="358" t="s">
        <v>621</v>
      </c>
      <c r="B100" s="324">
        <v>5702999</v>
      </c>
      <c r="C100" s="418">
        <v>153.25</v>
      </c>
      <c r="D100" s="335">
        <v>158</v>
      </c>
      <c r="E100" s="324">
        <v>85000</v>
      </c>
      <c r="F100" s="760">
        <v>153.25</v>
      </c>
      <c r="G100" s="431">
        <v>-4.0300000000000002E-2</v>
      </c>
      <c r="H100" s="307">
        <v>154</v>
      </c>
      <c r="I100" s="299">
        <v>160.99</v>
      </c>
      <c r="J100" s="299">
        <v>150</v>
      </c>
      <c r="K100" s="339">
        <v>159.69999999999999</v>
      </c>
      <c r="L100" s="330">
        <v>4333417</v>
      </c>
      <c r="M100" s="303">
        <v>2826705</v>
      </c>
      <c r="N100" s="330">
        <v>42</v>
      </c>
      <c r="O100" s="378">
        <v>45331.641724537039</v>
      </c>
      <c r="P100" s="390">
        <v>99</v>
      </c>
      <c r="Q100" s="345">
        <v>0</v>
      </c>
      <c r="R100" s="359">
        <v>0</v>
      </c>
      <c r="S100" s="365">
        <v>0</v>
      </c>
      <c r="T100" s="322">
        <v>0</v>
      </c>
      <c r="U100" s="602">
        <v>0</v>
      </c>
      <c r="V100" s="615"/>
      <c r="W100" s="750">
        <f t="shared" ref="W100" si="34">(V100*X100)</f>
        <v>0</v>
      </c>
      <c r="X100" s="694"/>
      <c r="Y100" s="677">
        <f>IF(D100&lt;&gt;0,($C101*(1-$V$1))-$D100,0)</f>
        <v>-4</v>
      </c>
      <c r="Z100" s="643"/>
      <c r="AA100" s="437"/>
      <c r="AB100" s="38"/>
    </row>
    <row r="101" spans="1:29" ht="12.75" customHeight="1">
      <c r="A101" s="357" t="s">
        <v>622</v>
      </c>
      <c r="B101" s="309">
        <v>99999953</v>
      </c>
      <c r="C101" s="308">
        <v>154</v>
      </c>
      <c r="D101" s="645">
        <v>155</v>
      </c>
      <c r="E101" s="646">
        <v>499980505</v>
      </c>
      <c r="F101" s="763">
        <v>155</v>
      </c>
      <c r="G101" s="434">
        <v>-6.4000000000000003E-3</v>
      </c>
      <c r="H101" s="306">
        <v>157</v>
      </c>
      <c r="I101" s="297">
        <v>157.88999999999999</v>
      </c>
      <c r="J101" s="297">
        <v>152.321</v>
      </c>
      <c r="K101" s="337">
        <v>156</v>
      </c>
      <c r="L101" s="304">
        <v>4001902608</v>
      </c>
      <c r="M101" s="301">
        <v>2592781669</v>
      </c>
      <c r="N101" s="304">
        <v>454</v>
      </c>
      <c r="O101" s="379">
        <v>45331.708645833336</v>
      </c>
      <c r="P101" s="389">
        <v>100</v>
      </c>
      <c r="Q101" s="342">
        <v>0</v>
      </c>
      <c r="R101" s="360">
        <v>0</v>
      </c>
      <c r="S101" s="362">
        <v>0</v>
      </c>
      <c r="T101" s="321">
        <v>0</v>
      </c>
      <c r="U101" s="353">
        <v>0</v>
      </c>
      <c r="V101" s="614">
        <v>0</v>
      </c>
      <c r="W101" s="745">
        <f>V100*(F100/100)</f>
        <v>0</v>
      </c>
      <c r="X101" s="688"/>
      <c r="Y101" s="680">
        <f>IFERROR(INT($Y$1/(F100/100)),"")</f>
        <v>78303</v>
      </c>
      <c r="Z101" s="549"/>
      <c r="AA101" s="438"/>
      <c r="AB101" s="38"/>
    </row>
    <row r="102" spans="1:29" ht="12.75" hidden="1" customHeight="1">
      <c r="A102" s="312" t="s">
        <v>623</v>
      </c>
      <c r="B102" s="324"/>
      <c r="C102" s="418"/>
      <c r="D102" s="335"/>
      <c r="E102" s="324"/>
      <c r="F102" s="766"/>
      <c r="G102" s="435"/>
      <c r="H102" s="311"/>
      <c r="I102" s="298"/>
      <c r="J102" s="298"/>
      <c r="K102" s="340"/>
      <c r="L102" s="323"/>
      <c r="M102" s="302"/>
      <c r="N102" s="323"/>
      <c r="O102" s="380"/>
      <c r="P102" s="390">
        <v>101</v>
      </c>
      <c r="Q102" s="343">
        <v>0</v>
      </c>
      <c r="R102" s="361">
        <v>0</v>
      </c>
      <c r="S102" s="367">
        <v>0</v>
      </c>
      <c r="T102" s="320">
        <v>0</v>
      </c>
      <c r="U102" s="352">
        <v>0</v>
      </c>
      <c r="V102" s="408"/>
      <c r="W102" s="746">
        <f t="shared" ref="W102" si="35">(V102*X102)</f>
        <v>0</v>
      </c>
      <c r="X102" s="689"/>
      <c r="Y102" s="681">
        <f>IF(D102&lt;&gt;0,($C103*(1-$V$1))-$D102,0)</f>
        <v>0</v>
      </c>
      <c r="Z102" s="416" t="str">
        <f>IFERROR(IF(C102&lt;&gt;"",$Y$1/(D100/100)*(C102/100),""),"")</f>
        <v/>
      </c>
      <c r="AA102" s="510" t="str">
        <f>IFERROR($AA$1/(D102/100)*(C100/100),"")</f>
        <v/>
      </c>
      <c r="AB102" s="38"/>
    </row>
    <row r="103" spans="1:29" ht="12.75" hidden="1" customHeight="1">
      <c r="A103" s="392" t="s">
        <v>624</v>
      </c>
      <c r="B103" s="309"/>
      <c r="C103" s="308"/>
      <c r="D103" s="645"/>
      <c r="E103" s="646"/>
      <c r="F103" s="763"/>
      <c r="G103" s="434"/>
      <c r="H103" s="306"/>
      <c r="I103" s="297"/>
      <c r="J103" s="297"/>
      <c r="K103" s="337"/>
      <c r="L103" s="304"/>
      <c r="M103" s="301"/>
      <c r="N103" s="304"/>
      <c r="O103" s="379"/>
      <c r="P103" s="389">
        <v>102</v>
      </c>
      <c r="Q103" s="342">
        <v>0</v>
      </c>
      <c r="R103" s="360">
        <v>0</v>
      </c>
      <c r="S103" s="362">
        <v>0</v>
      </c>
      <c r="T103" s="321">
        <v>0</v>
      </c>
      <c r="U103" s="353">
        <v>0</v>
      </c>
      <c r="V103" s="407">
        <v>0</v>
      </c>
      <c r="W103" s="747">
        <f>V102*(F102/100)</f>
        <v>0</v>
      </c>
      <c r="X103" s="690"/>
      <c r="Y103" s="682" t="str">
        <f>IFERROR(INT($AA$1/(F102/100)),"")</f>
        <v/>
      </c>
      <c r="Z103" s="415" t="str">
        <f>IFERROR(IF(C103&lt;&gt;"",$Y$1/(D101/100)*(C103/100),""),"")</f>
        <v/>
      </c>
      <c r="AA103" s="512" t="str">
        <f>IFERROR($AA$1/(D103/100)*(C101/100),"")</f>
        <v/>
      </c>
      <c r="AB103" s="38"/>
    </row>
    <row r="104" spans="1:29" ht="12.75" customHeight="1">
      <c r="A104" s="557" t="s">
        <v>625</v>
      </c>
      <c r="B104" s="324"/>
      <c r="C104" s="418"/>
      <c r="D104" s="335"/>
      <c r="E104" s="324"/>
      <c r="F104" s="766"/>
      <c r="G104" s="435"/>
      <c r="H104" s="311"/>
      <c r="I104" s="298"/>
      <c r="J104" s="298"/>
      <c r="K104" s="340"/>
      <c r="L104" s="323"/>
      <c r="M104" s="302"/>
      <c r="N104" s="323"/>
      <c r="O104" s="380"/>
      <c r="P104" s="390">
        <v>103</v>
      </c>
      <c r="Q104" s="343">
        <v>0</v>
      </c>
      <c r="R104" s="361">
        <v>0</v>
      </c>
      <c r="S104" s="367">
        <v>0</v>
      </c>
      <c r="T104" s="320">
        <v>0</v>
      </c>
      <c r="U104" s="352">
        <v>0</v>
      </c>
      <c r="V104" s="612">
        <v>0</v>
      </c>
      <c r="W104" s="748">
        <f t="shared" ref="W104" si="36">(V104*X104)</f>
        <v>0</v>
      </c>
      <c r="X104" s="691"/>
      <c r="Y104" s="683">
        <f>IF(D104&lt;&gt;0,($C105*(1-$V$1))-$D104,0)</f>
        <v>0</v>
      </c>
      <c r="Z104" s="414" t="str">
        <f>IFERROR(IF(C104&lt;&gt;"",$Y$1/(D100/100)*(C104/100),""),"")</f>
        <v/>
      </c>
      <c r="AA104" s="511" t="str">
        <f>IFERROR($Z$1/(D104/100)*(C100/100),"")</f>
        <v/>
      </c>
      <c r="AB104" s="38"/>
    </row>
    <row r="105" spans="1:29" ht="12.75" customHeight="1">
      <c r="A105" s="604" t="s">
        <v>626</v>
      </c>
      <c r="B105" s="605"/>
      <c r="C105" s="580"/>
      <c r="D105" s="644"/>
      <c r="E105" s="595"/>
      <c r="F105" s="765"/>
      <c r="G105" s="606"/>
      <c r="H105" s="584"/>
      <c r="I105" s="585"/>
      <c r="J105" s="585"/>
      <c r="K105" s="609"/>
      <c r="L105" s="569"/>
      <c r="M105" s="587"/>
      <c r="N105" s="569"/>
      <c r="O105" s="570"/>
      <c r="P105" s="389">
        <v>104</v>
      </c>
      <c r="Q105" s="572">
        <v>0</v>
      </c>
      <c r="R105" s="607">
        <v>0</v>
      </c>
      <c r="S105" s="574">
        <v>0</v>
      </c>
      <c r="T105" s="590">
        <v>0</v>
      </c>
      <c r="U105" s="554">
        <v>0</v>
      </c>
      <c r="V105" s="613">
        <v>0</v>
      </c>
      <c r="W105" s="751">
        <f>V104*(F104/100)</f>
        <v>0</v>
      </c>
      <c r="X105" s="692"/>
      <c r="Y105" s="684" t="str">
        <f>IFERROR(INT($Z$1/(F104/100)),"")</f>
        <v/>
      </c>
      <c r="Z105" s="598" t="str">
        <f>IFERROR(IF(C105&lt;&gt;"",$Y$1/(D101/100)*(C105/100),""),"")</f>
        <v/>
      </c>
      <c r="AA105" s="608" t="str">
        <f>IFERROR($Z$1/(D105/100)*(C101/100),"")</f>
        <v/>
      </c>
      <c r="AB105" s="38"/>
    </row>
    <row r="106" spans="1:29" ht="12.75" customHeight="1">
      <c r="A106" s="358" t="s">
        <v>555</v>
      </c>
      <c r="B106" s="324">
        <v>130</v>
      </c>
      <c r="C106" s="418">
        <v>42300</v>
      </c>
      <c r="D106" s="335">
        <v>42400</v>
      </c>
      <c r="E106" s="324">
        <v>758</v>
      </c>
      <c r="F106" s="760">
        <v>42400</v>
      </c>
      <c r="G106" s="431">
        <v>-2.18E-2</v>
      </c>
      <c r="H106" s="307">
        <v>43310</v>
      </c>
      <c r="I106" s="299">
        <v>43570</v>
      </c>
      <c r="J106" s="299">
        <v>41950</v>
      </c>
      <c r="K106" s="339">
        <v>43345</v>
      </c>
      <c r="L106" s="330">
        <v>360155290</v>
      </c>
      <c r="M106" s="303">
        <v>834915</v>
      </c>
      <c r="N106" s="330">
        <v>767</v>
      </c>
      <c r="O106" s="378">
        <v>45331.687835648147</v>
      </c>
      <c r="P106" s="390">
        <v>105</v>
      </c>
      <c r="Q106" s="345">
        <v>0</v>
      </c>
      <c r="R106" s="359">
        <v>0</v>
      </c>
      <c r="S106" s="365">
        <v>0</v>
      </c>
      <c r="T106" s="322">
        <v>0</v>
      </c>
      <c r="U106" s="602">
        <v>0</v>
      </c>
      <c r="V106" s="615"/>
      <c r="W106" s="750">
        <f t="shared" ref="W106" si="37">(V106*X106)</f>
        <v>0</v>
      </c>
      <c r="X106" s="694"/>
      <c r="Y106" s="677">
        <f>IF(D106&lt;&gt;0,($C107*(1-$V$1))-$D106,0)</f>
        <v>700</v>
      </c>
      <c r="Z106" s="643"/>
      <c r="AA106" s="437"/>
      <c r="AB106" s="38"/>
    </row>
    <row r="107" spans="1:29" ht="12.75" customHeight="1">
      <c r="A107" s="357" t="s">
        <v>183</v>
      </c>
      <c r="B107" s="309">
        <v>25</v>
      </c>
      <c r="C107" s="308">
        <v>43100</v>
      </c>
      <c r="D107" s="645">
        <v>43400</v>
      </c>
      <c r="E107" s="646">
        <v>5000</v>
      </c>
      <c r="F107" s="763">
        <v>43100</v>
      </c>
      <c r="G107" s="434">
        <v>-2.0199999999999999E-2</v>
      </c>
      <c r="H107" s="306">
        <v>43000</v>
      </c>
      <c r="I107" s="297">
        <v>44290</v>
      </c>
      <c r="J107" s="297">
        <v>42505</v>
      </c>
      <c r="K107" s="337">
        <v>43990</v>
      </c>
      <c r="L107" s="304">
        <v>829265447</v>
      </c>
      <c r="M107" s="301">
        <v>1897809</v>
      </c>
      <c r="N107" s="304">
        <v>1548</v>
      </c>
      <c r="O107" s="379">
        <v>45331.708553240744</v>
      </c>
      <c r="P107" s="389">
        <v>106</v>
      </c>
      <c r="Q107" s="342">
        <v>0</v>
      </c>
      <c r="R107" s="360">
        <v>0</v>
      </c>
      <c r="S107" s="362">
        <v>0</v>
      </c>
      <c r="T107" s="321">
        <v>0</v>
      </c>
      <c r="U107" s="353">
        <v>0</v>
      </c>
      <c r="V107" s="614">
        <v>0</v>
      </c>
      <c r="W107" s="745">
        <f>V106*(F106/100)</f>
        <v>0</v>
      </c>
      <c r="X107" s="688"/>
      <c r="Y107" s="680">
        <f>IFERROR(INT($Y$1/(F106/100)),"")</f>
        <v>283</v>
      </c>
      <c r="Z107" s="549"/>
      <c r="AA107" s="438"/>
      <c r="AB107" s="38"/>
    </row>
    <row r="108" spans="1:29" ht="12.75" hidden="1" customHeight="1">
      <c r="A108" s="312" t="s">
        <v>556</v>
      </c>
      <c r="B108" s="324"/>
      <c r="C108" s="418"/>
      <c r="D108" s="335">
        <v>36.5</v>
      </c>
      <c r="E108" s="324">
        <v>50000</v>
      </c>
      <c r="F108" s="766"/>
      <c r="G108" s="435"/>
      <c r="H108" s="311"/>
      <c r="I108" s="298"/>
      <c r="J108" s="298"/>
      <c r="K108" s="340">
        <v>38</v>
      </c>
      <c r="L108" s="323"/>
      <c r="M108" s="302"/>
      <c r="N108" s="323"/>
      <c r="O108" s="380"/>
      <c r="P108" s="390">
        <v>107</v>
      </c>
      <c r="Q108" s="343">
        <v>0</v>
      </c>
      <c r="R108" s="361">
        <v>0</v>
      </c>
      <c r="S108" s="367">
        <v>0</v>
      </c>
      <c r="T108" s="320">
        <v>0</v>
      </c>
      <c r="U108" s="352">
        <v>0</v>
      </c>
      <c r="V108" s="408"/>
      <c r="W108" s="746">
        <f t="shared" ref="W108" si="38">(V108*X108)</f>
        <v>0</v>
      </c>
      <c r="X108" s="689"/>
      <c r="Y108" s="681">
        <f>IF(D108&lt;&gt;0,($C109*(1-$V$1))-$D108,0)</f>
        <v>-36.5</v>
      </c>
      <c r="Z108" s="416" t="str">
        <f>IFERROR(IF(C108&lt;&gt;"",$Y$1/(D106/100)*(C108/100),""),"")</f>
        <v/>
      </c>
      <c r="AA108" s="510">
        <f>IFERROR($AA$1/(D108/100)*(C106/100),"")</f>
        <v>115890.4109589041</v>
      </c>
      <c r="AB108" s="38"/>
    </row>
    <row r="109" spans="1:29" ht="12.75" hidden="1" customHeight="1">
      <c r="A109" s="392" t="s">
        <v>230</v>
      </c>
      <c r="B109" s="309"/>
      <c r="C109" s="308"/>
      <c r="D109" s="645"/>
      <c r="E109" s="646"/>
      <c r="F109" s="763"/>
      <c r="G109" s="434"/>
      <c r="H109" s="306"/>
      <c r="I109" s="297"/>
      <c r="J109" s="297"/>
      <c r="K109" s="337">
        <v>35.875</v>
      </c>
      <c r="L109" s="304"/>
      <c r="M109" s="301"/>
      <c r="N109" s="304"/>
      <c r="O109" s="379"/>
      <c r="P109" s="389">
        <v>108</v>
      </c>
      <c r="Q109" s="342">
        <v>0</v>
      </c>
      <c r="R109" s="360">
        <v>0</v>
      </c>
      <c r="S109" s="362">
        <v>0</v>
      </c>
      <c r="T109" s="321">
        <v>0</v>
      </c>
      <c r="U109" s="353">
        <v>0</v>
      </c>
      <c r="V109" s="407">
        <v>0</v>
      </c>
      <c r="W109" s="747">
        <f>V108*(F108/100)</f>
        <v>0</v>
      </c>
      <c r="X109" s="690"/>
      <c r="Y109" s="682" t="str">
        <f>IFERROR(INT($AA$1/(F108/100)),"")</f>
        <v/>
      </c>
      <c r="Z109" s="415" t="str">
        <f>IFERROR(IF(C109&lt;&gt;"",$Y$1/(D107/100)*(C109/100),""),"")</f>
        <v/>
      </c>
      <c r="AA109" s="512" t="str">
        <f>IFERROR($AA$1/(D109/100)*(C107/100),"")</f>
        <v/>
      </c>
      <c r="AB109" s="38"/>
    </row>
    <row r="110" spans="1:29" ht="12.75" customHeight="1">
      <c r="A110" s="557" t="s">
        <v>557</v>
      </c>
      <c r="B110" s="324">
        <v>2681</v>
      </c>
      <c r="C110" s="418">
        <v>36.840000000000003</v>
      </c>
      <c r="D110" s="335">
        <v>37.25</v>
      </c>
      <c r="E110" s="324">
        <v>23016</v>
      </c>
      <c r="F110" s="766">
        <v>37.200000000000003</v>
      </c>
      <c r="G110" s="435">
        <v>1.6000000000000001E-3</v>
      </c>
      <c r="H110" s="311">
        <v>37.14</v>
      </c>
      <c r="I110" s="298">
        <v>37.299999999999997</v>
      </c>
      <c r="J110" s="298">
        <v>36.5</v>
      </c>
      <c r="K110" s="340">
        <v>37.14</v>
      </c>
      <c r="L110" s="323">
        <v>151504</v>
      </c>
      <c r="M110" s="302">
        <v>408148</v>
      </c>
      <c r="N110" s="323">
        <v>249</v>
      </c>
      <c r="O110" s="380">
        <v>45331.678749999999</v>
      </c>
      <c r="P110" s="390">
        <v>109</v>
      </c>
      <c r="Q110" s="343">
        <v>0</v>
      </c>
      <c r="R110" s="361">
        <v>0</v>
      </c>
      <c r="S110" s="367">
        <v>0</v>
      </c>
      <c r="T110" s="320">
        <v>0</v>
      </c>
      <c r="U110" s="352">
        <v>0</v>
      </c>
      <c r="V110" s="612">
        <v>0</v>
      </c>
      <c r="W110" s="748">
        <f t="shared" ref="W110" si="39">(V110*X110)</f>
        <v>0</v>
      </c>
      <c r="X110" s="691"/>
      <c r="Y110" s="683">
        <f>IF(D110&lt;&gt;0,($C111*(1-$V$1))-$D110,0)</f>
        <v>-0.45000000000000284</v>
      </c>
      <c r="Z110" s="414">
        <f>IFERROR(IF(C110&lt;&gt;"",$Y$1/(D106/100)*(C110/100),""),"")</f>
        <v>104.26415094339625</v>
      </c>
      <c r="AA110" s="511">
        <f>IFERROR($Z$1/(D110/100)*(C106/100),"")</f>
        <v>113557.04697986577</v>
      </c>
      <c r="AB110" s="38"/>
    </row>
    <row r="111" spans="1:29" ht="12.75" customHeight="1">
      <c r="A111" s="604" t="s">
        <v>231</v>
      </c>
      <c r="B111" s="605">
        <v>158</v>
      </c>
      <c r="C111" s="580">
        <v>36.799999999999997</v>
      </c>
      <c r="D111" s="644">
        <v>36.837000000000003</v>
      </c>
      <c r="E111" s="595">
        <v>39587</v>
      </c>
      <c r="F111" s="765">
        <v>36.837000000000003</v>
      </c>
      <c r="G111" s="606">
        <v>-4.4000000000000003E-3</v>
      </c>
      <c r="H111" s="584">
        <v>37</v>
      </c>
      <c r="I111" s="585">
        <v>37.393000000000001</v>
      </c>
      <c r="J111" s="585">
        <v>36.5</v>
      </c>
      <c r="K111" s="609">
        <v>37</v>
      </c>
      <c r="L111" s="569">
        <v>162903</v>
      </c>
      <c r="M111" s="587">
        <v>442038</v>
      </c>
      <c r="N111" s="569">
        <v>414</v>
      </c>
      <c r="O111" s="570">
        <v>45331.70853009259</v>
      </c>
      <c r="P111" s="389">
        <v>110</v>
      </c>
      <c r="Q111" s="572">
        <v>0</v>
      </c>
      <c r="R111" s="607">
        <v>0</v>
      </c>
      <c r="S111" s="574">
        <v>0</v>
      </c>
      <c r="T111" s="590">
        <v>0</v>
      </c>
      <c r="U111" s="554">
        <v>0</v>
      </c>
      <c r="V111" s="613">
        <v>0</v>
      </c>
      <c r="W111" s="751">
        <f>V110*(F110/100)</f>
        <v>0</v>
      </c>
      <c r="X111" s="692"/>
      <c r="Y111" s="684">
        <f>IFERROR(INT($Z$1/(F110/100)),"")</f>
        <v>268</v>
      </c>
      <c r="Z111" s="598">
        <f>IFERROR(IF(C111&lt;&gt;"",$Y$1/(D107/100)*(C111/100),""),"")</f>
        <v>101.75115207373271</v>
      </c>
      <c r="AA111" s="608">
        <f>IFERROR($Z$1/(D111/100)*(C107/100),"")</f>
        <v>117001.92740994108</v>
      </c>
      <c r="AB111" s="38"/>
    </row>
    <row r="112" spans="1:29" ht="12.75" customHeight="1">
      <c r="A112" s="358" t="s">
        <v>549</v>
      </c>
      <c r="B112" s="324">
        <v>274</v>
      </c>
      <c r="C112" s="418">
        <v>48430</v>
      </c>
      <c r="D112" s="335">
        <v>49200</v>
      </c>
      <c r="E112" s="324">
        <v>2170</v>
      </c>
      <c r="F112" s="760">
        <v>49200</v>
      </c>
      <c r="G112" s="431">
        <v>2.8000000000000004E-3</v>
      </c>
      <c r="H112" s="307">
        <v>49075</v>
      </c>
      <c r="I112" s="299">
        <v>50140</v>
      </c>
      <c r="J112" s="299">
        <v>48205</v>
      </c>
      <c r="K112" s="339">
        <v>49060</v>
      </c>
      <c r="L112" s="330">
        <v>68231286</v>
      </c>
      <c r="M112" s="303">
        <v>138913</v>
      </c>
      <c r="N112" s="330">
        <v>337</v>
      </c>
      <c r="O112" s="378">
        <v>45331.687800925924</v>
      </c>
      <c r="P112" s="390">
        <v>111</v>
      </c>
      <c r="Q112" s="345">
        <v>0</v>
      </c>
      <c r="R112" s="359">
        <v>0</v>
      </c>
      <c r="S112" s="365">
        <v>0</v>
      </c>
      <c r="T112" s="322">
        <v>0</v>
      </c>
      <c r="U112" s="602">
        <v>0</v>
      </c>
      <c r="V112" s="615"/>
      <c r="W112" s="750">
        <f t="shared" ref="W112" si="40">(V112*X112)</f>
        <v>0</v>
      </c>
      <c r="X112" s="694">
        <v>520</v>
      </c>
      <c r="Y112" s="677">
        <f>IF(D112&lt;&gt;0,($C113*(1-$V$1))-$D112,0)</f>
        <v>-200</v>
      </c>
      <c r="Z112" s="643"/>
      <c r="AA112" s="437"/>
      <c r="AB112" s="38"/>
    </row>
    <row r="113" spans="1:28" ht="12.75" customHeight="1">
      <c r="A113" s="357" t="s">
        <v>186</v>
      </c>
      <c r="B113" s="309">
        <v>1671</v>
      </c>
      <c r="C113" s="308">
        <v>49000</v>
      </c>
      <c r="D113" s="645">
        <v>49090</v>
      </c>
      <c r="E113" s="646">
        <v>300</v>
      </c>
      <c r="F113" s="763">
        <v>49000</v>
      </c>
      <c r="G113" s="434">
        <v>-1.78E-2</v>
      </c>
      <c r="H113" s="306">
        <v>49690</v>
      </c>
      <c r="I113" s="297">
        <v>51100</v>
      </c>
      <c r="J113" s="297">
        <v>48700</v>
      </c>
      <c r="K113" s="337">
        <v>49890</v>
      </c>
      <c r="L113" s="304">
        <v>211955519</v>
      </c>
      <c r="M113" s="301">
        <v>425805</v>
      </c>
      <c r="N113" s="304">
        <v>877</v>
      </c>
      <c r="O113" s="379">
        <v>45331.708611111113</v>
      </c>
      <c r="P113" s="389">
        <v>112</v>
      </c>
      <c r="Q113" s="342">
        <v>0</v>
      </c>
      <c r="R113" s="360">
        <v>0</v>
      </c>
      <c r="S113" s="362">
        <v>0</v>
      </c>
      <c r="T113" s="321">
        <v>0</v>
      </c>
      <c r="U113" s="353">
        <v>0</v>
      </c>
      <c r="V113" s="614">
        <v>0</v>
      </c>
      <c r="W113" s="745">
        <f>V112*(F112/100)</f>
        <v>0</v>
      </c>
      <c r="X113" s="688"/>
      <c r="Y113" s="680">
        <f>IFERROR(INT($Y$1/(F112/100)),"")</f>
        <v>243</v>
      </c>
      <c r="Z113" s="549"/>
      <c r="AA113" s="438"/>
      <c r="AB113" s="38"/>
    </row>
    <row r="114" spans="1:28" ht="12.75" hidden="1" customHeight="1">
      <c r="A114" s="312" t="s">
        <v>550</v>
      </c>
      <c r="B114" s="324"/>
      <c r="C114" s="418"/>
      <c r="D114" s="335"/>
      <c r="E114" s="324"/>
      <c r="F114" s="766"/>
      <c r="G114" s="435"/>
      <c r="H114" s="311"/>
      <c r="I114" s="298"/>
      <c r="J114" s="298"/>
      <c r="K114" s="340">
        <v>22</v>
      </c>
      <c r="L114" s="323"/>
      <c r="M114" s="302"/>
      <c r="N114" s="323"/>
      <c r="O114" s="380"/>
      <c r="P114" s="390">
        <v>113</v>
      </c>
      <c r="Q114" s="343">
        <v>0</v>
      </c>
      <c r="R114" s="361">
        <v>0</v>
      </c>
      <c r="S114" s="367">
        <v>0</v>
      </c>
      <c r="T114" s="320">
        <v>0</v>
      </c>
      <c r="U114" s="352">
        <v>0</v>
      </c>
      <c r="V114" s="408"/>
      <c r="W114" s="746">
        <f t="shared" ref="W114" si="41">(V114*X114)</f>
        <v>0</v>
      </c>
      <c r="X114" s="689"/>
      <c r="Y114" s="681">
        <f>IF(D114&lt;&gt;0,($C115*(1-$V$1))-$D114,0)</f>
        <v>0</v>
      </c>
      <c r="Z114" s="416" t="str">
        <f>IFERROR(IF(C114&lt;&gt;"",$Y$1/(D112/100)*(C114/100),""),"")</f>
        <v/>
      </c>
      <c r="AA114" s="510" t="str">
        <f>IFERROR($AA$1/(D114/100)*(C112/100),"")</f>
        <v/>
      </c>
      <c r="AB114" s="38"/>
    </row>
    <row r="115" spans="1:28" ht="12.75" hidden="1" customHeight="1">
      <c r="A115" s="392" t="s">
        <v>238</v>
      </c>
      <c r="B115" s="309">
        <v>100000</v>
      </c>
      <c r="C115" s="308">
        <v>38.75</v>
      </c>
      <c r="D115" s="645"/>
      <c r="E115" s="646"/>
      <c r="F115" s="763"/>
      <c r="G115" s="434"/>
      <c r="H115" s="306"/>
      <c r="I115" s="297"/>
      <c r="J115" s="297"/>
      <c r="K115" s="337">
        <v>38</v>
      </c>
      <c r="L115" s="304"/>
      <c r="M115" s="301"/>
      <c r="N115" s="304"/>
      <c r="O115" s="379"/>
      <c r="P115" s="389">
        <v>114</v>
      </c>
      <c r="Q115" s="342">
        <v>0</v>
      </c>
      <c r="R115" s="360">
        <v>0</v>
      </c>
      <c r="S115" s="362">
        <v>0</v>
      </c>
      <c r="T115" s="321">
        <v>0</v>
      </c>
      <c r="U115" s="353">
        <v>0</v>
      </c>
      <c r="V115" s="407">
        <v>0</v>
      </c>
      <c r="W115" s="747">
        <f>V114*(F114/100)</f>
        <v>0</v>
      </c>
      <c r="X115" s="690"/>
      <c r="Y115" s="682" t="str">
        <f>IFERROR(INT($AA$1/(F114/100)),"")</f>
        <v/>
      </c>
      <c r="Z115" s="415">
        <f>IFERROR(IF(C115&lt;&gt;"",$Y$1/(D113/100)*(C115/100),""),"")</f>
        <v>94.723976369932785</v>
      </c>
      <c r="AA115" s="512" t="str">
        <f>IFERROR($AA$1/(D115/100)*(C113/100),"")</f>
        <v/>
      </c>
      <c r="AB115" s="38"/>
    </row>
    <row r="116" spans="1:28" ht="12.75" customHeight="1">
      <c r="A116" s="557" t="s">
        <v>551</v>
      </c>
      <c r="B116" s="324">
        <v>521</v>
      </c>
      <c r="C116" s="418">
        <v>42.1</v>
      </c>
      <c r="D116" s="335">
        <v>42.25</v>
      </c>
      <c r="E116" s="324">
        <v>2394</v>
      </c>
      <c r="F116" s="766">
        <v>42.24</v>
      </c>
      <c r="G116" s="435">
        <v>3.0999999999999999E-3</v>
      </c>
      <c r="H116" s="311">
        <v>42</v>
      </c>
      <c r="I116" s="298">
        <v>42.542000000000002</v>
      </c>
      <c r="J116" s="298">
        <v>41.137</v>
      </c>
      <c r="K116" s="340">
        <v>42.109000000000002</v>
      </c>
      <c r="L116" s="323">
        <v>28775</v>
      </c>
      <c r="M116" s="302">
        <v>68406</v>
      </c>
      <c r="N116" s="323">
        <v>276</v>
      </c>
      <c r="O116" s="380">
        <v>45331.687615740739</v>
      </c>
      <c r="P116" s="390">
        <v>115</v>
      </c>
      <c r="Q116" s="343">
        <v>0</v>
      </c>
      <c r="R116" s="361">
        <v>0</v>
      </c>
      <c r="S116" s="367">
        <v>0</v>
      </c>
      <c r="T116" s="320">
        <v>0</v>
      </c>
      <c r="U116" s="352">
        <v>0</v>
      </c>
      <c r="V116" s="612"/>
      <c r="W116" s="748">
        <f t="shared" ref="W116" si="42">(V116*X116)</f>
        <v>0</v>
      </c>
      <c r="X116" s="691">
        <v>0.41899999999999998</v>
      </c>
      <c r="Y116" s="683">
        <f>IF(D116&lt;&gt;0,($C117*(1-$V$1))-$D116,0)</f>
        <v>-0.35000000000000142</v>
      </c>
      <c r="Z116" s="414">
        <f>IFERROR(IF(C116&lt;&gt;"",$Y$1/(D112/100)*(C116/100),""),"")</f>
        <v>102.68292682926831</v>
      </c>
      <c r="AA116" s="511">
        <f>IFERROR($Z$1/(D116/100)*(C112/100),"")</f>
        <v>114627.21893491125</v>
      </c>
      <c r="AB116" s="38"/>
    </row>
    <row r="117" spans="1:28" ht="12.75" customHeight="1">
      <c r="A117" s="604" t="s">
        <v>239</v>
      </c>
      <c r="B117" s="605">
        <v>300</v>
      </c>
      <c r="C117" s="580">
        <v>41.9</v>
      </c>
      <c r="D117" s="644">
        <v>42.2</v>
      </c>
      <c r="E117" s="595">
        <v>2720</v>
      </c>
      <c r="F117" s="765">
        <v>42.2</v>
      </c>
      <c r="G117" s="606">
        <v>5.8999999999999999E-3</v>
      </c>
      <c r="H117" s="584">
        <v>42.05</v>
      </c>
      <c r="I117" s="585">
        <v>42.863</v>
      </c>
      <c r="J117" s="585">
        <v>41.5</v>
      </c>
      <c r="K117" s="609">
        <v>41.95</v>
      </c>
      <c r="L117" s="569">
        <v>26749</v>
      </c>
      <c r="M117" s="587">
        <v>63703</v>
      </c>
      <c r="N117" s="569">
        <v>184</v>
      </c>
      <c r="O117" s="570">
        <v>45331.708645833336</v>
      </c>
      <c r="P117" s="389">
        <v>116</v>
      </c>
      <c r="Q117" s="572">
        <v>0</v>
      </c>
      <c r="R117" s="607">
        <v>0</v>
      </c>
      <c r="S117" s="574">
        <v>0</v>
      </c>
      <c r="T117" s="590">
        <v>0</v>
      </c>
      <c r="U117" s="554">
        <v>0</v>
      </c>
      <c r="V117" s="613">
        <v>0</v>
      </c>
      <c r="W117" s="752">
        <f>V116*(F116/100)</f>
        <v>0</v>
      </c>
      <c r="X117" s="692"/>
      <c r="Y117" s="684">
        <f>IFERROR(INT($Z$1/(F116/100)),"")</f>
        <v>236</v>
      </c>
      <c r="Z117" s="598">
        <f>IFERROR(IF(C117&lt;&gt;"",$Y$1/(D113/100)*(C117/100),""),"")</f>
        <v>102.42411896516602</v>
      </c>
      <c r="AA117" s="608">
        <f>IFERROR($Z$1/(D117/100)*(C113/100),"")</f>
        <v>116113.74407582938</v>
      </c>
      <c r="AB117" s="38"/>
    </row>
    <row r="118" spans="1:28" ht="12.75" customHeight="1">
      <c r="A118" s="358" t="s">
        <v>552</v>
      </c>
      <c r="B118" s="324">
        <v>737</v>
      </c>
      <c r="C118" s="418">
        <v>39280</v>
      </c>
      <c r="D118" s="335">
        <v>39300</v>
      </c>
      <c r="E118" s="324">
        <v>3</v>
      </c>
      <c r="F118" s="760">
        <v>39280</v>
      </c>
      <c r="G118" s="431">
        <v>-2.2799999999999997E-2</v>
      </c>
      <c r="H118" s="307">
        <v>40000</v>
      </c>
      <c r="I118" s="299">
        <v>40485</v>
      </c>
      <c r="J118" s="299">
        <v>39100</v>
      </c>
      <c r="K118" s="339">
        <v>40200</v>
      </c>
      <c r="L118" s="330">
        <v>185885684</v>
      </c>
      <c r="M118" s="303">
        <v>466432</v>
      </c>
      <c r="N118" s="330">
        <v>368</v>
      </c>
      <c r="O118" s="378">
        <v>45331.687511574077</v>
      </c>
      <c r="P118" s="390">
        <v>117</v>
      </c>
      <c r="Q118" s="345">
        <v>0</v>
      </c>
      <c r="R118" s="359">
        <v>0</v>
      </c>
      <c r="S118" s="365">
        <v>0</v>
      </c>
      <c r="T118" s="322">
        <v>0</v>
      </c>
      <c r="U118" s="602">
        <v>0</v>
      </c>
      <c r="V118" s="615"/>
      <c r="W118" s="750">
        <f t="shared" ref="W118" si="43">(V118*X118)</f>
        <v>0</v>
      </c>
      <c r="X118" s="694"/>
      <c r="Y118" s="677">
        <f>IF(D118&lt;&gt;0,($C119*(1-$V$1))-$D118,0)</f>
        <v>-15</v>
      </c>
      <c r="Z118" s="643"/>
      <c r="AA118" s="437"/>
      <c r="AB118" s="38"/>
    </row>
    <row r="119" spans="1:28" ht="12.75" customHeight="1">
      <c r="A119" s="357" t="s">
        <v>184</v>
      </c>
      <c r="B119" s="309">
        <v>20</v>
      </c>
      <c r="C119" s="308">
        <v>39285</v>
      </c>
      <c r="D119" s="645">
        <v>39290</v>
      </c>
      <c r="E119" s="646">
        <v>10500</v>
      </c>
      <c r="F119" s="763">
        <v>39290</v>
      </c>
      <c r="G119" s="434">
        <v>-2.2599999999999999E-2</v>
      </c>
      <c r="H119" s="306">
        <v>40200</v>
      </c>
      <c r="I119" s="297">
        <v>40995</v>
      </c>
      <c r="J119" s="297">
        <v>39200</v>
      </c>
      <c r="K119" s="337">
        <v>40200</v>
      </c>
      <c r="L119" s="304">
        <v>649610046</v>
      </c>
      <c r="M119" s="301">
        <v>1613308</v>
      </c>
      <c r="N119" s="304">
        <v>886</v>
      </c>
      <c r="O119" s="379">
        <v>45331.708368055559</v>
      </c>
      <c r="P119" s="389">
        <v>118</v>
      </c>
      <c r="Q119" s="342">
        <v>0</v>
      </c>
      <c r="R119" s="360">
        <v>0</v>
      </c>
      <c r="S119" s="362">
        <v>0</v>
      </c>
      <c r="T119" s="321">
        <v>0</v>
      </c>
      <c r="U119" s="353">
        <v>0</v>
      </c>
      <c r="V119" s="614">
        <v>0</v>
      </c>
      <c r="W119" s="745">
        <f>V118*(F118/100)</f>
        <v>0</v>
      </c>
      <c r="X119" s="688"/>
      <c r="Y119" s="680">
        <f>IFERROR(INT($Y$1/(F118/100)),"")</f>
        <v>305</v>
      </c>
      <c r="Z119" s="549"/>
      <c r="AA119" s="438"/>
      <c r="AB119" s="38"/>
    </row>
    <row r="120" spans="1:28" ht="12.75" hidden="1" customHeight="1">
      <c r="A120" s="312" t="s">
        <v>553</v>
      </c>
      <c r="B120" s="324"/>
      <c r="C120" s="418"/>
      <c r="D120" s="335"/>
      <c r="E120" s="324"/>
      <c r="F120" s="766"/>
      <c r="G120" s="435"/>
      <c r="H120" s="311"/>
      <c r="I120" s="298"/>
      <c r="J120" s="298"/>
      <c r="K120" s="340">
        <v>26.437999999999999</v>
      </c>
      <c r="L120" s="323"/>
      <c r="M120" s="302"/>
      <c r="N120" s="323"/>
      <c r="O120" s="380"/>
      <c r="P120" s="390">
        <v>119</v>
      </c>
      <c r="Q120" s="343">
        <v>0</v>
      </c>
      <c r="R120" s="361">
        <v>0</v>
      </c>
      <c r="S120" s="367">
        <v>0</v>
      </c>
      <c r="T120" s="320">
        <v>0</v>
      </c>
      <c r="U120" s="352">
        <v>0</v>
      </c>
      <c r="V120" s="408"/>
      <c r="W120" s="746">
        <f t="shared" ref="W120" si="44">(V120*X120)</f>
        <v>0</v>
      </c>
      <c r="X120" s="689"/>
      <c r="Y120" s="681">
        <f>IF(D120&lt;&gt;0,($C121*(1-$V$1))-$D120,0)</f>
        <v>0</v>
      </c>
      <c r="Z120" s="416" t="str">
        <f>IFERROR(IF(C120&lt;&gt;"",$Y$1/(D118/100)*(C120/100),""),"")</f>
        <v/>
      </c>
      <c r="AA120" s="510" t="str">
        <f>IFERROR($AA$1/(D120/100)*(C118/100),"")</f>
        <v/>
      </c>
      <c r="AB120" s="38"/>
    </row>
    <row r="121" spans="1:28" ht="12.75" hidden="1" customHeight="1">
      <c r="A121" s="392" t="s">
        <v>240</v>
      </c>
      <c r="B121" s="309"/>
      <c r="C121" s="308"/>
      <c r="D121" s="645"/>
      <c r="E121" s="646"/>
      <c r="F121" s="763"/>
      <c r="G121" s="434"/>
      <c r="H121" s="306"/>
      <c r="I121" s="297"/>
      <c r="J121" s="297"/>
      <c r="K121" s="337">
        <v>32.188000000000002</v>
      </c>
      <c r="L121" s="304"/>
      <c r="M121" s="301"/>
      <c r="N121" s="304"/>
      <c r="O121" s="379"/>
      <c r="P121" s="389">
        <v>120</v>
      </c>
      <c r="Q121" s="342">
        <v>0</v>
      </c>
      <c r="R121" s="360">
        <v>0</v>
      </c>
      <c r="S121" s="362">
        <v>0</v>
      </c>
      <c r="T121" s="321">
        <v>0</v>
      </c>
      <c r="U121" s="353">
        <v>0</v>
      </c>
      <c r="V121" s="407">
        <v>0</v>
      </c>
      <c r="W121" s="747">
        <f>V120*(F120/100)</f>
        <v>0</v>
      </c>
      <c r="X121" s="690"/>
      <c r="Y121" s="682" t="str">
        <f>IFERROR(INT($AA$1/(F120/100)),"")</f>
        <v/>
      </c>
      <c r="Z121" s="415" t="str">
        <f>IFERROR(IF(C121&lt;&gt;"",$Y$1/(D119/100)*(C121/100),""),"")</f>
        <v/>
      </c>
      <c r="AA121" s="512" t="str">
        <f>IFERROR($AA$1/(D121/100)*(C119/100),"")</f>
        <v/>
      </c>
      <c r="AB121" s="38"/>
    </row>
    <row r="122" spans="1:28" ht="12.75" customHeight="1">
      <c r="A122" s="557" t="s">
        <v>554</v>
      </c>
      <c r="B122" s="324">
        <v>1500</v>
      </c>
      <c r="C122" s="418">
        <v>33.85</v>
      </c>
      <c r="D122" s="335">
        <v>34.35</v>
      </c>
      <c r="E122" s="324">
        <v>1503</v>
      </c>
      <c r="F122" s="766">
        <v>33.9</v>
      </c>
      <c r="G122" s="435">
        <v>-1.77E-2</v>
      </c>
      <c r="H122" s="311">
        <v>34</v>
      </c>
      <c r="I122" s="298">
        <v>35.6</v>
      </c>
      <c r="J122" s="298">
        <v>33.799999999999997</v>
      </c>
      <c r="K122" s="340">
        <v>34.511000000000003</v>
      </c>
      <c r="L122" s="323">
        <v>121029</v>
      </c>
      <c r="M122" s="302">
        <v>355096</v>
      </c>
      <c r="N122" s="323">
        <v>180</v>
      </c>
      <c r="O122" s="380">
        <v>45331.687696759262</v>
      </c>
      <c r="P122" s="390">
        <v>121</v>
      </c>
      <c r="Q122" s="343">
        <v>0</v>
      </c>
      <c r="R122" s="361">
        <v>0</v>
      </c>
      <c r="S122" s="367">
        <v>0</v>
      </c>
      <c r="T122" s="320">
        <v>0</v>
      </c>
      <c r="U122" s="352">
        <v>0</v>
      </c>
      <c r="V122" s="612">
        <v>0</v>
      </c>
      <c r="W122" s="748">
        <f t="shared" ref="W122" si="45">(V122*X122)</f>
        <v>0</v>
      </c>
      <c r="X122" s="691"/>
      <c r="Y122" s="683">
        <f>IF(D122&lt;&gt;0,($C123*(1-$V$1))-$D122,0)</f>
        <v>-0.53399999999999892</v>
      </c>
      <c r="Z122" s="414">
        <f>IFERROR(IF(C122&lt;&gt;"",$Y$1/(D118/100)*(C122/100),""),"")</f>
        <v>103.35877862595422</v>
      </c>
      <c r="AA122" s="511">
        <f>IFERROR($Z$1/(D122/100)*(C118/100),"")</f>
        <v>114352.25618631732</v>
      </c>
      <c r="AB122" s="38"/>
    </row>
    <row r="123" spans="1:28" ht="12.75" customHeight="1">
      <c r="A123" s="604" t="s">
        <v>241</v>
      </c>
      <c r="B123" s="605">
        <v>7850</v>
      </c>
      <c r="C123" s="580">
        <v>33.816000000000003</v>
      </c>
      <c r="D123" s="644">
        <v>33.9</v>
      </c>
      <c r="E123" s="595">
        <v>40680</v>
      </c>
      <c r="F123" s="765">
        <v>33.9</v>
      </c>
      <c r="G123" s="606">
        <v>-2.8999999999999998E-3</v>
      </c>
      <c r="H123" s="584">
        <v>34</v>
      </c>
      <c r="I123" s="585">
        <v>34.598999999999997</v>
      </c>
      <c r="J123" s="585">
        <v>33.799999999999997</v>
      </c>
      <c r="K123" s="609">
        <v>34</v>
      </c>
      <c r="L123" s="569">
        <v>101875</v>
      </c>
      <c r="M123" s="587">
        <v>299598</v>
      </c>
      <c r="N123" s="569">
        <v>151</v>
      </c>
      <c r="O123" s="570">
        <v>45331.702916666669</v>
      </c>
      <c r="P123" s="389">
        <v>122</v>
      </c>
      <c r="Q123" s="572">
        <v>0</v>
      </c>
      <c r="R123" s="607">
        <v>0</v>
      </c>
      <c r="S123" s="574">
        <v>0</v>
      </c>
      <c r="T123" s="590">
        <v>0</v>
      </c>
      <c r="U123" s="554">
        <v>0</v>
      </c>
      <c r="V123" s="613">
        <v>0</v>
      </c>
      <c r="W123" s="751">
        <f>V122*(F122/100)</f>
        <v>0</v>
      </c>
      <c r="X123" s="692"/>
      <c r="Y123" s="684">
        <f>IFERROR(INT($Z$1/(F122/100)),"")</f>
        <v>294</v>
      </c>
      <c r="Z123" s="598">
        <f>IFERROR(IF(C123&lt;&gt;"",$Y$1/(D119/100)*(C123/100),""),"")</f>
        <v>103.28124204632223</v>
      </c>
      <c r="AA123" s="608">
        <f>IFERROR($Z$1/(D123/100)*(C119/100),"")</f>
        <v>115884.95575221241</v>
      </c>
      <c r="AB123" s="38"/>
    </row>
    <row r="124" spans="1:28" ht="12.75" customHeight="1">
      <c r="A124" s="358" t="s">
        <v>558</v>
      </c>
      <c r="B124" s="324">
        <v>12</v>
      </c>
      <c r="C124" s="418">
        <v>38845</v>
      </c>
      <c r="D124" s="335">
        <v>39300</v>
      </c>
      <c r="E124" s="324">
        <v>1500</v>
      </c>
      <c r="F124" s="760">
        <v>39045</v>
      </c>
      <c r="G124" s="431">
        <v>-1.47E-2</v>
      </c>
      <c r="H124" s="307">
        <v>39915</v>
      </c>
      <c r="I124" s="299">
        <v>40485</v>
      </c>
      <c r="J124" s="299">
        <v>38500</v>
      </c>
      <c r="K124" s="339">
        <v>39630</v>
      </c>
      <c r="L124" s="330">
        <v>127978726</v>
      </c>
      <c r="M124" s="303">
        <v>324063</v>
      </c>
      <c r="N124" s="330">
        <v>210</v>
      </c>
      <c r="O124" s="378">
        <v>45331.682696759257</v>
      </c>
      <c r="P124" s="390">
        <v>123</v>
      </c>
      <c r="Q124" s="345">
        <v>0</v>
      </c>
      <c r="R124" s="359">
        <v>0</v>
      </c>
      <c r="S124" s="365">
        <v>0</v>
      </c>
      <c r="T124" s="322">
        <v>0</v>
      </c>
      <c r="U124" s="602">
        <v>0</v>
      </c>
      <c r="V124" s="615"/>
      <c r="W124" s="750">
        <f t="shared" ref="W124" si="46">(V124*X124)</f>
        <v>0</v>
      </c>
      <c r="X124" s="694"/>
      <c r="Y124" s="677">
        <f>IF(D124&lt;&gt;0,($C125*(1-$V$1))-$D124,0)</f>
        <v>-250</v>
      </c>
      <c r="Z124" s="643"/>
      <c r="AA124" s="437"/>
      <c r="AB124" s="38"/>
    </row>
    <row r="125" spans="1:28" ht="12.75" customHeight="1">
      <c r="A125" s="357" t="s">
        <v>185</v>
      </c>
      <c r="B125" s="309">
        <v>7000</v>
      </c>
      <c r="C125" s="308">
        <v>39050</v>
      </c>
      <c r="D125" s="645">
        <v>39400</v>
      </c>
      <c r="E125" s="646">
        <v>9909</v>
      </c>
      <c r="F125" s="763">
        <v>39200</v>
      </c>
      <c r="G125" s="434">
        <v>-0.02</v>
      </c>
      <c r="H125" s="306">
        <v>39600</v>
      </c>
      <c r="I125" s="297">
        <v>40690</v>
      </c>
      <c r="J125" s="297">
        <v>39200</v>
      </c>
      <c r="K125" s="337">
        <v>40000</v>
      </c>
      <c r="L125" s="304">
        <v>77404097</v>
      </c>
      <c r="M125" s="301">
        <v>193920</v>
      </c>
      <c r="N125" s="304">
        <v>453</v>
      </c>
      <c r="O125" s="379">
        <v>45331.708437499998</v>
      </c>
      <c r="P125" s="389">
        <v>124</v>
      </c>
      <c r="Q125" s="342">
        <v>0</v>
      </c>
      <c r="R125" s="360">
        <v>0</v>
      </c>
      <c r="S125" s="362">
        <v>0</v>
      </c>
      <c r="T125" s="321">
        <v>0</v>
      </c>
      <c r="U125" s="353">
        <v>0</v>
      </c>
      <c r="V125" s="614">
        <v>0</v>
      </c>
      <c r="W125" s="745">
        <f>V124*(F124/100)</f>
        <v>0</v>
      </c>
      <c r="X125" s="688"/>
      <c r="Y125" s="680">
        <f>IFERROR(INT($Y$1/(F124/100)),"")</f>
        <v>307</v>
      </c>
      <c r="Z125" s="549"/>
      <c r="AA125" s="438"/>
      <c r="AB125" s="38"/>
    </row>
    <row r="126" spans="1:28" ht="12.75" hidden="1" customHeight="1">
      <c r="A126" s="312" t="s">
        <v>559</v>
      </c>
      <c r="B126" s="324"/>
      <c r="C126" s="418"/>
      <c r="D126" s="335"/>
      <c r="E126" s="324"/>
      <c r="F126" s="766"/>
      <c r="G126" s="435"/>
      <c r="H126" s="311"/>
      <c r="I126" s="298"/>
      <c r="J126" s="298"/>
      <c r="K126" s="340">
        <v>23.22</v>
      </c>
      <c r="L126" s="323"/>
      <c r="M126" s="302"/>
      <c r="N126" s="323"/>
      <c r="O126" s="380"/>
      <c r="P126" s="390">
        <v>125</v>
      </c>
      <c r="Q126" s="343">
        <v>0</v>
      </c>
      <c r="R126" s="361">
        <v>0</v>
      </c>
      <c r="S126" s="367">
        <v>0</v>
      </c>
      <c r="T126" s="320">
        <v>0</v>
      </c>
      <c r="U126" s="352">
        <v>0</v>
      </c>
      <c r="V126" s="408"/>
      <c r="W126" s="746">
        <f t="shared" ref="W126" si="47">(V126*X126)</f>
        <v>0</v>
      </c>
      <c r="X126" s="689"/>
      <c r="Y126" s="681">
        <f>IF(D126&lt;&gt;0,($C127*(1-$V$1))-$D126,0)</f>
        <v>0</v>
      </c>
      <c r="Z126" s="416" t="str">
        <f>IFERROR(IF(C126&lt;&gt;"",$Y$1/(D124/100)*(C126/100),""),"")</f>
        <v/>
      </c>
      <c r="AA126" s="510" t="str">
        <f>IFERROR($AA$1/(D126/100)*(C124/100),"")</f>
        <v/>
      </c>
      <c r="AB126" s="38"/>
    </row>
    <row r="127" spans="1:28" ht="12.75" hidden="1" customHeight="1">
      <c r="A127" s="392" t="s">
        <v>242</v>
      </c>
      <c r="B127" s="309"/>
      <c r="C127" s="308"/>
      <c r="D127" s="645"/>
      <c r="E127" s="646"/>
      <c r="F127" s="763"/>
      <c r="G127" s="434"/>
      <c r="H127" s="306"/>
      <c r="I127" s="297"/>
      <c r="J127" s="297"/>
      <c r="K127" s="337">
        <v>26</v>
      </c>
      <c r="L127" s="304"/>
      <c r="M127" s="301"/>
      <c r="N127" s="304"/>
      <c r="O127" s="379"/>
      <c r="P127" s="389">
        <v>126</v>
      </c>
      <c r="Q127" s="342">
        <v>0</v>
      </c>
      <c r="R127" s="360">
        <v>0</v>
      </c>
      <c r="S127" s="362">
        <v>0</v>
      </c>
      <c r="T127" s="321">
        <v>0</v>
      </c>
      <c r="U127" s="353">
        <v>0</v>
      </c>
      <c r="V127" s="407">
        <v>0</v>
      </c>
      <c r="W127" s="747">
        <f>V126*(F126/100)</f>
        <v>0</v>
      </c>
      <c r="X127" s="690"/>
      <c r="Y127" s="682" t="str">
        <f>IFERROR(INT($AA$1/(F126/100)),"")</f>
        <v/>
      </c>
      <c r="Z127" s="415" t="str">
        <f>IFERROR(IF(C127&lt;&gt;"",$Y$1/(D125/100)*(C127/100),""),"")</f>
        <v/>
      </c>
      <c r="AA127" s="512" t="str">
        <f>IFERROR($AA$1/(D127/100)*(C125/100),"")</f>
        <v/>
      </c>
      <c r="AB127" s="38"/>
    </row>
    <row r="128" spans="1:28" ht="12.75" customHeight="1">
      <c r="A128" s="557" t="s">
        <v>560</v>
      </c>
      <c r="B128" s="324">
        <v>1000</v>
      </c>
      <c r="C128" s="418">
        <v>33.5</v>
      </c>
      <c r="D128" s="335">
        <v>33.731999999999999</v>
      </c>
      <c r="E128" s="324">
        <v>1</v>
      </c>
      <c r="F128" s="766">
        <v>33.731999999999999</v>
      </c>
      <c r="G128" s="435">
        <v>-1.0700000000000001E-2</v>
      </c>
      <c r="H128" s="311">
        <v>34.200000000000003</v>
      </c>
      <c r="I128" s="298">
        <v>34.399000000000001</v>
      </c>
      <c r="J128" s="298">
        <v>33.5</v>
      </c>
      <c r="K128" s="340">
        <v>34.1</v>
      </c>
      <c r="L128" s="323">
        <v>24927</v>
      </c>
      <c r="M128" s="302">
        <v>73869</v>
      </c>
      <c r="N128" s="323">
        <v>111</v>
      </c>
      <c r="O128" s="380">
        <v>45331.682696759257</v>
      </c>
      <c r="P128" s="390">
        <v>127</v>
      </c>
      <c r="Q128" s="343">
        <v>0</v>
      </c>
      <c r="R128" s="361">
        <v>0</v>
      </c>
      <c r="S128" s="367">
        <v>0</v>
      </c>
      <c r="T128" s="320">
        <v>0</v>
      </c>
      <c r="U128" s="352">
        <v>0</v>
      </c>
      <c r="V128" s="612">
        <v>0</v>
      </c>
      <c r="W128" s="748">
        <f t="shared" ref="W128" si="48">(V128*X128)</f>
        <v>0</v>
      </c>
      <c r="X128" s="691"/>
      <c r="Y128" s="683">
        <f>IF(D128&lt;&gt;0,($C129*(1-$V$1))-$D128,0)</f>
        <v>-2.1999999999998465E-2</v>
      </c>
      <c r="Z128" s="414">
        <f>IFERROR(IF(C128&lt;&gt;"",$Y$1/(D124/100)*(C128/100),""),"")</f>
        <v>102.29007633587787</v>
      </c>
      <c r="AA128" s="511">
        <f>IFERROR($Z$1/(D128/100)*(C124/100),"")</f>
        <v>115157.71374362623</v>
      </c>
      <c r="AB128" s="38"/>
    </row>
    <row r="129" spans="1:28" ht="12.75" customHeight="1">
      <c r="A129" s="604" t="s">
        <v>243</v>
      </c>
      <c r="B129" s="605">
        <v>54</v>
      </c>
      <c r="C129" s="580">
        <v>33.71</v>
      </c>
      <c r="D129" s="644">
        <v>33.9</v>
      </c>
      <c r="E129" s="595">
        <v>50000</v>
      </c>
      <c r="F129" s="765">
        <v>33.71</v>
      </c>
      <c r="G129" s="606">
        <v>-1.7100000000000001E-2</v>
      </c>
      <c r="H129" s="584">
        <v>33.5</v>
      </c>
      <c r="I129" s="585">
        <v>34.399000000000001</v>
      </c>
      <c r="J129" s="585">
        <v>33.5</v>
      </c>
      <c r="K129" s="609">
        <v>34.296999999999997</v>
      </c>
      <c r="L129" s="569">
        <v>15503</v>
      </c>
      <c r="M129" s="587">
        <v>46041</v>
      </c>
      <c r="N129" s="569">
        <v>98</v>
      </c>
      <c r="O129" s="570">
        <v>45331.703773148147</v>
      </c>
      <c r="P129" s="389">
        <v>128</v>
      </c>
      <c r="Q129" s="572">
        <v>0</v>
      </c>
      <c r="R129" s="607">
        <v>0</v>
      </c>
      <c r="S129" s="574">
        <v>0</v>
      </c>
      <c r="T129" s="590">
        <v>0</v>
      </c>
      <c r="U129" s="554">
        <v>0</v>
      </c>
      <c r="V129" s="613">
        <v>0</v>
      </c>
      <c r="W129" s="751">
        <f>V128*(F128/100)</f>
        <v>0</v>
      </c>
      <c r="X129" s="692"/>
      <c r="Y129" s="684">
        <f>IFERROR(INT($Z$1/(F128/100)),"")</f>
        <v>296</v>
      </c>
      <c r="Z129" s="598">
        <f>IFERROR(IF(C129&lt;&gt;"",$Y$1/(D125/100)*(C129/100),""),"")</f>
        <v>102.67005076142132</v>
      </c>
      <c r="AA129" s="608">
        <f>IFERROR($Z$1/(D129/100)*(C125/100),"")</f>
        <v>115191.74041297936</v>
      </c>
      <c r="AB129" s="38"/>
    </row>
    <row r="130" spans="1:28" ht="12.75" customHeight="1">
      <c r="A130" s="358" t="s">
        <v>561</v>
      </c>
      <c r="B130" s="324">
        <v>140</v>
      </c>
      <c r="C130" s="418">
        <v>50300</v>
      </c>
      <c r="D130" s="335">
        <v>51600</v>
      </c>
      <c r="E130" s="324">
        <v>900</v>
      </c>
      <c r="F130" s="760">
        <v>50800</v>
      </c>
      <c r="G130" s="431">
        <v>-1.5100000000000001E-2</v>
      </c>
      <c r="H130" s="307">
        <v>52470</v>
      </c>
      <c r="I130" s="299">
        <v>53000</v>
      </c>
      <c r="J130" s="299">
        <v>50700</v>
      </c>
      <c r="K130" s="339">
        <v>51580</v>
      </c>
      <c r="L130" s="330">
        <v>16677442</v>
      </c>
      <c r="M130" s="303">
        <v>32326</v>
      </c>
      <c r="N130" s="330">
        <v>88</v>
      </c>
      <c r="O130" s="378">
        <v>45331.677407407406</v>
      </c>
      <c r="P130" s="390">
        <v>129</v>
      </c>
      <c r="Q130" s="345">
        <v>0</v>
      </c>
      <c r="R130" s="359">
        <v>0</v>
      </c>
      <c r="S130" s="365">
        <v>0</v>
      </c>
      <c r="T130" s="322">
        <v>0</v>
      </c>
      <c r="U130" s="602">
        <v>0</v>
      </c>
      <c r="V130" s="615"/>
      <c r="W130" s="750">
        <f t="shared" ref="W130" si="49">(V130*X130)</f>
        <v>0</v>
      </c>
      <c r="X130" s="694"/>
      <c r="Y130" s="677">
        <f>IF(D130&lt;&gt;0,($C131*(1-$V$1))-$D130,0)</f>
        <v>-570</v>
      </c>
      <c r="Z130" s="643"/>
      <c r="AA130" s="437"/>
      <c r="AB130" s="38"/>
    </row>
    <row r="131" spans="1:28" ht="12.75" customHeight="1">
      <c r="A131" s="357" t="s">
        <v>187</v>
      </c>
      <c r="B131" s="309">
        <v>1000</v>
      </c>
      <c r="C131" s="308">
        <v>51030</v>
      </c>
      <c r="D131" s="645">
        <v>51640</v>
      </c>
      <c r="E131" s="646">
        <v>2744</v>
      </c>
      <c r="F131" s="763">
        <v>51440</v>
      </c>
      <c r="G131" s="434">
        <v>-2.0499999999999997E-2</v>
      </c>
      <c r="H131" s="306">
        <v>53000</v>
      </c>
      <c r="I131" s="297">
        <v>53280</v>
      </c>
      <c r="J131" s="297">
        <v>50300</v>
      </c>
      <c r="K131" s="337">
        <v>52520</v>
      </c>
      <c r="L131" s="304">
        <v>94203147</v>
      </c>
      <c r="M131" s="301">
        <v>180325</v>
      </c>
      <c r="N131" s="304">
        <v>207</v>
      </c>
      <c r="O131" s="379">
        <v>45331.70548611111</v>
      </c>
      <c r="P131" s="389">
        <v>130</v>
      </c>
      <c r="Q131" s="342">
        <v>0</v>
      </c>
      <c r="R131" s="360">
        <v>0</v>
      </c>
      <c r="S131" s="362">
        <v>0</v>
      </c>
      <c r="T131" s="321">
        <v>0</v>
      </c>
      <c r="U131" s="353">
        <v>0</v>
      </c>
      <c r="V131" s="614">
        <v>0</v>
      </c>
      <c r="W131" s="745">
        <f>V130*(F130/100)</f>
        <v>0</v>
      </c>
      <c r="X131" s="688"/>
      <c r="Y131" s="680">
        <f>IFERROR(INT($Y$1/(F130/100)),"")</f>
        <v>236</v>
      </c>
      <c r="Z131" s="549"/>
      <c r="AA131" s="438"/>
      <c r="AB131" s="38"/>
    </row>
    <row r="132" spans="1:28" ht="12.75" hidden="1" customHeight="1">
      <c r="A132" s="312" t="s">
        <v>562</v>
      </c>
      <c r="B132" s="324"/>
      <c r="C132" s="418"/>
      <c r="D132" s="335"/>
      <c r="E132" s="324"/>
      <c r="F132" s="766"/>
      <c r="G132" s="435"/>
      <c r="H132" s="311"/>
      <c r="I132" s="298"/>
      <c r="J132" s="298"/>
      <c r="K132" s="340">
        <v>23.3</v>
      </c>
      <c r="L132" s="323"/>
      <c r="M132" s="302"/>
      <c r="N132" s="323"/>
      <c r="O132" s="380"/>
      <c r="P132" s="390">
        <v>131</v>
      </c>
      <c r="Q132" s="343">
        <v>0</v>
      </c>
      <c r="R132" s="361">
        <v>0</v>
      </c>
      <c r="S132" s="367">
        <v>0</v>
      </c>
      <c r="T132" s="320">
        <v>0</v>
      </c>
      <c r="U132" s="352">
        <v>0</v>
      </c>
      <c r="V132" s="408"/>
      <c r="W132" s="746">
        <f t="shared" ref="W132" si="50">(V132*X132)</f>
        <v>0</v>
      </c>
      <c r="X132" s="689"/>
      <c r="Y132" s="681">
        <f>IF(D132&lt;&gt;0,($C133*(1-$V$1))-$D132,0)</f>
        <v>0</v>
      </c>
      <c r="Z132" s="416" t="str">
        <f>IFERROR(IF(C132&lt;&gt;"",$Y$1/(D130/100)*(C132/100),""),"")</f>
        <v/>
      </c>
      <c r="AA132" s="510" t="str">
        <f>IFERROR($Z$1/(D132/100)*(C130/100),"")</f>
        <v/>
      </c>
      <c r="AB132" s="38"/>
    </row>
    <row r="133" spans="1:28" ht="12.75" hidden="1" customHeight="1">
      <c r="A133" s="392" t="s">
        <v>232</v>
      </c>
      <c r="B133" s="309"/>
      <c r="C133" s="308"/>
      <c r="D133" s="645"/>
      <c r="E133" s="646"/>
      <c r="F133" s="763"/>
      <c r="G133" s="434"/>
      <c r="H133" s="306"/>
      <c r="I133" s="297"/>
      <c r="J133" s="297"/>
      <c r="K133" s="337">
        <v>40</v>
      </c>
      <c r="L133" s="304"/>
      <c r="M133" s="301"/>
      <c r="N133" s="304"/>
      <c r="O133" s="379"/>
      <c r="P133" s="389">
        <v>132</v>
      </c>
      <c r="Q133" s="342">
        <v>0</v>
      </c>
      <c r="R133" s="360">
        <v>0</v>
      </c>
      <c r="S133" s="362">
        <v>0</v>
      </c>
      <c r="T133" s="321">
        <v>0</v>
      </c>
      <c r="U133" s="353">
        <v>0</v>
      </c>
      <c r="V133" s="407">
        <v>0</v>
      </c>
      <c r="W133" s="747">
        <f>V132*(F132/100)</f>
        <v>0</v>
      </c>
      <c r="X133" s="690"/>
      <c r="Y133" s="682" t="str">
        <f>IFERROR(INT($AA$1/(F132/100)),"")</f>
        <v/>
      </c>
      <c r="Z133" s="415" t="str">
        <f>IFERROR(IF(C133&lt;&gt;"",$Y$1/(D131/100)*(C133/100),""),"")</f>
        <v/>
      </c>
      <c r="AA133" s="512" t="str">
        <f>IFERROR($Z$1/(D133/100)*(C131/100),"")</f>
        <v/>
      </c>
      <c r="AB133" s="38"/>
    </row>
    <row r="134" spans="1:28" ht="12.75" customHeight="1">
      <c r="A134" s="557" t="s">
        <v>563</v>
      </c>
      <c r="B134" s="324">
        <v>86</v>
      </c>
      <c r="C134" s="418">
        <v>44.05</v>
      </c>
      <c r="D134" s="335">
        <v>44.1</v>
      </c>
      <c r="E134" s="324">
        <v>22966</v>
      </c>
      <c r="F134" s="766">
        <v>44.1</v>
      </c>
      <c r="G134" s="435">
        <v>-3.0699999999999998E-2</v>
      </c>
      <c r="H134" s="311">
        <v>46</v>
      </c>
      <c r="I134" s="298">
        <v>46</v>
      </c>
      <c r="J134" s="298">
        <v>44</v>
      </c>
      <c r="K134" s="340">
        <v>45.5</v>
      </c>
      <c r="L134" s="323">
        <v>6912</v>
      </c>
      <c r="M134" s="302">
        <v>15529</v>
      </c>
      <c r="N134" s="323">
        <v>21</v>
      </c>
      <c r="O134" s="380">
        <v>45331.675775462965</v>
      </c>
      <c r="P134" s="390">
        <v>133</v>
      </c>
      <c r="Q134" s="343">
        <v>0</v>
      </c>
      <c r="R134" s="361">
        <v>0</v>
      </c>
      <c r="S134" s="367">
        <v>0</v>
      </c>
      <c r="T134" s="320">
        <v>0</v>
      </c>
      <c r="U134" s="352">
        <v>0</v>
      </c>
      <c r="V134" s="612">
        <v>0</v>
      </c>
      <c r="W134" s="748">
        <f t="shared" ref="W134" si="51">(V134*X134)</f>
        <v>0</v>
      </c>
      <c r="X134" s="691"/>
      <c r="Y134" s="683">
        <f>IF(D134&lt;&gt;0,($C135*(1-$V$1))-$D134,0)</f>
        <v>-0.10000000000000142</v>
      </c>
      <c r="Z134" s="414">
        <f>IFERROR(IF(C134&lt;&gt;"",$Y$1/(D130/100)*(C134/100),""),"")</f>
        <v>102.44186046511626</v>
      </c>
      <c r="AA134" s="511">
        <f>IFERROR($Z$1/(D134/100)*(C130/100),"")</f>
        <v>114058.95691609978</v>
      </c>
      <c r="AB134" s="38"/>
    </row>
    <row r="135" spans="1:28" ht="12.75" customHeight="1">
      <c r="A135" s="604" t="s">
        <v>233</v>
      </c>
      <c r="B135" s="605">
        <v>4123</v>
      </c>
      <c r="C135" s="580">
        <v>44</v>
      </c>
      <c r="D135" s="644">
        <v>44.1</v>
      </c>
      <c r="E135" s="595">
        <v>16606</v>
      </c>
      <c r="F135" s="765">
        <v>44</v>
      </c>
      <c r="G135" s="606">
        <v>5.6999999999999993E-3</v>
      </c>
      <c r="H135" s="584">
        <v>44</v>
      </c>
      <c r="I135" s="585">
        <v>46</v>
      </c>
      <c r="J135" s="585">
        <v>43.8</v>
      </c>
      <c r="K135" s="609">
        <v>43.75</v>
      </c>
      <c r="L135" s="569">
        <v>11851</v>
      </c>
      <c r="M135" s="587">
        <v>26538</v>
      </c>
      <c r="N135" s="569">
        <v>31</v>
      </c>
      <c r="O135" s="570">
        <v>45331.693414351852</v>
      </c>
      <c r="P135" s="389">
        <v>134</v>
      </c>
      <c r="Q135" s="572">
        <v>0</v>
      </c>
      <c r="R135" s="607">
        <v>0</v>
      </c>
      <c r="S135" s="574">
        <v>0</v>
      </c>
      <c r="T135" s="590">
        <v>0</v>
      </c>
      <c r="U135" s="554">
        <v>0</v>
      </c>
      <c r="V135" s="613">
        <v>0</v>
      </c>
      <c r="W135" s="751">
        <f>V134*(F134/100)</f>
        <v>0</v>
      </c>
      <c r="X135" s="692"/>
      <c r="Y135" s="684">
        <f>IFERROR(INT($Z$1/(F134/100)),"")</f>
        <v>226</v>
      </c>
      <c r="Z135" s="598">
        <f>IFERROR(IF(C135&lt;&gt;"",$Y$1/(D131/100)*(C135/100),""),"")</f>
        <v>102.24632068164213</v>
      </c>
      <c r="AA135" s="608">
        <f>IFERROR($Z$1/(D135/100)*(C131/100),"")</f>
        <v>115714.28571428571</v>
      </c>
      <c r="AB135" s="38"/>
    </row>
    <row r="136" spans="1:28" ht="12.75" customHeight="1">
      <c r="A136" s="358" t="s">
        <v>564</v>
      </c>
      <c r="B136" s="324">
        <v>4228</v>
      </c>
      <c r="C136" s="418">
        <v>40085</v>
      </c>
      <c r="D136" s="335">
        <v>40900</v>
      </c>
      <c r="E136" s="324">
        <v>750</v>
      </c>
      <c r="F136" s="760">
        <v>40085</v>
      </c>
      <c r="G136" s="431">
        <v>-1.9900000000000001E-2</v>
      </c>
      <c r="H136" s="307">
        <v>42490</v>
      </c>
      <c r="I136" s="299">
        <v>42490</v>
      </c>
      <c r="J136" s="299">
        <v>40075</v>
      </c>
      <c r="K136" s="339">
        <v>40900</v>
      </c>
      <c r="L136" s="330">
        <v>212744117</v>
      </c>
      <c r="M136" s="303">
        <v>521109</v>
      </c>
      <c r="N136" s="330">
        <v>702</v>
      </c>
      <c r="O136" s="378">
        <v>45331.685185185182</v>
      </c>
      <c r="P136" s="390">
        <v>135</v>
      </c>
      <c r="Q136" s="345">
        <v>0</v>
      </c>
      <c r="R136" s="359">
        <v>0</v>
      </c>
      <c r="S136" s="365">
        <v>0</v>
      </c>
      <c r="T136" s="322">
        <v>0</v>
      </c>
      <c r="U136" s="602">
        <v>0</v>
      </c>
      <c r="V136" s="615"/>
      <c r="W136" s="750">
        <f t="shared" ref="W136" si="52">(V136*X136)</f>
        <v>0</v>
      </c>
      <c r="X136" s="694"/>
      <c r="Y136" s="677">
        <f>IF(D136&lt;&gt;0,($C137*(1-$V$1))-$D136,0)</f>
        <v>-490</v>
      </c>
      <c r="Z136" s="643"/>
      <c r="AA136" s="437"/>
      <c r="AB136" s="38"/>
    </row>
    <row r="137" spans="1:28" ht="12.75" customHeight="1">
      <c r="A137" s="357" t="s">
        <v>164</v>
      </c>
      <c r="B137" s="309">
        <v>582</v>
      </c>
      <c r="C137" s="308">
        <v>40410</v>
      </c>
      <c r="D137" s="645">
        <v>40690</v>
      </c>
      <c r="E137" s="646">
        <v>1753</v>
      </c>
      <c r="F137" s="763">
        <v>40690</v>
      </c>
      <c r="G137" s="434">
        <v>-2.3E-2</v>
      </c>
      <c r="H137" s="306">
        <v>41600</v>
      </c>
      <c r="I137" s="297">
        <v>42245</v>
      </c>
      <c r="J137" s="297">
        <v>40400</v>
      </c>
      <c r="K137" s="337">
        <v>41650</v>
      </c>
      <c r="L137" s="304">
        <v>3948510894</v>
      </c>
      <c r="M137" s="301">
        <v>9591866</v>
      </c>
      <c r="N137" s="304">
        <v>1644</v>
      </c>
      <c r="O137" s="379">
        <v>45331.708391203705</v>
      </c>
      <c r="P137" s="389">
        <v>136</v>
      </c>
      <c r="Q137" s="342">
        <v>0</v>
      </c>
      <c r="R137" s="360">
        <v>0</v>
      </c>
      <c r="S137" s="362">
        <v>0</v>
      </c>
      <c r="T137" s="321">
        <v>0</v>
      </c>
      <c r="U137" s="353">
        <v>0</v>
      </c>
      <c r="V137" s="614">
        <v>0</v>
      </c>
      <c r="W137" s="745">
        <f>V136*(F136/100)</f>
        <v>0</v>
      </c>
      <c r="X137" s="688"/>
      <c r="Y137" s="680">
        <f>IFERROR(INT($Y$1/(F136/100)),"")</f>
        <v>299</v>
      </c>
      <c r="Z137" s="549"/>
      <c r="AA137" s="438"/>
      <c r="AB137" s="38"/>
    </row>
    <row r="138" spans="1:28" ht="12.75" hidden="1" customHeight="1">
      <c r="A138" s="312" t="s">
        <v>565</v>
      </c>
      <c r="B138" s="324"/>
      <c r="C138" s="418"/>
      <c r="D138" s="335">
        <v>35</v>
      </c>
      <c r="E138" s="324">
        <v>48333</v>
      </c>
      <c r="F138" s="766">
        <v>35</v>
      </c>
      <c r="G138" s="435">
        <v>4.4699999999999997E-2</v>
      </c>
      <c r="H138" s="311">
        <v>35</v>
      </c>
      <c r="I138" s="298">
        <v>35</v>
      </c>
      <c r="J138" s="298">
        <v>35</v>
      </c>
      <c r="K138" s="340">
        <v>33.5</v>
      </c>
      <c r="L138" s="323">
        <v>111</v>
      </c>
      <c r="M138" s="302">
        <v>318</v>
      </c>
      <c r="N138" s="323">
        <v>1</v>
      </c>
      <c r="O138" s="380">
        <v>45331.539490740739</v>
      </c>
      <c r="P138" s="390">
        <v>137</v>
      </c>
      <c r="Q138" s="343">
        <v>0</v>
      </c>
      <c r="R138" s="361">
        <v>0</v>
      </c>
      <c r="S138" s="367">
        <v>0</v>
      </c>
      <c r="T138" s="320">
        <v>0</v>
      </c>
      <c r="U138" s="352">
        <v>0</v>
      </c>
      <c r="V138" s="408"/>
      <c r="W138" s="746">
        <f t="shared" ref="W138" si="53">(V138*X138)</f>
        <v>0</v>
      </c>
      <c r="X138" s="689"/>
      <c r="Y138" s="681">
        <f>IF(D138&lt;&gt;0,($C139*(1-$V$1))-$D138,0)</f>
        <v>-35</v>
      </c>
      <c r="Z138" s="416" t="str">
        <f>IFERROR(IF(C138&lt;&gt;"",$Y$1/(D136/100)*(C138/100),""),"")</f>
        <v/>
      </c>
      <c r="AA138" s="510">
        <f>IFERROR($AA$1/(D138/100)*(C136/100),"")</f>
        <v>114528.57142857143</v>
      </c>
      <c r="AB138" s="38"/>
    </row>
    <row r="139" spans="1:28" ht="12.75" hidden="1" customHeight="1">
      <c r="A139" s="392" t="s">
        <v>220</v>
      </c>
      <c r="B139" s="309"/>
      <c r="C139" s="308"/>
      <c r="D139" s="645">
        <v>35</v>
      </c>
      <c r="E139" s="646">
        <v>25000</v>
      </c>
      <c r="F139" s="763"/>
      <c r="G139" s="434"/>
      <c r="H139" s="306"/>
      <c r="I139" s="297"/>
      <c r="J139" s="297"/>
      <c r="K139" s="337">
        <v>34.75</v>
      </c>
      <c r="L139" s="304"/>
      <c r="M139" s="301"/>
      <c r="N139" s="304"/>
      <c r="O139" s="379"/>
      <c r="P139" s="389">
        <v>138</v>
      </c>
      <c r="Q139" s="342">
        <v>0</v>
      </c>
      <c r="R139" s="360">
        <v>0</v>
      </c>
      <c r="S139" s="362">
        <v>0</v>
      </c>
      <c r="T139" s="321">
        <v>0</v>
      </c>
      <c r="U139" s="353">
        <v>0</v>
      </c>
      <c r="V139" s="407">
        <v>0</v>
      </c>
      <c r="W139" s="747">
        <f>V138*(F138/100)</f>
        <v>0</v>
      </c>
      <c r="X139" s="690"/>
      <c r="Y139" s="682">
        <f>IFERROR(INT($AA$1/(F138/100)),"")</f>
        <v>285</v>
      </c>
      <c r="Z139" s="415" t="str">
        <f>IFERROR(IF(C139&lt;&gt;"",$Y$1/(D137/100)*(C139/100),""),"")</f>
        <v/>
      </c>
      <c r="AA139" s="512">
        <f>IFERROR($AA$1/(D139/100)*(C137/100),"")</f>
        <v>115457.14285714287</v>
      </c>
      <c r="AB139" s="38"/>
    </row>
    <row r="140" spans="1:28" ht="12.75" customHeight="1">
      <c r="A140" s="557" t="s">
        <v>566</v>
      </c>
      <c r="B140" s="324">
        <v>3653</v>
      </c>
      <c r="C140" s="418">
        <v>34.6</v>
      </c>
      <c r="D140" s="335">
        <v>34.99</v>
      </c>
      <c r="E140" s="324">
        <v>285</v>
      </c>
      <c r="F140" s="766">
        <v>34.600999999999999</v>
      </c>
      <c r="G140" s="435">
        <v>-1.1399999999999999E-2</v>
      </c>
      <c r="H140" s="311">
        <v>35.177</v>
      </c>
      <c r="I140" s="298">
        <v>36.700000000000003</v>
      </c>
      <c r="J140" s="298">
        <v>34.485999999999997</v>
      </c>
      <c r="K140" s="340">
        <v>35</v>
      </c>
      <c r="L140" s="323">
        <v>250701</v>
      </c>
      <c r="M140" s="302">
        <v>717828</v>
      </c>
      <c r="N140" s="323">
        <v>208</v>
      </c>
      <c r="O140" s="380">
        <v>45331.682905092595</v>
      </c>
      <c r="P140" s="390">
        <v>139</v>
      </c>
      <c r="Q140" s="343">
        <v>0</v>
      </c>
      <c r="R140" s="361">
        <v>0</v>
      </c>
      <c r="S140" s="367">
        <v>0</v>
      </c>
      <c r="T140" s="320">
        <v>0</v>
      </c>
      <c r="U140" s="352">
        <v>0</v>
      </c>
      <c r="V140" s="612">
        <v>0</v>
      </c>
      <c r="W140" s="748">
        <f t="shared" ref="W140" si="54">(V140*X140)</f>
        <v>0</v>
      </c>
      <c r="X140" s="691"/>
      <c r="Y140" s="683">
        <f>IF(D140&lt;&gt;0,($C141*(1-$V$1))-$D140,0)</f>
        <v>-0.39000000000000057</v>
      </c>
      <c r="Z140" s="414">
        <f>IFERROR(IF(C140&lt;&gt;"",$Y$1/(D136/100)*(C140/100),""),"")</f>
        <v>101.5158924205379</v>
      </c>
      <c r="AA140" s="511">
        <f>IFERROR($Z$1/(D140/100)*(C136/100),"")</f>
        <v>114561.30322949414</v>
      </c>
      <c r="AB140" s="38"/>
    </row>
    <row r="141" spans="1:28" ht="12.75" customHeight="1">
      <c r="A141" s="604" t="s">
        <v>221</v>
      </c>
      <c r="B141" s="605">
        <v>2800</v>
      </c>
      <c r="C141" s="580">
        <v>34.6</v>
      </c>
      <c r="D141" s="644">
        <v>34.75</v>
      </c>
      <c r="E141" s="595">
        <v>1663</v>
      </c>
      <c r="F141" s="765">
        <v>34.75</v>
      </c>
      <c r="G141" s="606">
        <v>-4.1999999999999997E-3</v>
      </c>
      <c r="H141" s="584">
        <v>34.6</v>
      </c>
      <c r="I141" s="585">
        <v>35.590000000000003</v>
      </c>
      <c r="J141" s="585">
        <v>34.500999999999998</v>
      </c>
      <c r="K141" s="609">
        <v>34.9</v>
      </c>
      <c r="L141" s="569">
        <v>277593</v>
      </c>
      <c r="M141" s="587">
        <v>795912</v>
      </c>
      <c r="N141" s="569">
        <v>506</v>
      </c>
      <c r="O141" s="570">
        <v>45331.708611111113</v>
      </c>
      <c r="P141" s="389">
        <v>140</v>
      </c>
      <c r="Q141" s="572">
        <v>0</v>
      </c>
      <c r="R141" s="607">
        <v>0</v>
      </c>
      <c r="S141" s="574">
        <v>0</v>
      </c>
      <c r="T141" s="590">
        <v>0</v>
      </c>
      <c r="U141" s="554">
        <v>0</v>
      </c>
      <c r="V141" s="613">
        <v>0</v>
      </c>
      <c r="W141" s="751">
        <f>V140*(F140/100)</f>
        <v>0</v>
      </c>
      <c r="X141" s="692"/>
      <c r="Y141" s="684">
        <f>IFERROR(INT($Z$1/(F140/100)),"")</f>
        <v>289</v>
      </c>
      <c r="Z141" s="598">
        <f>IFERROR(IF(C141&lt;&gt;"",$Y$1/(D137/100)*(C141/100),""),"")</f>
        <v>102.03981322192186</v>
      </c>
      <c r="AA141" s="608">
        <f>IFERROR($Z$1/(D141/100)*(C137/100),"")</f>
        <v>116287.76978417268</v>
      </c>
      <c r="AB141" s="38"/>
    </row>
    <row r="142" spans="1:28" ht="12.75" customHeight="1">
      <c r="A142" s="358" t="s">
        <v>570</v>
      </c>
      <c r="B142" s="324">
        <v>13</v>
      </c>
      <c r="C142" s="418">
        <v>46000</v>
      </c>
      <c r="D142" s="335">
        <v>46100</v>
      </c>
      <c r="E142" s="324">
        <v>620</v>
      </c>
      <c r="F142" s="760">
        <v>46100</v>
      </c>
      <c r="G142" s="431">
        <v>-3.0600000000000002E-2</v>
      </c>
      <c r="H142" s="307">
        <v>46140</v>
      </c>
      <c r="I142" s="299">
        <v>48190</v>
      </c>
      <c r="J142" s="299">
        <v>46100</v>
      </c>
      <c r="K142" s="339">
        <v>47560</v>
      </c>
      <c r="L142" s="330">
        <v>90281272</v>
      </c>
      <c r="M142" s="303">
        <v>190752</v>
      </c>
      <c r="N142" s="330">
        <v>202</v>
      </c>
      <c r="O142" s="378">
        <v>45331.685277777775</v>
      </c>
      <c r="P142" s="390">
        <v>141</v>
      </c>
      <c r="Q142" s="345">
        <v>0</v>
      </c>
      <c r="R142" s="359">
        <v>0</v>
      </c>
      <c r="S142" s="365">
        <v>0</v>
      </c>
      <c r="T142" s="322">
        <v>0</v>
      </c>
      <c r="U142" s="602">
        <v>0</v>
      </c>
      <c r="V142" s="615">
        <v>0</v>
      </c>
      <c r="W142" s="750">
        <f t="shared" ref="W142" si="55">(V142*X142)</f>
        <v>0</v>
      </c>
      <c r="X142" s="694"/>
      <c r="Y142" s="677">
        <f>IF(D142&lt;&gt;0,($C143*(1-$V$1))-$D142,0)</f>
        <v>405</v>
      </c>
      <c r="Z142" s="643"/>
      <c r="AA142" s="437"/>
      <c r="AB142" s="38"/>
    </row>
    <row r="143" spans="1:28" ht="12.75" customHeight="1">
      <c r="A143" s="357" t="s">
        <v>190</v>
      </c>
      <c r="B143" s="309">
        <v>82</v>
      </c>
      <c r="C143" s="308">
        <v>46505</v>
      </c>
      <c r="D143" s="645">
        <v>46790</v>
      </c>
      <c r="E143" s="646">
        <v>1192</v>
      </c>
      <c r="F143" s="763">
        <v>46790</v>
      </c>
      <c r="G143" s="434">
        <v>-3.1600000000000003E-2</v>
      </c>
      <c r="H143" s="306">
        <v>48350</v>
      </c>
      <c r="I143" s="297">
        <v>49000</v>
      </c>
      <c r="J143" s="297">
        <v>46300</v>
      </c>
      <c r="K143" s="337">
        <v>48320</v>
      </c>
      <c r="L143" s="304">
        <v>717453629</v>
      </c>
      <c r="M143" s="301">
        <v>1513298</v>
      </c>
      <c r="N143" s="304">
        <v>488</v>
      </c>
      <c r="O143" s="379">
        <v>45331.708622685182</v>
      </c>
      <c r="P143" s="389">
        <v>142</v>
      </c>
      <c r="Q143" s="342">
        <v>0</v>
      </c>
      <c r="R143" s="360">
        <v>0</v>
      </c>
      <c r="S143" s="362">
        <v>0</v>
      </c>
      <c r="T143" s="321">
        <v>0</v>
      </c>
      <c r="U143" s="353">
        <v>0</v>
      </c>
      <c r="V143" s="614">
        <v>0</v>
      </c>
      <c r="W143" s="745">
        <f>V142*(F142/100)</f>
        <v>0</v>
      </c>
      <c r="X143" s="688"/>
      <c r="Y143" s="680">
        <f>IFERROR(INT($Y$1/(F142/100)),"")</f>
        <v>260</v>
      </c>
      <c r="Z143" s="549"/>
      <c r="AA143" s="438"/>
      <c r="AB143" s="38"/>
    </row>
    <row r="144" spans="1:28" ht="12.75" hidden="1" customHeight="1">
      <c r="A144" s="312" t="s">
        <v>571</v>
      </c>
      <c r="B144" s="324"/>
      <c r="C144" s="418"/>
      <c r="D144" s="335"/>
      <c r="E144" s="324"/>
      <c r="F144" s="766"/>
      <c r="G144" s="435"/>
      <c r="H144" s="311"/>
      <c r="I144" s="298"/>
      <c r="J144" s="298"/>
      <c r="K144" s="340">
        <v>40.5</v>
      </c>
      <c r="L144" s="323"/>
      <c r="M144" s="302"/>
      <c r="N144" s="323"/>
      <c r="O144" s="380"/>
      <c r="P144" s="390">
        <v>143</v>
      </c>
      <c r="Q144" s="343">
        <v>0</v>
      </c>
      <c r="R144" s="361">
        <v>0</v>
      </c>
      <c r="S144" s="367">
        <v>0</v>
      </c>
      <c r="T144" s="320">
        <v>0</v>
      </c>
      <c r="U144" s="352">
        <v>0</v>
      </c>
      <c r="V144" s="408"/>
      <c r="W144" s="746">
        <f t="shared" ref="W144" si="56">(V144*X144)</f>
        <v>0</v>
      </c>
      <c r="X144" s="689"/>
      <c r="Y144" s="681">
        <f>IF(D144&lt;&gt;0,($C145*(1-$V$1))-$D144,0)</f>
        <v>0</v>
      </c>
      <c r="Z144" s="416" t="str">
        <f>IFERROR(IF(C144&lt;&gt;"",$Y$1/(D142/100)*(C144/100),""),"")</f>
        <v/>
      </c>
      <c r="AA144" s="510" t="str">
        <f>IFERROR($AA$1/(D144/100)*(C142/100),"")</f>
        <v/>
      </c>
      <c r="AB144" s="38"/>
    </row>
    <row r="145" spans="1:32" ht="12.75" hidden="1" customHeight="1">
      <c r="A145" s="392" t="s">
        <v>234</v>
      </c>
      <c r="B145" s="309"/>
      <c r="C145" s="308"/>
      <c r="D145" s="645"/>
      <c r="E145" s="646"/>
      <c r="F145" s="763"/>
      <c r="G145" s="434"/>
      <c r="H145" s="306"/>
      <c r="I145" s="297"/>
      <c r="J145" s="297"/>
      <c r="K145" s="337">
        <v>40.375</v>
      </c>
      <c r="L145" s="304"/>
      <c r="M145" s="301"/>
      <c r="N145" s="304"/>
      <c r="O145" s="379"/>
      <c r="P145" s="389">
        <v>144</v>
      </c>
      <c r="Q145" s="342">
        <v>0</v>
      </c>
      <c r="R145" s="360">
        <v>0</v>
      </c>
      <c r="S145" s="362">
        <v>0</v>
      </c>
      <c r="T145" s="321">
        <v>0</v>
      </c>
      <c r="U145" s="353">
        <v>0</v>
      </c>
      <c r="V145" s="407">
        <v>0</v>
      </c>
      <c r="W145" s="747">
        <f>V144*(F144/100)</f>
        <v>0</v>
      </c>
      <c r="X145" s="690"/>
      <c r="Y145" s="682" t="str">
        <f>IFERROR(INT($AA$1/(F144/100)),"")</f>
        <v/>
      </c>
      <c r="Z145" s="415" t="str">
        <f>IFERROR(IF(C145&lt;&gt;"",$Y$1/(D143/100)*(C145/100),""),"")</f>
        <v/>
      </c>
      <c r="AA145" s="512" t="str">
        <f>IFERROR($AA$1/(D145/100)*(C143/100),"")</f>
        <v/>
      </c>
      <c r="AB145" s="38"/>
    </row>
    <row r="146" spans="1:32" ht="12.75" customHeight="1">
      <c r="A146" s="557" t="s">
        <v>572</v>
      </c>
      <c r="B146" s="324">
        <v>15</v>
      </c>
      <c r="C146" s="418">
        <v>37.646000000000001</v>
      </c>
      <c r="D146" s="335">
        <v>40.4</v>
      </c>
      <c r="E146" s="324">
        <v>13305</v>
      </c>
      <c r="F146" s="766">
        <v>40.4</v>
      </c>
      <c r="G146" s="435">
        <v>-1.7000000000000001E-2</v>
      </c>
      <c r="H146" s="311">
        <v>39.783000000000001</v>
      </c>
      <c r="I146" s="298">
        <v>40.512</v>
      </c>
      <c r="J146" s="298">
        <v>39.700000000000003</v>
      </c>
      <c r="K146" s="340">
        <v>41.1</v>
      </c>
      <c r="L146" s="323">
        <v>9853</v>
      </c>
      <c r="M146" s="302">
        <v>24423</v>
      </c>
      <c r="N146" s="323">
        <v>85</v>
      </c>
      <c r="O146" s="380">
        <v>45331.656354166669</v>
      </c>
      <c r="P146" s="390">
        <v>145</v>
      </c>
      <c r="Q146" s="343">
        <v>0</v>
      </c>
      <c r="R146" s="361">
        <v>0</v>
      </c>
      <c r="S146" s="367">
        <v>0</v>
      </c>
      <c r="T146" s="320">
        <v>0</v>
      </c>
      <c r="U146" s="352">
        <v>0</v>
      </c>
      <c r="V146" s="612">
        <v>0</v>
      </c>
      <c r="W146" s="748">
        <f t="shared" ref="W146" si="57">(V146*X146)</f>
        <v>0</v>
      </c>
      <c r="X146" s="691"/>
      <c r="Y146" s="683">
        <f>IF(D146&lt;&gt;0,($C147*(1-$V$1))-$D146,0)</f>
        <v>-0.29999999999999716</v>
      </c>
      <c r="Z146" s="414">
        <f>IFERROR(IF(C146&lt;&gt;"",$Y$1/(D142/100)*(C146/100),""),"")</f>
        <v>97.993926247288499</v>
      </c>
      <c r="AA146" s="511">
        <f>IFERROR($Z$1/(D146/100)*(C142/100),"")</f>
        <v>113861.38613861387</v>
      </c>
      <c r="AB146" s="38"/>
    </row>
    <row r="147" spans="1:32" ht="12.75" customHeight="1">
      <c r="A147" s="604" t="s">
        <v>235</v>
      </c>
      <c r="B147" s="605">
        <v>8224</v>
      </c>
      <c r="C147" s="580">
        <v>40.1</v>
      </c>
      <c r="D147" s="644">
        <v>40.75</v>
      </c>
      <c r="E147" s="595">
        <v>7508</v>
      </c>
      <c r="F147" s="765">
        <v>41</v>
      </c>
      <c r="G147" s="606">
        <v>1.03E-2</v>
      </c>
      <c r="H147" s="584">
        <v>39.4</v>
      </c>
      <c r="I147" s="585">
        <v>41.79</v>
      </c>
      <c r="J147" s="585">
        <v>39.4</v>
      </c>
      <c r="K147" s="609">
        <v>40.581000000000003</v>
      </c>
      <c r="L147" s="569">
        <v>62970</v>
      </c>
      <c r="M147" s="587">
        <v>153931</v>
      </c>
      <c r="N147" s="569">
        <v>203</v>
      </c>
      <c r="O147" s="570">
        <v>45331.699618055558</v>
      </c>
      <c r="P147" s="389">
        <v>146</v>
      </c>
      <c r="Q147" s="572">
        <v>0</v>
      </c>
      <c r="R147" s="607">
        <v>0</v>
      </c>
      <c r="S147" s="574">
        <v>0</v>
      </c>
      <c r="T147" s="590">
        <v>0</v>
      </c>
      <c r="U147" s="554">
        <v>0</v>
      </c>
      <c r="V147" s="613">
        <v>0</v>
      </c>
      <c r="W147" s="751">
        <f>V146*(F146/100)</f>
        <v>0</v>
      </c>
      <c r="X147" s="692"/>
      <c r="Y147" s="684">
        <f>IFERROR(INT($Z$1/(F146/100)),"")</f>
        <v>247</v>
      </c>
      <c r="Z147" s="598">
        <f>IFERROR(IF(C147&lt;&gt;"",$Y$1/(D143/100)*(C147/100),""),"")</f>
        <v>102.84248771104939</v>
      </c>
      <c r="AA147" s="608">
        <f>IFERROR($Z$1/(D147/100)*(C143/100),"")</f>
        <v>114122.69938650307</v>
      </c>
      <c r="AB147" s="38"/>
    </row>
    <row r="148" spans="1:32" ht="12.75" customHeight="1">
      <c r="A148" s="358" t="s">
        <v>567</v>
      </c>
      <c r="B148" s="324">
        <v>8</v>
      </c>
      <c r="C148" s="418">
        <v>39260</v>
      </c>
      <c r="D148" s="335">
        <v>39560</v>
      </c>
      <c r="E148" s="324">
        <v>2</v>
      </c>
      <c r="F148" s="760">
        <v>39330</v>
      </c>
      <c r="G148" s="431">
        <v>-2.4500000000000001E-2</v>
      </c>
      <c r="H148" s="307">
        <v>40170</v>
      </c>
      <c r="I148" s="299">
        <v>40925</v>
      </c>
      <c r="J148" s="299">
        <v>39225</v>
      </c>
      <c r="K148" s="339">
        <v>40320</v>
      </c>
      <c r="L148" s="330">
        <v>24503873</v>
      </c>
      <c r="M148" s="303">
        <v>61163</v>
      </c>
      <c r="N148" s="330">
        <v>119</v>
      </c>
      <c r="O148" s="378">
        <v>45331.684374999997</v>
      </c>
      <c r="P148" s="390">
        <v>147</v>
      </c>
      <c r="Q148" s="345">
        <v>0</v>
      </c>
      <c r="R148" s="359">
        <v>0</v>
      </c>
      <c r="S148" s="365">
        <v>0</v>
      </c>
      <c r="T148" s="322">
        <v>0</v>
      </c>
      <c r="U148" s="602">
        <v>0</v>
      </c>
      <c r="V148" s="615">
        <v>0</v>
      </c>
      <c r="W148" s="750">
        <f t="shared" ref="W148" si="58">(V148*X148)</f>
        <v>0</v>
      </c>
      <c r="X148" s="694"/>
      <c r="Y148" s="677">
        <f>IF(D148&lt;&gt;0,($C149*(1-$V$1))-$D148,0)</f>
        <v>40</v>
      </c>
      <c r="Z148" s="643"/>
      <c r="AA148" s="437"/>
      <c r="AB148" s="38"/>
      <c r="AC148" s="610">
        <v>28</v>
      </c>
      <c r="AE148" s="47">
        <v>440</v>
      </c>
      <c r="AF148" s="47">
        <f>AC148*AE148</f>
        <v>12320</v>
      </c>
    </row>
    <row r="149" spans="1:32" ht="12.75" customHeight="1">
      <c r="A149" s="357" t="s">
        <v>188</v>
      </c>
      <c r="B149" s="309">
        <v>700</v>
      </c>
      <c r="C149" s="308">
        <v>39600</v>
      </c>
      <c r="D149" s="645">
        <v>39770</v>
      </c>
      <c r="E149" s="646">
        <v>99</v>
      </c>
      <c r="F149" s="763">
        <v>39770</v>
      </c>
      <c r="G149" s="434">
        <v>-2.76E-2</v>
      </c>
      <c r="H149" s="306">
        <v>40900</v>
      </c>
      <c r="I149" s="297">
        <v>41900</v>
      </c>
      <c r="J149" s="297">
        <v>39500</v>
      </c>
      <c r="K149" s="337">
        <v>40900</v>
      </c>
      <c r="L149" s="304">
        <v>58907397</v>
      </c>
      <c r="M149" s="301">
        <v>145587</v>
      </c>
      <c r="N149" s="304">
        <v>339</v>
      </c>
      <c r="O149" s="379">
        <v>45331.708344907405</v>
      </c>
      <c r="P149" s="389">
        <v>148</v>
      </c>
      <c r="Q149" s="342">
        <v>0</v>
      </c>
      <c r="R149" s="360">
        <v>0</v>
      </c>
      <c r="S149" s="362">
        <v>0</v>
      </c>
      <c r="T149" s="321">
        <v>0</v>
      </c>
      <c r="U149" s="353">
        <v>0</v>
      </c>
      <c r="V149" s="614">
        <v>0</v>
      </c>
      <c r="W149" s="745">
        <f>V148*(F148/100)</f>
        <v>0</v>
      </c>
      <c r="X149" s="688"/>
      <c r="Y149" s="680">
        <f>IFERROR(INT($Y$1/(F148/100)),"")</f>
        <v>305</v>
      </c>
      <c r="Z149" s="549"/>
      <c r="AA149" s="438"/>
      <c r="AB149" s="38"/>
      <c r="AC149" s="610"/>
      <c r="AF149" s="47">
        <f t="shared" ref="AF149:AF151" si="59">AC149*AE149</f>
        <v>0</v>
      </c>
    </row>
    <row r="150" spans="1:32" ht="12.75" hidden="1" customHeight="1">
      <c r="A150" s="312" t="s">
        <v>568</v>
      </c>
      <c r="B150" s="324"/>
      <c r="C150" s="418"/>
      <c r="D150" s="335"/>
      <c r="E150" s="324"/>
      <c r="F150" s="766"/>
      <c r="G150" s="435"/>
      <c r="H150" s="311"/>
      <c r="I150" s="298"/>
      <c r="J150" s="298"/>
      <c r="K150" s="340">
        <v>27.25</v>
      </c>
      <c r="L150" s="323"/>
      <c r="M150" s="302"/>
      <c r="N150" s="323"/>
      <c r="O150" s="380"/>
      <c r="P150" s="390">
        <v>149</v>
      </c>
      <c r="Q150" s="343">
        <v>0</v>
      </c>
      <c r="R150" s="361">
        <v>0</v>
      </c>
      <c r="S150" s="367">
        <v>0</v>
      </c>
      <c r="T150" s="320">
        <v>0</v>
      </c>
      <c r="U150" s="352">
        <v>0</v>
      </c>
      <c r="V150" s="408"/>
      <c r="W150" s="746">
        <f t="shared" ref="W150" si="60">(V150*X150)</f>
        <v>0</v>
      </c>
      <c r="X150" s="689"/>
      <c r="Y150" s="681">
        <f>IF(D150&lt;&gt;0,($C151*(1-$V$1))-$D150,0)</f>
        <v>0</v>
      </c>
      <c r="Z150" s="416" t="str">
        <f>IFERROR(IF(C150&lt;&gt;"",$Y$1/(D148/100)*(C150/100),""),"")</f>
        <v/>
      </c>
      <c r="AA150" s="510" t="str">
        <f>IFERROR($AA$1/(D150/100)*(C148/100),"")</f>
        <v/>
      </c>
      <c r="AB150" s="38"/>
      <c r="AC150" s="610"/>
      <c r="AF150" s="47">
        <f t="shared" si="59"/>
        <v>0</v>
      </c>
    </row>
    <row r="151" spans="1:32" ht="12.75" hidden="1" customHeight="1">
      <c r="A151" s="392" t="s">
        <v>236</v>
      </c>
      <c r="B151" s="309"/>
      <c r="C151" s="308"/>
      <c r="D151" s="645"/>
      <c r="E151" s="646"/>
      <c r="F151" s="763"/>
      <c r="G151" s="434"/>
      <c r="H151" s="306"/>
      <c r="I151" s="297"/>
      <c r="J151" s="297"/>
      <c r="K151" s="337">
        <v>27.25</v>
      </c>
      <c r="L151" s="304"/>
      <c r="M151" s="301"/>
      <c r="N151" s="304"/>
      <c r="O151" s="379"/>
      <c r="P151" s="389">
        <v>150</v>
      </c>
      <c r="Q151" s="342">
        <v>0</v>
      </c>
      <c r="R151" s="360">
        <v>0</v>
      </c>
      <c r="S151" s="362">
        <v>0</v>
      </c>
      <c r="T151" s="321">
        <v>0</v>
      </c>
      <c r="U151" s="353">
        <v>0</v>
      </c>
      <c r="V151" s="407">
        <v>0</v>
      </c>
      <c r="W151" s="747">
        <f>V150*(F150/100)</f>
        <v>0</v>
      </c>
      <c r="X151" s="690"/>
      <c r="Y151" s="682" t="str">
        <f>IFERROR(INT($AA$1/(F150/100)),"")</f>
        <v/>
      </c>
      <c r="Z151" s="415" t="str">
        <f>IFERROR(IF(C151&lt;&gt;"",$Y$1/(D149/100)*(C151/100),""),"")</f>
        <v/>
      </c>
      <c r="AA151" s="512" t="str">
        <f>IFERROR($AA$1/(D151/100)*(C149/100),"")</f>
        <v/>
      </c>
      <c r="AB151" s="38"/>
      <c r="AC151" s="628"/>
      <c r="AD151" s="628"/>
      <c r="AE151" s="628"/>
      <c r="AF151" s="628">
        <f t="shared" si="59"/>
        <v>0</v>
      </c>
    </row>
    <row r="152" spans="1:32" ht="12.75" customHeight="1">
      <c r="A152" s="557" t="s">
        <v>569</v>
      </c>
      <c r="B152" s="324">
        <v>1100</v>
      </c>
      <c r="C152" s="418">
        <v>34</v>
      </c>
      <c r="D152" s="335">
        <v>34.5</v>
      </c>
      <c r="E152" s="324">
        <v>10000</v>
      </c>
      <c r="F152" s="766">
        <v>33.9</v>
      </c>
      <c r="G152" s="435">
        <v>-2.8999999999999998E-3</v>
      </c>
      <c r="H152" s="311">
        <v>34.1</v>
      </c>
      <c r="I152" s="298">
        <v>34.25</v>
      </c>
      <c r="J152" s="298">
        <v>33.9</v>
      </c>
      <c r="K152" s="340">
        <v>34</v>
      </c>
      <c r="L152" s="323">
        <v>10225</v>
      </c>
      <c r="M152" s="302">
        <v>30070</v>
      </c>
      <c r="N152" s="323">
        <v>22</v>
      </c>
      <c r="O152" s="380">
        <v>45331.598194444443</v>
      </c>
      <c r="P152" s="390">
        <v>151</v>
      </c>
      <c r="Q152" s="343">
        <v>0</v>
      </c>
      <c r="R152" s="361">
        <v>0</v>
      </c>
      <c r="S152" s="367">
        <v>0</v>
      </c>
      <c r="T152" s="320">
        <v>0</v>
      </c>
      <c r="U152" s="352">
        <v>0</v>
      </c>
      <c r="V152" s="612">
        <v>0</v>
      </c>
      <c r="W152" s="748">
        <f t="shared" ref="W152" si="61">(V152*X152)</f>
        <v>0</v>
      </c>
      <c r="X152" s="691"/>
      <c r="Y152" s="683">
        <f>IF(D152&lt;&gt;0,($C153*(1-$V$1))-$D152,0)</f>
        <v>-0.39999999999999858</v>
      </c>
      <c r="Z152" s="414">
        <f>IFERROR(IF(C152&lt;&gt;"",$Y$1/(D148/100)*(C152/100),""),"")</f>
        <v>103.13447927199192</v>
      </c>
      <c r="AA152" s="511">
        <f>IFERROR($Z$1/(D152/100)*(C148/100),"")</f>
        <v>113797.10144927537</v>
      </c>
      <c r="AB152" s="38"/>
      <c r="AC152" s="632">
        <f>SUM(AC148:AC151)</f>
        <v>28</v>
      </c>
      <c r="AD152" s="633"/>
      <c r="AE152" s="633" t="s">
        <v>627</v>
      </c>
      <c r="AF152" s="633">
        <f>SUM(AF148:AF151)</f>
        <v>12320</v>
      </c>
    </row>
    <row r="153" spans="1:32" ht="12.75" customHeight="1">
      <c r="A153" s="604" t="s">
        <v>237</v>
      </c>
      <c r="B153" s="605">
        <v>300</v>
      </c>
      <c r="C153" s="580">
        <v>34.1</v>
      </c>
      <c r="D153" s="644">
        <v>34.49</v>
      </c>
      <c r="E153" s="595">
        <v>5512</v>
      </c>
      <c r="F153" s="765">
        <v>33.97</v>
      </c>
      <c r="G153" s="606">
        <v>-1.01E-2</v>
      </c>
      <c r="H153" s="584">
        <v>34</v>
      </c>
      <c r="I153" s="585">
        <v>35</v>
      </c>
      <c r="J153" s="585">
        <v>33.750999999999998</v>
      </c>
      <c r="K153" s="609">
        <v>34.32</v>
      </c>
      <c r="L153" s="569">
        <v>10464</v>
      </c>
      <c r="M153" s="587">
        <v>30501</v>
      </c>
      <c r="N153" s="569">
        <v>55</v>
      </c>
      <c r="O153" s="570">
        <v>45331.68540509259</v>
      </c>
      <c r="P153" s="389">
        <v>152</v>
      </c>
      <c r="Q153" s="572">
        <v>0</v>
      </c>
      <c r="R153" s="607">
        <v>0</v>
      </c>
      <c r="S153" s="574">
        <v>0</v>
      </c>
      <c r="T153" s="590">
        <v>0</v>
      </c>
      <c r="U153" s="554">
        <v>0</v>
      </c>
      <c r="V153" s="613">
        <v>0</v>
      </c>
      <c r="W153" s="751">
        <f>V152*(F152/100)</f>
        <v>0</v>
      </c>
      <c r="X153" s="692"/>
      <c r="Y153" s="684">
        <f>IFERROR(INT($Z$1/(F152/100)),"")</f>
        <v>294</v>
      </c>
      <c r="Z153" s="598">
        <f>IFERROR(IF(C153&lt;&gt;"",$Y$1/(D149/100)*(C153/100),""),"")</f>
        <v>102.89162685441289</v>
      </c>
      <c r="AA153" s="608">
        <f>IFERROR($Z$1/(D153/100)*(C149/100),"")</f>
        <v>114815.88866338068</v>
      </c>
      <c r="AB153" s="38"/>
      <c r="AC153" s="783">
        <f>AF152/AC152</f>
        <v>440</v>
      </c>
      <c r="AD153" s="783"/>
      <c r="AE153" s="783"/>
      <c r="AF153" s="783"/>
    </row>
    <row r="154" spans="1:32" ht="12.75" customHeight="1">
      <c r="A154" s="358" t="s">
        <v>573</v>
      </c>
      <c r="B154" s="324">
        <v>2</v>
      </c>
      <c r="C154" s="418">
        <v>44000</v>
      </c>
      <c r="D154" s="335">
        <v>48450</v>
      </c>
      <c r="E154" s="324">
        <v>126</v>
      </c>
      <c r="F154" s="760">
        <v>47200</v>
      </c>
      <c r="G154" s="431">
        <v>6.0700000000000004E-2</v>
      </c>
      <c r="H154" s="307">
        <v>44400</v>
      </c>
      <c r="I154" s="299">
        <v>47200</v>
      </c>
      <c r="J154" s="299">
        <v>43250</v>
      </c>
      <c r="K154" s="339">
        <v>44495</v>
      </c>
      <c r="L154" s="330">
        <v>39430239</v>
      </c>
      <c r="M154" s="303">
        <v>88282</v>
      </c>
      <c r="N154" s="330">
        <v>147</v>
      </c>
      <c r="O154" s="378">
        <v>45331.685219907406</v>
      </c>
      <c r="P154" s="390">
        <v>153</v>
      </c>
      <c r="Q154" s="345">
        <v>0</v>
      </c>
      <c r="R154" s="359">
        <v>0</v>
      </c>
      <c r="S154" s="365">
        <v>0</v>
      </c>
      <c r="T154" s="322">
        <v>0</v>
      </c>
      <c r="U154" s="602">
        <v>0</v>
      </c>
      <c r="V154" s="615"/>
      <c r="W154" s="750">
        <f t="shared" ref="W154" si="62">(V154*X154)</f>
        <v>0</v>
      </c>
      <c r="X154" s="694"/>
      <c r="Y154" s="677">
        <f>IF(D154&lt;&gt;0,($C155*(1-$V$1))-$D154,0)</f>
        <v>-3650</v>
      </c>
      <c r="Z154" s="643"/>
      <c r="AA154" s="437"/>
      <c r="AB154" s="38"/>
    </row>
    <row r="155" spans="1:32" ht="12.75" customHeight="1">
      <c r="A155" s="357" t="s">
        <v>189</v>
      </c>
      <c r="B155" s="309">
        <v>482</v>
      </c>
      <c r="C155" s="308">
        <v>44800</v>
      </c>
      <c r="D155" s="645">
        <v>45100</v>
      </c>
      <c r="E155" s="646">
        <v>889</v>
      </c>
      <c r="F155" s="763">
        <v>45100</v>
      </c>
      <c r="G155" s="434">
        <v>8.8999999999999999E-3</v>
      </c>
      <c r="H155" s="306">
        <v>45200</v>
      </c>
      <c r="I155" s="297">
        <v>45230</v>
      </c>
      <c r="J155" s="297">
        <v>44165</v>
      </c>
      <c r="K155" s="337">
        <v>44700</v>
      </c>
      <c r="L155" s="304">
        <v>122780737</v>
      </c>
      <c r="M155" s="301">
        <v>274039</v>
      </c>
      <c r="N155" s="304">
        <v>298</v>
      </c>
      <c r="O155" s="379">
        <v>45331.708402777775</v>
      </c>
      <c r="P155" s="389">
        <v>154</v>
      </c>
      <c r="Q155" s="342">
        <v>0</v>
      </c>
      <c r="R155" s="360">
        <v>0</v>
      </c>
      <c r="S155" s="362">
        <v>0</v>
      </c>
      <c r="T155" s="321">
        <v>0</v>
      </c>
      <c r="U155" s="353">
        <v>0</v>
      </c>
      <c r="V155" s="614">
        <v>0</v>
      </c>
      <c r="W155" s="745">
        <f>V154*(F154/100)</f>
        <v>0</v>
      </c>
      <c r="X155" s="688"/>
      <c r="Y155" s="680">
        <f>IFERROR(INT($Y$1/(F154/100)),"")</f>
        <v>254</v>
      </c>
      <c r="Z155" s="549"/>
      <c r="AA155" s="438"/>
      <c r="AB155" s="38"/>
    </row>
    <row r="156" spans="1:32" ht="12.75" hidden="1" customHeight="1">
      <c r="A156" s="312" t="s">
        <v>574</v>
      </c>
      <c r="B156" s="324"/>
      <c r="C156" s="418"/>
      <c r="D156" s="335"/>
      <c r="E156" s="324"/>
      <c r="F156" s="766"/>
      <c r="G156" s="435"/>
      <c r="H156" s="311"/>
      <c r="I156" s="298"/>
      <c r="J156" s="298"/>
      <c r="K156" s="340">
        <v>21.007999999999999</v>
      </c>
      <c r="L156" s="323"/>
      <c r="M156" s="302"/>
      <c r="N156" s="323"/>
      <c r="O156" s="380"/>
      <c r="P156" s="390">
        <v>155</v>
      </c>
      <c r="Q156" s="343">
        <v>0</v>
      </c>
      <c r="R156" s="361">
        <v>0</v>
      </c>
      <c r="S156" s="367">
        <v>0</v>
      </c>
      <c r="T156" s="320">
        <v>0</v>
      </c>
      <c r="U156" s="352">
        <v>0</v>
      </c>
      <c r="V156" s="408"/>
      <c r="W156" s="746">
        <f t="shared" ref="W156" si="63">(V156*X156)</f>
        <v>0</v>
      </c>
      <c r="X156" s="689"/>
      <c r="Y156" s="681">
        <f>IF(D156&lt;&gt;0,($C157*(1-$V$1))-$D156,0)</f>
        <v>0</v>
      </c>
      <c r="Z156" s="416" t="str">
        <f>IFERROR(IF(C156&lt;&gt;"",$Y$1/(D154/100)*(C156/100),""),"")</f>
        <v/>
      </c>
      <c r="AA156" s="510" t="str">
        <f>IFERROR($AA$1/(D156/100)*(C154/100),"")</f>
        <v/>
      </c>
      <c r="AB156" s="38"/>
    </row>
    <row r="157" spans="1:32" ht="12.75" hidden="1" customHeight="1">
      <c r="A157" s="392" t="s">
        <v>276</v>
      </c>
      <c r="B157" s="309"/>
      <c r="C157" s="308"/>
      <c r="D157" s="645"/>
      <c r="E157" s="646"/>
      <c r="F157" s="763"/>
      <c r="G157" s="434"/>
      <c r="H157" s="306"/>
      <c r="I157" s="297"/>
      <c r="J157" s="297"/>
      <c r="K157" s="337">
        <v>25.276</v>
      </c>
      <c r="L157" s="304"/>
      <c r="M157" s="301"/>
      <c r="N157" s="304"/>
      <c r="O157" s="379"/>
      <c r="P157" s="389">
        <v>156</v>
      </c>
      <c r="Q157" s="342">
        <v>0</v>
      </c>
      <c r="R157" s="360">
        <v>0</v>
      </c>
      <c r="S157" s="362">
        <v>0</v>
      </c>
      <c r="T157" s="321">
        <v>0</v>
      </c>
      <c r="U157" s="353">
        <v>0</v>
      </c>
      <c r="V157" s="407">
        <v>0</v>
      </c>
      <c r="W157" s="747">
        <f>V156*(F156/100)</f>
        <v>0</v>
      </c>
      <c r="X157" s="690"/>
      <c r="Y157" s="682" t="str">
        <f>IFERROR(INT($AA$1/(F156/100)),"")</f>
        <v/>
      </c>
      <c r="Z157" s="415" t="str">
        <f>IFERROR(IF(C157&lt;&gt;"",$Y$1/(D155/100)*(C157/100),""),"")</f>
        <v/>
      </c>
      <c r="AA157" s="512" t="str">
        <f>IFERROR($AA$1/(D157/100)*(C155/100),"")</f>
        <v/>
      </c>
      <c r="AB157" s="38"/>
    </row>
    <row r="158" spans="1:32" ht="12.75" customHeight="1">
      <c r="A158" s="557" t="s">
        <v>575</v>
      </c>
      <c r="B158" s="324">
        <v>1183</v>
      </c>
      <c r="C158" s="418">
        <v>38.799999999999997</v>
      </c>
      <c r="D158" s="335">
        <v>39.5</v>
      </c>
      <c r="E158" s="324">
        <v>235</v>
      </c>
      <c r="F158" s="766">
        <v>39.4</v>
      </c>
      <c r="G158" s="435">
        <v>2.5000000000000001E-3</v>
      </c>
      <c r="H158" s="311">
        <v>37.302999999999997</v>
      </c>
      <c r="I158" s="298">
        <v>40</v>
      </c>
      <c r="J158" s="298">
        <v>37.302999999999997</v>
      </c>
      <c r="K158" s="340">
        <v>39.299999999999997</v>
      </c>
      <c r="L158" s="323">
        <v>7775</v>
      </c>
      <c r="M158" s="302">
        <v>19995</v>
      </c>
      <c r="N158" s="323">
        <v>114</v>
      </c>
      <c r="O158" s="380">
        <v>45331.684641203705</v>
      </c>
      <c r="P158" s="390">
        <v>157</v>
      </c>
      <c r="Q158" s="343">
        <v>0</v>
      </c>
      <c r="R158" s="361">
        <v>0</v>
      </c>
      <c r="S158" s="367">
        <v>0</v>
      </c>
      <c r="T158" s="320">
        <v>0</v>
      </c>
      <c r="U158" s="352">
        <v>0</v>
      </c>
      <c r="V158" s="612">
        <v>0</v>
      </c>
      <c r="W158" s="748">
        <f t="shared" ref="W158" si="64">(V158*X158)</f>
        <v>0</v>
      </c>
      <c r="X158" s="691"/>
      <c r="Y158" s="683">
        <f>IF(D158&lt;&gt;0,($C159*(1-$V$1))-$D158,0)</f>
        <v>-0.79999999999999716</v>
      </c>
      <c r="Z158" s="414">
        <f>IFERROR(IF(C158&lt;&gt;"",$Y$1/(D154/100)*(C158/100),""),"")</f>
        <v>96.099071207430327</v>
      </c>
      <c r="AA158" s="511">
        <f>IFERROR($Z$1/(D158/100)*(C154/100),"")</f>
        <v>111392.40506329114</v>
      </c>
      <c r="AB158" s="38"/>
    </row>
    <row r="159" spans="1:32" ht="12.75" customHeight="1">
      <c r="A159" s="604" t="s">
        <v>277</v>
      </c>
      <c r="B159" s="605">
        <v>4071</v>
      </c>
      <c r="C159" s="580">
        <v>38.700000000000003</v>
      </c>
      <c r="D159" s="644">
        <v>38.75</v>
      </c>
      <c r="E159" s="595">
        <v>8</v>
      </c>
      <c r="F159" s="765">
        <v>38.75</v>
      </c>
      <c r="G159" s="606">
        <v>1.9400000000000001E-2</v>
      </c>
      <c r="H159" s="584">
        <v>38</v>
      </c>
      <c r="I159" s="585">
        <v>40.36</v>
      </c>
      <c r="J159" s="585">
        <v>38</v>
      </c>
      <c r="K159" s="609">
        <v>38.01</v>
      </c>
      <c r="L159" s="569">
        <v>30845</v>
      </c>
      <c r="M159" s="587">
        <v>77936</v>
      </c>
      <c r="N159" s="569">
        <v>77</v>
      </c>
      <c r="O159" s="570">
        <v>45331.708449074074</v>
      </c>
      <c r="P159" s="389">
        <v>158</v>
      </c>
      <c r="Q159" s="572">
        <v>0</v>
      </c>
      <c r="R159" s="607">
        <v>0</v>
      </c>
      <c r="S159" s="574">
        <v>0</v>
      </c>
      <c r="T159" s="590">
        <v>0</v>
      </c>
      <c r="U159" s="554">
        <v>0</v>
      </c>
      <c r="V159" s="613">
        <v>0</v>
      </c>
      <c r="W159" s="751">
        <f>V158*(F158/100)</f>
        <v>0</v>
      </c>
      <c r="X159" s="692"/>
      <c r="Y159" s="684">
        <f>IFERROR(INT($Z$1/(F158/100)),"")</f>
        <v>253</v>
      </c>
      <c r="Z159" s="598">
        <f>IFERROR(IF(C159&lt;&gt;"",$Y$1/(D155/100)*(C159/100),""),"")</f>
        <v>102.97117516629712</v>
      </c>
      <c r="AA159" s="608">
        <f>IFERROR($Z$1/(D159/100)*(C155/100),"")</f>
        <v>115612.90322580645</v>
      </c>
      <c r="AB159" s="38"/>
    </row>
    <row r="160" spans="1:32" ht="12.75" customHeight="1">
      <c r="A160" s="358" t="s">
        <v>573</v>
      </c>
      <c r="B160" s="324">
        <v>2</v>
      </c>
      <c r="C160" s="418">
        <v>44000</v>
      </c>
      <c r="D160" s="335">
        <v>48450</v>
      </c>
      <c r="E160" s="324">
        <v>126</v>
      </c>
      <c r="F160" s="760">
        <v>47200</v>
      </c>
      <c r="G160" s="431">
        <v>6.0700000000000004E-2</v>
      </c>
      <c r="H160" s="307">
        <v>44400</v>
      </c>
      <c r="I160" s="299">
        <v>47200</v>
      </c>
      <c r="J160" s="299">
        <v>43250</v>
      </c>
      <c r="K160" s="339">
        <v>44495</v>
      </c>
      <c r="L160" s="330">
        <v>39430239</v>
      </c>
      <c r="M160" s="303">
        <v>88282</v>
      </c>
      <c r="N160" s="330">
        <v>147</v>
      </c>
      <c r="O160" s="378">
        <v>45331.685219907406</v>
      </c>
      <c r="P160" s="390">
        <v>159</v>
      </c>
      <c r="Q160" s="345">
        <v>0</v>
      </c>
      <c r="R160" s="359">
        <v>0</v>
      </c>
      <c r="S160" s="365">
        <v>0</v>
      </c>
      <c r="T160" s="322">
        <v>0</v>
      </c>
      <c r="U160" s="602">
        <v>0</v>
      </c>
      <c r="V160" s="615"/>
      <c r="W160" s="750">
        <f t="shared" ref="W160" si="65">(V160*X160)</f>
        <v>0</v>
      </c>
      <c r="X160" s="694"/>
      <c r="Y160" s="677">
        <f>IF(D160&lt;&gt;0,($C161*(1-$V$1))-$D160,0)</f>
        <v>-3650</v>
      </c>
      <c r="Z160" s="643"/>
      <c r="AA160" s="437"/>
    </row>
    <row r="161" spans="1:27" ht="12.75" customHeight="1">
      <c r="A161" s="357" t="s">
        <v>189</v>
      </c>
      <c r="B161" s="309">
        <v>482</v>
      </c>
      <c r="C161" s="308">
        <v>44800</v>
      </c>
      <c r="D161" s="645">
        <v>45100</v>
      </c>
      <c r="E161" s="646">
        <v>889</v>
      </c>
      <c r="F161" s="763">
        <v>45100</v>
      </c>
      <c r="G161" s="434">
        <v>8.8999999999999999E-3</v>
      </c>
      <c r="H161" s="306">
        <v>45200</v>
      </c>
      <c r="I161" s="297">
        <v>45230</v>
      </c>
      <c r="J161" s="297">
        <v>44165</v>
      </c>
      <c r="K161" s="337">
        <v>44700</v>
      </c>
      <c r="L161" s="304">
        <v>122780737</v>
      </c>
      <c r="M161" s="301">
        <v>274039</v>
      </c>
      <c r="N161" s="304">
        <v>298</v>
      </c>
      <c r="O161" s="379">
        <v>45331.708402777775</v>
      </c>
      <c r="P161" s="389">
        <v>160</v>
      </c>
      <c r="Q161" s="342">
        <v>0</v>
      </c>
      <c r="R161" s="360">
        <v>0</v>
      </c>
      <c r="S161" s="362">
        <v>0</v>
      </c>
      <c r="T161" s="321">
        <v>0</v>
      </c>
      <c r="U161" s="353">
        <v>0</v>
      </c>
      <c r="V161" s="614">
        <v>0</v>
      </c>
      <c r="W161" s="745">
        <f>V160*(F160/100)</f>
        <v>0</v>
      </c>
      <c r="X161" s="688"/>
      <c r="Y161" s="680">
        <f>IFERROR(INT($Y$1/(F160/100)),"")</f>
        <v>254</v>
      </c>
      <c r="Z161" s="549"/>
      <c r="AA161" s="438"/>
    </row>
    <row r="162" spans="1:27" ht="12.75" hidden="1" customHeight="1">
      <c r="A162" s="312" t="s">
        <v>574</v>
      </c>
      <c r="B162" s="324"/>
      <c r="C162" s="418"/>
      <c r="D162" s="335"/>
      <c r="E162" s="324"/>
      <c r="F162" s="766"/>
      <c r="G162" s="435"/>
      <c r="H162" s="311"/>
      <c r="I162" s="298"/>
      <c r="J162" s="298"/>
      <c r="K162" s="340">
        <v>21.007999999999999</v>
      </c>
      <c r="L162" s="323"/>
      <c r="M162" s="302"/>
      <c r="N162" s="323"/>
      <c r="O162" s="380"/>
      <c r="P162" s="390">
        <v>161</v>
      </c>
      <c r="Q162" s="343">
        <v>0</v>
      </c>
      <c r="R162" s="361">
        <v>0</v>
      </c>
      <c r="S162" s="367">
        <v>0</v>
      </c>
      <c r="T162" s="320">
        <v>0</v>
      </c>
      <c r="U162" s="352">
        <v>0</v>
      </c>
      <c r="V162" s="408"/>
      <c r="W162" s="746">
        <f t="shared" ref="W162" si="66">(V162*X162)</f>
        <v>0</v>
      </c>
      <c r="X162" s="689"/>
      <c r="Y162" s="681">
        <f>IF(D162&lt;&gt;0,($C163*(1-$V$1))-$D162,0)</f>
        <v>0</v>
      </c>
      <c r="Z162" s="416" t="str">
        <f>IFERROR(IF(C162&lt;&gt;"",$Y$1/(D160/100)*(C162/100),""),"")</f>
        <v/>
      </c>
      <c r="AA162" s="510" t="str">
        <f>IFERROR($AA$1/(D162/100)*(C160/100),"")</f>
        <v/>
      </c>
    </row>
    <row r="163" spans="1:27" ht="12.75" hidden="1" customHeight="1">
      <c r="A163" s="392" t="s">
        <v>276</v>
      </c>
      <c r="B163" s="309"/>
      <c r="C163" s="308"/>
      <c r="D163" s="645"/>
      <c r="E163" s="646"/>
      <c r="F163" s="763"/>
      <c r="G163" s="434"/>
      <c r="H163" s="306"/>
      <c r="I163" s="297"/>
      <c r="J163" s="297"/>
      <c r="K163" s="337">
        <v>25.276</v>
      </c>
      <c r="L163" s="304"/>
      <c r="M163" s="301"/>
      <c r="N163" s="304"/>
      <c r="O163" s="379"/>
      <c r="P163" s="389">
        <v>162</v>
      </c>
      <c r="Q163" s="342">
        <v>0</v>
      </c>
      <c r="R163" s="360">
        <v>0</v>
      </c>
      <c r="S163" s="362">
        <v>0</v>
      </c>
      <c r="T163" s="321">
        <v>0</v>
      </c>
      <c r="U163" s="353">
        <v>0</v>
      </c>
      <c r="V163" s="407">
        <v>0</v>
      </c>
      <c r="W163" s="747">
        <f>V162*(F162/100)</f>
        <v>0</v>
      </c>
      <c r="X163" s="690"/>
      <c r="Y163" s="682" t="str">
        <f>IFERROR(INT($AA$1/(F162/100)),"")</f>
        <v/>
      </c>
      <c r="Z163" s="415" t="str">
        <f>IFERROR(IF(C163&lt;&gt;"",$Y$1/(D161/100)*(C163/100),""),"")</f>
        <v/>
      </c>
      <c r="AA163" s="512" t="str">
        <f>IFERROR($AA$1/(D163/100)*(C161/100),"")</f>
        <v/>
      </c>
    </row>
    <row r="164" spans="1:27" ht="12.75" customHeight="1">
      <c r="A164" s="557" t="s">
        <v>575</v>
      </c>
      <c r="B164" s="324">
        <v>1183</v>
      </c>
      <c r="C164" s="418">
        <v>38.799999999999997</v>
      </c>
      <c r="D164" s="335">
        <v>39.5</v>
      </c>
      <c r="E164" s="324">
        <v>235</v>
      </c>
      <c r="F164" s="766">
        <v>39.4</v>
      </c>
      <c r="G164" s="435">
        <v>2.5000000000000001E-3</v>
      </c>
      <c r="H164" s="311">
        <v>37.302999999999997</v>
      </c>
      <c r="I164" s="298">
        <v>40</v>
      </c>
      <c r="J164" s="298">
        <v>37.302999999999997</v>
      </c>
      <c r="K164" s="340">
        <v>39.299999999999997</v>
      </c>
      <c r="L164" s="323">
        <v>7775</v>
      </c>
      <c r="M164" s="302">
        <v>19995</v>
      </c>
      <c r="N164" s="323">
        <v>114</v>
      </c>
      <c r="O164" s="380">
        <v>45331.684641203705</v>
      </c>
      <c r="P164" s="390">
        <v>163</v>
      </c>
      <c r="Q164" s="343">
        <v>0</v>
      </c>
      <c r="R164" s="361">
        <v>0</v>
      </c>
      <c r="S164" s="367">
        <v>0</v>
      </c>
      <c r="T164" s="320">
        <v>0</v>
      </c>
      <c r="U164" s="352">
        <v>0</v>
      </c>
      <c r="V164" s="612">
        <v>0</v>
      </c>
      <c r="W164" s="748">
        <f t="shared" ref="W164" si="67">(V164*X164)</f>
        <v>0</v>
      </c>
      <c r="X164" s="691"/>
      <c r="Y164" s="683">
        <f>IF(D164&lt;&gt;0,($C165*(1-$V$1))-$D164,0)</f>
        <v>-0.79999999999999716</v>
      </c>
      <c r="Z164" s="414">
        <f>IFERROR(IF(C164&lt;&gt;"",$Y$1/(D160/100)*(C164/100),""),"")</f>
        <v>96.099071207430327</v>
      </c>
      <c r="AA164" s="511">
        <f>IFERROR($Z$1/(D164/100)*(C160/100),"")</f>
        <v>111392.40506329114</v>
      </c>
    </row>
    <row r="165" spans="1:27" ht="12.75" customHeight="1">
      <c r="A165" s="624" t="s">
        <v>277</v>
      </c>
      <c r="B165" s="696">
        <v>4071</v>
      </c>
      <c r="C165" s="697">
        <v>38.700000000000003</v>
      </c>
      <c r="D165" s="698">
        <v>38.75</v>
      </c>
      <c r="E165" s="699">
        <v>8</v>
      </c>
      <c r="F165" s="767">
        <v>38.75</v>
      </c>
      <c r="G165" s="431">
        <v>1.9400000000000001E-2</v>
      </c>
      <c r="H165" s="307">
        <v>38</v>
      </c>
      <c r="I165" s="299">
        <v>40.36</v>
      </c>
      <c r="J165" s="299">
        <v>38</v>
      </c>
      <c r="K165" s="339">
        <v>38.01</v>
      </c>
      <c r="L165" s="330">
        <v>30845</v>
      </c>
      <c r="M165" s="303">
        <v>77936</v>
      </c>
      <c r="N165" s="330">
        <v>77</v>
      </c>
      <c r="O165" s="378">
        <v>45331.708449074074</v>
      </c>
      <c r="P165" s="389">
        <v>164</v>
      </c>
      <c r="Q165" s="345">
        <v>0</v>
      </c>
      <c r="R165" s="359">
        <v>0</v>
      </c>
      <c r="S165" s="365">
        <v>0</v>
      </c>
      <c r="T165" s="322">
        <v>0</v>
      </c>
      <c r="U165" s="625">
        <v>0</v>
      </c>
      <c r="V165" s="613">
        <v>0</v>
      </c>
      <c r="W165" s="753">
        <f>V164*(F164/100)</f>
        <v>0</v>
      </c>
      <c r="X165" s="695"/>
      <c r="Y165" s="693">
        <f>IFERROR(INT($Z$1/(F164/100)),"")</f>
        <v>253</v>
      </c>
      <c r="Z165" s="626">
        <f>IFERROR(IF(C165&lt;&gt;"",$Y$1/(D161/100)*(C165/100),""),"")</f>
        <v>102.97117516629712</v>
      </c>
      <c r="AA165" s="627">
        <f>IFERROR($Z$1/(D165/100)*(C161/100),"")</f>
        <v>115612.90322580645</v>
      </c>
    </row>
  </sheetData>
  <sortState xmlns:xlrd2="http://schemas.microsoft.com/office/spreadsheetml/2017/richdata2" ref="A15">
    <sortCondition descending="1" ref="A14:A15"/>
  </sortState>
  <mergeCells count="13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2120" priority="7688">
      <formula>V54&lt;&gt;0</formula>
    </cfRule>
  </conditionalFormatting>
  <conditionalFormatting sqref="A55">
    <cfRule type="expression" dxfId="2119" priority="7687">
      <formula>V55&lt;&gt;0</formula>
    </cfRule>
  </conditionalFormatting>
  <conditionalFormatting sqref="A56">
    <cfRule type="expression" dxfId="2118" priority="7686">
      <formula>V56&lt;&gt;0</formula>
    </cfRule>
  </conditionalFormatting>
  <conditionalFormatting sqref="A57">
    <cfRule type="expression" dxfId="2117" priority="7685">
      <formula>V57&lt;&gt;0</formula>
    </cfRule>
  </conditionalFormatting>
  <conditionalFormatting sqref="A58:A59">
    <cfRule type="expression" dxfId="2116" priority="7475">
      <formula>V58&lt;&gt;0</formula>
    </cfRule>
  </conditionalFormatting>
  <conditionalFormatting sqref="A60:A61">
    <cfRule type="expression" dxfId="2115" priority="12631">
      <formula>V60&lt;&gt;0</formula>
    </cfRule>
  </conditionalFormatting>
  <conditionalFormatting sqref="A62:A63">
    <cfRule type="expression" dxfId="2114" priority="12630">
      <formula>V62&lt;&gt;0</formula>
    </cfRule>
  </conditionalFormatting>
  <conditionalFormatting sqref="B58">
    <cfRule type="cellIs" dxfId="2113" priority="13319" operator="greaterThan">
      <formula>E58</formula>
    </cfRule>
  </conditionalFormatting>
  <conditionalFormatting sqref="G64:G153 G2:G29 G54:G57">
    <cfRule type="cellIs" dxfId="2112" priority="11892" operator="lessThan">
      <formula>0</formula>
    </cfRule>
  </conditionalFormatting>
  <conditionalFormatting sqref="Q2:T41 Q54:T153">
    <cfRule type="cellIs" dxfId="2111" priority="11401" operator="equal">
      <formula>0</formula>
    </cfRule>
  </conditionalFormatting>
  <conditionalFormatting sqref="V2:V41 V54:V75">
    <cfRule type="cellIs" dxfId="2110" priority="11894" operator="lessThan">
      <formula>0</formula>
    </cfRule>
    <cfRule type="cellIs" dxfId="2109" priority="11895" operator="equal">
      <formula>0</formula>
    </cfRule>
  </conditionalFormatting>
  <conditionalFormatting sqref="Y60 Y62">
    <cfRule type="cellIs" dxfId="2108" priority="7497" operator="lessThanOrEqual">
      <formula>0</formula>
    </cfRule>
  </conditionalFormatting>
  <conditionalFormatting sqref="Z30:Z41 W54:X57">
    <cfRule type="cellIs" dxfId="2107" priority="12144" operator="equal">
      <formula>0</formula>
    </cfRule>
  </conditionalFormatting>
  <conditionalFormatting sqref="W59">
    <cfRule type="cellIs" dxfId="2106" priority="7451" operator="equal">
      <formula>0</formula>
    </cfRule>
  </conditionalFormatting>
  <conditionalFormatting sqref="W58">
    <cfRule type="cellIs" dxfId="2105" priority="2561" operator="equal">
      <formula>0</formula>
    </cfRule>
    <cfRule type="cellIs" dxfId="2104" priority="2563" operator="lessThan">
      <formula>W59</formula>
    </cfRule>
    <cfRule type="cellIs" dxfId="2103" priority="7450" operator="lessThan">
      <formula>0</formula>
    </cfRule>
  </conditionalFormatting>
  <conditionalFormatting sqref="W61">
    <cfRule type="cellIs" dxfId="2102" priority="7449" operator="equal">
      <formula>0</formula>
    </cfRule>
  </conditionalFormatting>
  <conditionalFormatting sqref="W60">
    <cfRule type="cellIs" dxfId="2101" priority="2559" operator="equal">
      <formula>0</formula>
    </cfRule>
    <cfRule type="cellIs" dxfId="2100" priority="2560" operator="lessThan">
      <formula>W61</formula>
    </cfRule>
    <cfRule type="cellIs" dxfId="2099" priority="7448" operator="lessThan">
      <formula>0</formula>
    </cfRule>
  </conditionalFormatting>
  <conditionalFormatting sqref="W62">
    <cfRule type="cellIs" dxfId="2098" priority="2558" operator="equal">
      <formula>0</formula>
    </cfRule>
    <cfRule type="cellIs" dxfId="2097" priority="2564" operator="lessThan">
      <formula>W63</formula>
    </cfRule>
  </conditionalFormatting>
  <conditionalFormatting sqref="W19">
    <cfRule type="cellIs" dxfId="2096" priority="7355" operator="lessThan">
      <formula>0</formula>
    </cfRule>
  </conditionalFormatting>
  <conditionalFormatting sqref="W18">
    <cfRule type="cellIs" dxfId="2095" priority="7354" operator="lessThan">
      <formula>0</formula>
    </cfRule>
  </conditionalFormatting>
  <conditionalFormatting sqref="W21">
    <cfRule type="cellIs" dxfId="2094" priority="7353" operator="lessThan">
      <formula>0</formula>
    </cfRule>
  </conditionalFormatting>
  <conditionalFormatting sqref="W20">
    <cfRule type="cellIs" dxfId="2093" priority="7352" operator="lessThan">
      <formula>0</formula>
    </cfRule>
  </conditionalFormatting>
  <conditionalFormatting sqref="W11 W15">
    <cfRule type="cellIs" dxfId="2092" priority="7351" operator="lessThan">
      <formula>0</formula>
    </cfRule>
  </conditionalFormatting>
  <conditionalFormatting sqref="W10 W14">
    <cfRule type="cellIs" dxfId="2091" priority="7350" operator="lessThan">
      <formula>0</formula>
    </cfRule>
  </conditionalFormatting>
  <conditionalFormatting sqref="W13 W17">
    <cfRule type="cellIs" dxfId="2090" priority="7349" operator="lessThan">
      <formula>0</formula>
    </cfRule>
  </conditionalFormatting>
  <conditionalFormatting sqref="W12 W16">
    <cfRule type="cellIs" dxfId="2089" priority="7348" operator="lessThan">
      <formula>0</formula>
    </cfRule>
  </conditionalFormatting>
  <conditionalFormatting sqref="Z2 Z6 Z10 Z14">
    <cfRule type="cellIs" dxfId="2088" priority="7118" operator="equal">
      <formula>0</formula>
    </cfRule>
  </conditionalFormatting>
  <conditionalFormatting sqref="Z3 Z7 Z11 Z15">
    <cfRule type="cellIs" dxfId="2087" priority="7117" operator="equal">
      <formula>0</formula>
    </cfRule>
  </conditionalFormatting>
  <conditionalFormatting sqref="Z4 Z8 Z12 Z16">
    <cfRule type="cellIs" dxfId="2086" priority="7116" operator="equal">
      <formula>0</formula>
    </cfRule>
  </conditionalFormatting>
  <conditionalFormatting sqref="Z5 Z9 Z13 Z17">
    <cfRule type="cellIs" dxfId="2085" priority="7115" operator="equal">
      <formula>0</formula>
    </cfRule>
  </conditionalFormatting>
  <conditionalFormatting sqref="A64:A65">
    <cfRule type="expression" dxfId="2084" priority="7068">
      <formula>V64&lt;&gt;0</formula>
    </cfRule>
  </conditionalFormatting>
  <conditionalFormatting sqref="A66:A67">
    <cfRule type="expression" dxfId="2083" priority="7070">
      <formula>V66&lt;&gt;0</formula>
    </cfRule>
  </conditionalFormatting>
  <conditionalFormatting sqref="A70:A71">
    <cfRule type="expression" dxfId="2082" priority="7065">
      <formula>V70&lt;&gt;0</formula>
    </cfRule>
  </conditionalFormatting>
  <conditionalFormatting sqref="A72:A73">
    <cfRule type="expression" dxfId="2081" priority="7067">
      <formula>V72&lt;&gt;0</formula>
    </cfRule>
  </conditionalFormatting>
  <conditionalFormatting sqref="A76:A77">
    <cfRule type="expression" dxfId="2080" priority="7062">
      <formula>V76&lt;&gt;0</formula>
    </cfRule>
  </conditionalFormatting>
  <conditionalFormatting sqref="A78:A79">
    <cfRule type="expression" dxfId="2079" priority="7064">
      <formula>V78&lt;&gt;0</formula>
    </cfRule>
  </conditionalFormatting>
  <conditionalFormatting sqref="A82:A83">
    <cfRule type="expression" dxfId="2078" priority="7059">
      <formula>V82&lt;&gt;0</formula>
    </cfRule>
  </conditionalFormatting>
  <conditionalFormatting sqref="A84:A85">
    <cfRule type="expression" dxfId="2077" priority="7061">
      <formula>V84&lt;&gt;0</formula>
    </cfRule>
  </conditionalFormatting>
  <conditionalFormatting sqref="A88:A89">
    <cfRule type="expression" dxfId="2076" priority="7056">
      <formula>V88&lt;&gt;0</formula>
    </cfRule>
  </conditionalFormatting>
  <conditionalFormatting sqref="A90:A91">
    <cfRule type="expression" dxfId="2075" priority="7058">
      <formula>V90&lt;&gt;0</formula>
    </cfRule>
  </conditionalFormatting>
  <conditionalFormatting sqref="A94:A95">
    <cfRule type="expression" dxfId="2074" priority="7053">
      <formula>V94&lt;&gt;0</formula>
    </cfRule>
  </conditionalFormatting>
  <conditionalFormatting sqref="A96:A97">
    <cfRule type="expression" dxfId="2073" priority="7055">
      <formula>V96&lt;&gt;0</formula>
    </cfRule>
  </conditionalFormatting>
  <conditionalFormatting sqref="A100:A101">
    <cfRule type="expression" dxfId="2072" priority="7050">
      <formula>V100&lt;&gt;0</formula>
    </cfRule>
  </conditionalFormatting>
  <conditionalFormatting sqref="A102:A103">
    <cfRule type="expression" dxfId="2071" priority="7052">
      <formula>V102&lt;&gt;0</formula>
    </cfRule>
  </conditionalFormatting>
  <conditionalFormatting sqref="A106:A107">
    <cfRule type="expression" dxfId="2070" priority="7047">
      <formula>V106&lt;&gt;0</formula>
    </cfRule>
  </conditionalFormatting>
  <conditionalFormatting sqref="A108:A109">
    <cfRule type="expression" dxfId="2069" priority="7049">
      <formula>V108&lt;&gt;0</formula>
    </cfRule>
  </conditionalFormatting>
  <conditionalFormatting sqref="A112:A113">
    <cfRule type="expression" dxfId="2068" priority="7044">
      <formula>V112&lt;&gt;0</formula>
    </cfRule>
  </conditionalFormatting>
  <conditionalFormatting sqref="A114:A115">
    <cfRule type="expression" dxfId="2067" priority="7046">
      <formula>V114&lt;&gt;0</formula>
    </cfRule>
  </conditionalFormatting>
  <conditionalFormatting sqref="A118:A119">
    <cfRule type="expression" dxfId="2066" priority="7041">
      <formula>V118&lt;&gt;0</formula>
    </cfRule>
  </conditionalFormatting>
  <conditionalFormatting sqref="A120:A121">
    <cfRule type="expression" dxfId="2065" priority="7043">
      <formula>V120&lt;&gt;0</formula>
    </cfRule>
  </conditionalFormatting>
  <conditionalFormatting sqref="A124:A125">
    <cfRule type="expression" dxfId="2064" priority="7038">
      <formula>V124&lt;&gt;0</formula>
    </cfRule>
  </conditionalFormatting>
  <conditionalFormatting sqref="A126:A127">
    <cfRule type="expression" dxfId="2063" priority="7040">
      <formula>V126&lt;&gt;0</formula>
    </cfRule>
  </conditionalFormatting>
  <conditionalFormatting sqref="A130:A131">
    <cfRule type="expression" dxfId="2062" priority="7035">
      <formula>V130&lt;&gt;0</formula>
    </cfRule>
  </conditionalFormatting>
  <conditionalFormatting sqref="A132:A133">
    <cfRule type="expression" dxfId="2061" priority="7037">
      <formula>V132&lt;&gt;0</formula>
    </cfRule>
  </conditionalFormatting>
  <conditionalFormatting sqref="A136:A137">
    <cfRule type="expression" dxfId="2060" priority="7032">
      <formula>V136&lt;&gt;0</formula>
    </cfRule>
  </conditionalFormatting>
  <conditionalFormatting sqref="A138:A139">
    <cfRule type="expression" dxfId="2059" priority="7034">
      <formula>V138&lt;&gt;0</formula>
    </cfRule>
  </conditionalFormatting>
  <conditionalFormatting sqref="A142:A143">
    <cfRule type="expression" dxfId="2058" priority="7029">
      <formula>V142&lt;&gt;0</formula>
    </cfRule>
  </conditionalFormatting>
  <conditionalFormatting sqref="A144:A145">
    <cfRule type="expression" dxfId="2057" priority="7031">
      <formula>V144&lt;&gt;0</formula>
    </cfRule>
  </conditionalFormatting>
  <conditionalFormatting sqref="A148:A149">
    <cfRule type="expression" dxfId="2056" priority="7026">
      <formula>V148&lt;&gt;0</formula>
    </cfRule>
  </conditionalFormatting>
  <conditionalFormatting sqref="A150:A151">
    <cfRule type="expression" dxfId="2055" priority="7028">
      <formula>V150&lt;&gt;0</formula>
    </cfRule>
  </conditionalFormatting>
  <conditionalFormatting sqref="G58:G63">
    <cfRule type="cellIs" dxfId="2054" priority="6250" operator="lessThan">
      <formula>0</formula>
    </cfRule>
  </conditionalFormatting>
  <conditionalFormatting sqref="G22">
    <cfRule type="cellIs" dxfId="2053" priority="6249" operator="equal">
      <formula>0</formula>
    </cfRule>
  </conditionalFormatting>
  <conditionalFormatting sqref="G23">
    <cfRule type="cellIs" dxfId="2052" priority="6248" operator="equal">
      <formula>0</formula>
    </cfRule>
  </conditionalFormatting>
  <conditionalFormatting sqref="G24">
    <cfRule type="cellIs" dxfId="2051" priority="6247" operator="equal">
      <formula>0</formula>
    </cfRule>
  </conditionalFormatting>
  <conditionalFormatting sqref="G25">
    <cfRule type="cellIs" dxfId="2050" priority="6246" operator="equal">
      <formula>0</formula>
    </cfRule>
  </conditionalFormatting>
  <conditionalFormatting sqref="G26">
    <cfRule type="cellIs" dxfId="2049" priority="6245" operator="equal">
      <formula>0</formula>
    </cfRule>
  </conditionalFormatting>
  <conditionalFormatting sqref="G27">
    <cfRule type="cellIs" dxfId="2048" priority="6244" operator="equal">
      <formula>0</formula>
    </cfRule>
  </conditionalFormatting>
  <conditionalFormatting sqref="G28">
    <cfRule type="cellIs" dxfId="2047" priority="6243" operator="equal">
      <formula>0</formula>
    </cfRule>
  </conditionalFormatting>
  <conditionalFormatting sqref="G29">
    <cfRule type="cellIs" dxfId="2046" priority="6242" operator="equal">
      <formula>0</formula>
    </cfRule>
  </conditionalFormatting>
  <conditionalFormatting sqref="G2">
    <cfRule type="cellIs" dxfId="2045" priority="6241" operator="equal">
      <formula>0</formula>
    </cfRule>
  </conditionalFormatting>
  <conditionalFormatting sqref="G3">
    <cfRule type="cellIs" dxfId="2044" priority="6240" operator="equal">
      <formula>0</formula>
    </cfRule>
  </conditionalFormatting>
  <conditionalFormatting sqref="G4">
    <cfRule type="cellIs" dxfId="2043" priority="6239" operator="equal">
      <formula>0</formula>
    </cfRule>
  </conditionalFormatting>
  <conditionalFormatting sqref="G5">
    <cfRule type="cellIs" dxfId="2042" priority="6238" operator="equal">
      <formula>0</formula>
    </cfRule>
  </conditionalFormatting>
  <conditionalFormatting sqref="G6">
    <cfRule type="cellIs" dxfId="2041" priority="6237" operator="equal">
      <formula>0</formula>
    </cfRule>
  </conditionalFormatting>
  <conditionalFormatting sqref="G7">
    <cfRule type="cellIs" dxfId="2040" priority="6236" operator="equal">
      <formula>0</formula>
    </cfRule>
  </conditionalFormatting>
  <conditionalFormatting sqref="G8">
    <cfRule type="cellIs" dxfId="2039" priority="6235" operator="equal">
      <formula>0</formula>
    </cfRule>
  </conditionalFormatting>
  <conditionalFormatting sqref="G9">
    <cfRule type="cellIs" dxfId="2038" priority="6234" operator="equal">
      <formula>0</formula>
    </cfRule>
  </conditionalFormatting>
  <conditionalFormatting sqref="G10">
    <cfRule type="cellIs" dxfId="2037" priority="6233" operator="equal">
      <formula>0</formula>
    </cfRule>
  </conditionalFormatting>
  <conditionalFormatting sqref="G11">
    <cfRule type="cellIs" dxfId="2036" priority="6232" operator="equal">
      <formula>0</formula>
    </cfRule>
  </conditionalFormatting>
  <conditionalFormatting sqref="G12">
    <cfRule type="cellIs" dxfId="2035" priority="6231" operator="equal">
      <formula>0</formula>
    </cfRule>
  </conditionalFormatting>
  <conditionalFormatting sqref="G13">
    <cfRule type="cellIs" dxfId="2034" priority="6230" operator="equal">
      <formula>0</formula>
    </cfRule>
  </conditionalFormatting>
  <conditionalFormatting sqref="G14 G18">
    <cfRule type="cellIs" dxfId="2033" priority="6229" operator="equal">
      <formula>0</formula>
    </cfRule>
  </conditionalFormatting>
  <conditionalFormatting sqref="G15 G19">
    <cfRule type="cellIs" dxfId="2032" priority="6228" operator="equal">
      <formula>0</formula>
    </cfRule>
  </conditionalFormatting>
  <conditionalFormatting sqref="G16 G20">
    <cfRule type="cellIs" dxfId="2031" priority="6227" operator="equal">
      <formula>0</formula>
    </cfRule>
  </conditionalFormatting>
  <conditionalFormatting sqref="G17 G21">
    <cfRule type="cellIs" dxfId="2030" priority="6226" operator="equal">
      <formula>0</formula>
    </cfRule>
  </conditionalFormatting>
  <conditionalFormatting sqref="Y5">
    <cfRule type="cellIs" dxfId="2029" priority="6169" operator="equal">
      <formula>0</formula>
    </cfRule>
    <cfRule type="cellIs" dxfId="2028" priority="6172" operator="greaterThan">
      <formula>Y2</formula>
    </cfRule>
  </conditionalFormatting>
  <conditionalFormatting sqref="Y3">
    <cfRule type="cellIs" dxfId="2027" priority="6171" operator="equal">
      <formula>0</formula>
    </cfRule>
  </conditionalFormatting>
  <conditionalFormatting sqref="Y4">
    <cfRule type="cellIs" dxfId="2026" priority="6170" operator="equal">
      <formula>0</formula>
    </cfRule>
  </conditionalFormatting>
  <conditionalFormatting sqref="Y9">
    <cfRule type="cellIs" dxfId="2025" priority="6163" operator="equal">
      <formula>0</formula>
    </cfRule>
    <cfRule type="cellIs" dxfId="2024" priority="6166" operator="greaterThan">
      <formula>Y6</formula>
    </cfRule>
  </conditionalFormatting>
  <conditionalFormatting sqref="Y7">
    <cfRule type="cellIs" dxfId="2023" priority="6165" operator="equal">
      <formula>0</formula>
    </cfRule>
  </conditionalFormatting>
  <conditionalFormatting sqref="Y8">
    <cfRule type="cellIs" dxfId="2022" priority="6164" operator="equal">
      <formula>0</formula>
    </cfRule>
  </conditionalFormatting>
  <conditionalFormatting sqref="Y13 Y17">
    <cfRule type="cellIs" dxfId="2021" priority="6157" operator="equal">
      <formula>0</formula>
    </cfRule>
    <cfRule type="cellIs" dxfId="2020" priority="6160" operator="greaterThan">
      <formula>Y10</formula>
    </cfRule>
  </conditionalFormatting>
  <conditionalFormatting sqref="Y11 Y15">
    <cfRule type="cellIs" dxfId="2019" priority="6159" operator="equal">
      <formula>0</formula>
    </cfRule>
  </conditionalFormatting>
  <conditionalFormatting sqref="Y12 Y16">
    <cfRule type="cellIs" dxfId="2018" priority="6158" operator="equal">
      <formula>0</formula>
    </cfRule>
  </conditionalFormatting>
  <conditionalFormatting sqref="AA22">
    <cfRule type="cellIs" dxfId="2017" priority="5335" operator="equal">
      <formula>0</formula>
    </cfRule>
  </conditionalFormatting>
  <conditionalFormatting sqref="AA23">
    <cfRule type="cellIs" dxfId="2016" priority="5334" operator="equal">
      <formula>0</formula>
    </cfRule>
  </conditionalFormatting>
  <conditionalFormatting sqref="AA24">
    <cfRule type="cellIs" dxfId="2015" priority="5333" operator="equal">
      <formula>0</formula>
    </cfRule>
  </conditionalFormatting>
  <conditionalFormatting sqref="AA25">
    <cfRule type="cellIs" dxfId="2014" priority="5332" operator="equal">
      <formula>0</formula>
    </cfRule>
  </conditionalFormatting>
  <conditionalFormatting sqref="AA26">
    <cfRule type="cellIs" dxfId="2013" priority="5331" operator="equal">
      <formula>0</formula>
    </cfRule>
  </conditionalFormatting>
  <conditionalFormatting sqref="AA27">
    <cfRule type="cellIs" dxfId="2012" priority="5330" operator="equal">
      <formula>0</formula>
    </cfRule>
  </conditionalFormatting>
  <conditionalFormatting sqref="AA28">
    <cfRule type="cellIs" dxfId="2011" priority="5329" operator="equal">
      <formula>0</formula>
    </cfRule>
  </conditionalFormatting>
  <conditionalFormatting sqref="AA29">
    <cfRule type="cellIs" dxfId="2010" priority="5328" operator="equal">
      <formula>0</formula>
    </cfRule>
  </conditionalFormatting>
  <conditionalFormatting sqref="Y5 Y9 Y13 Y17">
    <cfRule type="expression" dxfId="2009" priority="15312">
      <formula>IF($Y5&gt;$Y2,AND(MID($A5,5,1)="D"))</formula>
    </cfRule>
    <cfRule type="expression" dxfId="2008" priority="15313">
      <formula>IF($Y5&gt;$Y2,AND(MID($A5,5,1)="C"))</formula>
    </cfRule>
  </conditionalFormatting>
  <conditionalFormatting sqref="AA2:AA3 AA6:AA7 AA10:AA11 AA14:AA15">
    <cfRule type="expression" dxfId="2007" priority="15320">
      <formula>IF($Y5&gt;$Y2,AND(MID($A2,5,1)="D"))</formula>
    </cfRule>
    <cfRule type="expression" dxfId="2006" priority="15321">
      <formula>IF($Y5&gt;$Y2,AND(MID($A2,5,1)="C"))</formula>
    </cfRule>
    <cfRule type="cellIs" dxfId="2005" priority="15322" operator="equal">
      <formula>0</formula>
    </cfRule>
  </conditionalFormatting>
  <conditionalFormatting sqref="AA4:AA5 AA8:AA9 AA12:AA13 AA16:AA17">
    <cfRule type="expression" dxfId="2004" priority="15332">
      <formula>IF($Y5&gt;$Y2,AND(MID($A5,5,1)="D"))</formula>
    </cfRule>
    <cfRule type="expression" dxfId="2003" priority="15333">
      <formula>IF($Y5&gt;$Y2,AND(MID($A5,5,1)="C"))</formula>
    </cfRule>
    <cfRule type="cellIs" dxfId="2002" priority="15334" operator="equal">
      <formula>0</formula>
    </cfRule>
  </conditionalFormatting>
  <conditionalFormatting sqref="Z18:AA18 Z20:AA20">
    <cfRule type="expression" dxfId="2001" priority="15344">
      <formula>IF($AA18&gt;$Y19,AND(MID($A18,5,1)=" "))</formula>
    </cfRule>
    <cfRule type="expression" dxfId="2000" priority="15345">
      <formula>IF($AA18&gt;$Y19,AND(MID($A18,5,1)="C"))</formula>
    </cfRule>
    <cfRule type="expression" dxfId="1999" priority="15346">
      <formula>IF($AA18&gt;$Y19,AND(MID($A18,5,1)="D"))</formula>
    </cfRule>
  </conditionalFormatting>
  <conditionalFormatting sqref="Z19:AA19 Z21:AA21">
    <cfRule type="expression" dxfId="1998" priority="15350">
      <formula>IF($AA19&gt;$Y18,AND(MID($A19,5,1)=" "))</formula>
    </cfRule>
    <cfRule type="expression" dxfId="1997" priority="15351">
      <formula>IF($AA19&gt;$Y18,AND(MID($A19,5,1)="C"))</formula>
    </cfRule>
    <cfRule type="expression" dxfId="1996" priority="15352">
      <formula>IF($AA19&gt;$Y18,AND(MID($A19,5,1)="D"))</formula>
    </cfRule>
  </conditionalFormatting>
  <conditionalFormatting sqref="B2 B6 B10 B14">
    <cfRule type="expression" dxfId="1995" priority="15356">
      <formula>IF($Y5&gt;$Y2,AND(MID($A2,5,1)=" "))</formula>
    </cfRule>
    <cfRule type="expression" dxfId="1994" priority="15357">
      <formula>IF($Y5&gt;$Y2,AND(MID($A2,5,1)="C"))</formula>
    </cfRule>
    <cfRule type="expression" dxfId="1993" priority="15358">
      <formula>IF($Y5&gt;$Y2,AND(MID($A2,5,1)="D"))</formula>
    </cfRule>
  </conditionalFormatting>
  <conditionalFormatting sqref="E3 E7 E11 E15">
    <cfRule type="expression" dxfId="1992" priority="15371">
      <formula>IF($Y5&gt;$Y2,AND(MID($A3,5,1)=" "))</formula>
    </cfRule>
    <cfRule type="expression" dxfId="1991" priority="15372">
      <formula>IF($Y5&gt;$Y2,AND(MID($A3,5,1)="C"))</formula>
    </cfRule>
    <cfRule type="expression" dxfId="1990" priority="15373">
      <formula>IF($Y5&gt;$Y2,AND(MID($A3,5,1)="D"))</formula>
    </cfRule>
  </conditionalFormatting>
  <conditionalFormatting sqref="B4 B8 B12 B16">
    <cfRule type="expression" dxfId="1989" priority="15386">
      <formula>IF($Y5&gt;$Y2,AND(MID($A4,5,1)=" "))</formula>
    </cfRule>
    <cfRule type="expression" dxfId="1988" priority="15387">
      <formula>IF($Y5&gt;$Y2,AND(MID($A4,5,1)="C"))</formula>
    </cfRule>
    <cfRule type="expression" dxfId="1987" priority="15388">
      <formula>IF($Y5&gt;$Y2,AND(MID($A4,5,1)="D"))</formula>
    </cfRule>
  </conditionalFormatting>
  <conditionalFormatting sqref="E5 E9 E13 E17">
    <cfRule type="expression" dxfId="1986" priority="15401">
      <formula>IF($Y5&gt;$Y2,AND(MID($A5,5,1)=" "))</formula>
    </cfRule>
    <cfRule type="expression" dxfId="1985" priority="15402">
      <formula>IF($Y5&gt;$Y2,AND(MID($A5,5,1)="C"))</formula>
    </cfRule>
    <cfRule type="expression" dxfId="1984" priority="15403">
      <formula>IF($Y5&gt;$Y2,AND(MID($A5,5,1)="D"))</formula>
    </cfRule>
  </conditionalFormatting>
  <conditionalFormatting sqref="C2 C6 C10 C14 C18">
    <cfRule type="expression" dxfId="1983" priority="15416">
      <formula>IF($Y5&gt;$Y2,AND(MID($A2,5,1)=" "))</formula>
    </cfRule>
    <cfRule type="expression" dxfId="1982" priority="15417">
      <formula>IF($Y5&gt;$Y2,AND(MID($A2,5,1)="C"))</formula>
    </cfRule>
    <cfRule type="expression" dxfId="1981" priority="15418">
      <formula>IF($Y5&gt;$Y2,AND(MID($A2,5,1)="D"))</formula>
    </cfRule>
  </conditionalFormatting>
  <conditionalFormatting sqref="D3 D7 D11 D15 D19">
    <cfRule type="expression" dxfId="1980" priority="15431">
      <formula>IF($Y5&gt;$Y2,AND(MID($A3,5,1)=" "))</formula>
    </cfRule>
    <cfRule type="expression" dxfId="1979" priority="15432">
      <formula>IF($Y5&gt;$Y2,AND(MID($A3,5,1)="C"))</formula>
    </cfRule>
    <cfRule type="expression" dxfId="1978" priority="15433">
      <formula>IF($Y5&gt;$Y2,AND(MID($A3,5,1)="D"))</formula>
    </cfRule>
  </conditionalFormatting>
  <conditionalFormatting sqref="D5 D9 D13 D17 D21">
    <cfRule type="expression" dxfId="1977" priority="15446">
      <formula>IF($Y5&gt;$Y2,AND(MID($A5,5,1)=" "))</formula>
    </cfRule>
    <cfRule type="expression" dxfId="1976" priority="15447">
      <formula>IF($Y5&gt;$Y2,AND(MID($A5,5,1)="C"))</formula>
    </cfRule>
    <cfRule type="expression" dxfId="1975" priority="15448">
      <formula>IF($Y5&gt;$Y2,AND(MID($A5,5,1)="D"))</formula>
    </cfRule>
  </conditionalFormatting>
  <conditionalFormatting sqref="C4 C8 C12 C16 C20">
    <cfRule type="expression" dxfId="1974" priority="15461">
      <formula>IF($Y5&gt;$Y2,AND(MID($A4,5,1)=" "))</formula>
    </cfRule>
    <cfRule type="expression" dxfId="1973" priority="15462">
      <formula>IF($Y5&gt;$Y2,AND(MID($A4,5,1)="C"))</formula>
    </cfRule>
    <cfRule type="expression" dxfId="1972" priority="15463">
      <formula>IF($Y5&gt;$Y2,AND(MID($A4,5,1)="D"))</formula>
    </cfRule>
  </conditionalFormatting>
  <conditionalFormatting sqref="A6 A14 A18 A2">
    <cfRule type="expression" dxfId="1971" priority="15476">
      <formula>$V10&lt;&gt;0</formula>
    </cfRule>
  </conditionalFormatting>
  <conditionalFormatting sqref="A9 A17 A5">
    <cfRule type="expression" dxfId="1970" priority="15496">
      <formula>$V13&lt;&gt;0</formula>
    </cfRule>
  </conditionalFormatting>
  <conditionalFormatting sqref="A7 A15 A3">
    <cfRule type="expression" dxfId="1969" priority="15516">
      <formula>$V11&lt;&gt;0</formula>
    </cfRule>
    <cfRule type="expression" dxfId="1968" priority="15517">
      <formula>IF($Y5&gt;$Y2,AND(MID($A3,5,1)=" "))</formula>
    </cfRule>
    <cfRule type="expression" dxfId="1967" priority="15518">
      <formula>IF($Y5&gt;$Y2,AND(MID($A3,5,1)="C"))</formula>
    </cfRule>
    <cfRule type="expression" dxfId="1966" priority="15519">
      <formula>IF($Y5&gt;$Y2,AND(MID($A3,5,1)="D"))</formula>
    </cfRule>
  </conditionalFormatting>
  <conditionalFormatting sqref="A8 A16 A4">
    <cfRule type="expression" dxfId="1965" priority="15536">
      <formula>$V12&lt;&gt;0</formula>
    </cfRule>
    <cfRule type="expression" dxfId="1964" priority="15537">
      <formula>IF($Y5&gt;$Y2,AND(MID($A4,5,1)=" "))</formula>
    </cfRule>
    <cfRule type="expression" dxfId="1963" priority="15538">
      <formula>IF($Y5&gt;$Y2,AND(MID($A4,5,1)="C"))</formula>
    </cfRule>
    <cfRule type="expression" dxfId="1962" priority="15539">
      <formula>IF($Y5&gt;$Y2,AND(MID($A4,5,1)="D"))</formula>
    </cfRule>
  </conditionalFormatting>
  <conditionalFormatting sqref="G154:G165">
    <cfRule type="cellIs" dxfId="1961" priority="5317" operator="lessThan">
      <formula>0</formula>
    </cfRule>
  </conditionalFormatting>
  <conditionalFormatting sqref="Q154:T165">
    <cfRule type="cellIs" dxfId="1960" priority="5314" operator="equal">
      <formula>0</formula>
    </cfRule>
  </conditionalFormatting>
  <conditionalFormatting sqref="A154:A155 A160:A161">
    <cfRule type="expression" dxfId="1959" priority="5309">
      <formula>V154&lt;&gt;0</formula>
    </cfRule>
  </conditionalFormatting>
  <conditionalFormatting sqref="A156:A157 A162:A163">
    <cfRule type="expression" dxfId="1958" priority="5311">
      <formula>V156&lt;&gt;0</formula>
    </cfRule>
  </conditionalFormatting>
  <conditionalFormatting sqref="Z60">
    <cfRule type="cellIs" dxfId="1957" priority="5291" operator="equal">
      <formula>0</formula>
    </cfRule>
  </conditionalFormatting>
  <conditionalFormatting sqref="AA60">
    <cfRule type="cellIs" dxfId="1956" priority="5290" operator="equal">
      <formula>0</formula>
    </cfRule>
  </conditionalFormatting>
  <conditionalFormatting sqref="Z61 Z63">
    <cfRule type="cellIs" dxfId="1955" priority="5288" operator="equal">
      <formula>0</formula>
    </cfRule>
  </conditionalFormatting>
  <conditionalFormatting sqref="AA61:AA63">
    <cfRule type="cellIs" dxfId="1954" priority="5287" operator="equal">
      <formula>0</formula>
    </cfRule>
  </conditionalFormatting>
  <conditionalFormatting sqref="Z66">
    <cfRule type="cellIs" dxfId="1953" priority="5286" operator="equal">
      <formula>0</formula>
    </cfRule>
  </conditionalFormatting>
  <conditionalFormatting sqref="AA66">
    <cfRule type="cellIs" dxfId="1952" priority="5285" operator="equal">
      <formula>0</formula>
    </cfRule>
  </conditionalFormatting>
  <conditionalFormatting sqref="Z67:Z69">
    <cfRule type="cellIs" dxfId="1951" priority="5283" operator="equal">
      <formula>0</formula>
    </cfRule>
  </conditionalFormatting>
  <conditionalFormatting sqref="AA67:AA69">
    <cfRule type="cellIs" dxfId="1950" priority="5282" operator="equal">
      <formula>0</formula>
    </cfRule>
  </conditionalFormatting>
  <conditionalFormatting sqref="Z72">
    <cfRule type="cellIs" dxfId="1949" priority="5281" operator="equal">
      <formula>0</formula>
    </cfRule>
  </conditionalFormatting>
  <conditionalFormatting sqref="AA72">
    <cfRule type="cellIs" dxfId="1948" priority="5280" operator="equal">
      <formula>0</formula>
    </cfRule>
  </conditionalFormatting>
  <conditionalFormatting sqref="Z73:Z75">
    <cfRule type="cellIs" dxfId="1947" priority="5278" operator="equal">
      <formula>0</formula>
    </cfRule>
  </conditionalFormatting>
  <conditionalFormatting sqref="AA73:AA75">
    <cfRule type="cellIs" dxfId="1946" priority="5277" operator="equal">
      <formula>0</formula>
    </cfRule>
  </conditionalFormatting>
  <conditionalFormatting sqref="Z78">
    <cfRule type="cellIs" dxfId="1945" priority="5276" operator="equal">
      <formula>0</formula>
    </cfRule>
  </conditionalFormatting>
  <conditionalFormatting sqref="AA78">
    <cfRule type="cellIs" dxfId="1944" priority="5275" operator="equal">
      <formula>0</formula>
    </cfRule>
  </conditionalFormatting>
  <conditionalFormatting sqref="Z79:Z81">
    <cfRule type="cellIs" dxfId="1943" priority="5273" operator="equal">
      <formula>0</formula>
    </cfRule>
  </conditionalFormatting>
  <conditionalFormatting sqref="AA79:AA81">
    <cfRule type="cellIs" dxfId="1942" priority="5272" operator="equal">
      <formula>0</formula>
    </cfRule>
  </conditionalFormatting>
  <conditionalFormatting sqref="Z84">
    <cfRule type="cellIs" dxfId="1941" priority="5271" operator="equal">
      <formula>0</formula>
    </cfRule>
  </conditionalFormatting>
  <conditionalFormatting sqref="AA84">
    <cfRule type="cellIs" dxfId="1940" priority="5270" operator="equal">
      <formula>0</formula>
    </cfRule>
  </conditionalFormatting>
  <conditionalFormatting sqref="Z85:Z87">
    <cfRule type="cellIs" dxfId="1939" priority="5268" operator="equal">
      <formula>0</formula>
    </cfRule>
  </conditionalFormatting>
  <conditionalFormatting sqref="AA85:AA87">
    <cfRule type="cellIs" dxfId="1938" priority="5267" operator="equal">
      <formula>0</formula>
    </cfRule>
  </conditionalFormatting>
  <conditionalFormatting sqref="Z90">
    <cfRule type="cellIs" dxfId="1937" priority="5266" operator="equal">
      <formula>0</formula>
    </cfRule>
  </conditionalFormatting>
  <conditionalFormatting sqref="AA90">
    <cfRule type="cellIs" dxfId="1936" priority="5265" operator="equal">
      <formula>0</formula>
    </cfRule>
  </conditionalFormatting>
  <conditionalFormatting sqref="Z91:Z93">
    <cfRule type="cellIs" dxfId="1935" priority="5263" operator="equal">
      <formula>0</formula>
    </cfRule>
  </conditionalFormatting>
  <conditionalFormatting sqref="AA91:AA93">
    <cfRule type="cellIs" dxfId="1934" priority="5262" operator="equal">
      <formula>0</formula>
    </cfRule>
  </conditionalFormatting>
  <conditionalFormatting sqref="Z96">
    <cfRule type="cellIs" dxfId="1933" priority="5261" operator="equal">
      <formula>0</formula>
    </cfRule>
  </conditionalFormatting>
  <conditionalFormatting sqref="AA96">
    <cfRule type="cellIs" dxfId="1932" priority="5260" operator="equal">
      <formula>0</formula>
    </cfRule>
  </conditionalFormatting>
  <conditionalFormatting sqref="Z97:Z99">
    <cfRule type="cellIs" dxfId="1931" priority="5258" operator="equal">
      <formula>0</formula>
    </cfRule>
  </conditionalFormatting>
  <conditionalFormatting sqref="AA97:AA99">
    <cfRule type="cellIs" dxfId="1930" priority="5257" operator="equal">
      <formula>0</formula>
    </cfRule>
  </conditionalFormatting>
  <conditionalFormatting sqref="Z102">
    <cfRule type="cellIs" dxfId="1929" priority="5256" operator="equal">
      <formula>0</formula>
    </cfRule>
  </conditionalFormatting>
  <conditionalFormatting sqref="AA102">
    <cfRule type="cellIs" dxfId="1928" priority="5255" operator="equal">
      <formula>0</formula>
    </cfRule>
  </conditionalFormatting>
  <conditionalFormatting sqref="Z103:Z105">
    <cfRule type="cellIs" dxfId="1927" priority="5253" operator="equal">
      <formula>0</formula>
    </cfRule>
  </conditionalFormatting>
  <conditionalFormatting sqref="AA103:AA105">
    <cfRule type="cellIs" dxfId="1926" priority="5252" operator="equal">
      <formula>0</formula>
    </cfRule>
  </conditionalFormatting>
  <conditionalFormatting sqref="Z108">
    <cfRule type="cellIs" dxfId="1925" priority="5251" operator="equal">
      <formula>0</formula>
    </cfRule>
  </conditionalFormatting>
  <conditionalFormatting sqref="AA108">
    <cfRule type="cellIs" dxfId="1924" priority="5250" operator="equal">
      <formula>0</formula>
    </cfRule>
  </conditionalFormatting>
  <conditionalFormatting sqref="Z132">
    <cfRule type="cellIs" dxfId="1923" priority="5231" operator="equal">
      <formula>0</formula>
    </cfRule>
  </conditionalFormatting>
  <conditionalFormatting sqref="Z109:Z111">
    <cfRule type="cellIs" dxfId="1922" priority="5248" operator="equal">
      <formula>0</formula>
    </cfRule>
  </conditionalFormatting>
  <conditionalFormatting sqref="AA109:AA111">
    <cfRule type="cellIs" dxfId="1921" priority="5247" operator="equal">
      <formula>0</formula>
    </cfRule>
  </conditionalFormatting>
  <conditionalFormatting sqref="Z114">
    <cfRule type="cellIs" dxfId="1920" priority="5246" operator="equal">
      <formula>0</formula>
    </cfRule>
  </conditionalFormatting>
  <conditionalFormatting sqref="AA114">
    <cfRule type="cellIs" dxfId="1919" priority="5245" operator="equal">
      <formula>0</formula>
    </cfRule>
  </conditionalFormatting>
  <conditionalFormatting sqref="Z133:Z135">
    <cfRule type="cellIs" dxfId="1918" priority="5228" operator="equal">
      <formula>0</formula>
    </cfRule>
  </conditionalFormatting>
  <conditionalFormatting sqref="Z115:Z117">
    <cfRule type="cellIs" dxfId="1917" priority="5243" operator="equal">
      <formula>0</formula>
    </cfRule>
  </conditionalFormatting>
  <conditionalFormatting sqref="AA115:AA117">
    <cfRule type="cellIs" dxfId="1916" priority="5242" operator="equal">
      <formula>0</formula>
    </cfRule>
  </conditionalFormatting>
  <conditionalFormatting sqref="Z120">
    <cfRule type="cellIs" dxfId="1915" priority="5241" operator="equal">
      <formula>0</formula>
    </cfRule>
  </conditionalFormatting>
  <conditionalFormatting sqref="AA120">
    <cfRule type="cellIs" dxfId="1914" priority="5240" operator="equal">
      <formula>0</formula>
    </cfRule>
  </conditionalFormatting>
  <conditionalFormatting sqref="AA138">
    <cfRule type="cellIs" dxfId="1913" priority="5225" operator="equal">
      <formula>0</formula>
    </cfRule>
  </conditionalFormatting>
  <conditionalFormatting sqref="Z121:Z123">
    <cfRule type="cellIs" dxfId="1912" priority="5238" operator="equal">
      <formula>0</formula>
    </cfRule>
  </conditionalFormatting>
  <conditionalFormatting sqref="AA121:AA123">
    <cfRule type="cellIs" dxfId="1911" priority="5237" operator="equal">
      <formula>0</formula>
    </cfRule>
  </conditionalFormatting>
  <conditionalFormatting sqref="Z126">
    <cfRule type="cellIs" dxfId="1910" priority="5236" operator="equal">
      <formula>0</formula>
    </cfRule>
  </conditionalFormatting>
  <conditionalFormatting sqref="AA126">
    <cfRule type="cellIs" dxfId="1909" priority="5235" operator="equal">
      <formula>0</formula>
    </cfRule>
  </conditionalFormatting>
  <conditionalFormatting sqref="AA139:AA141">
    <cfRule type="cellIs" dxfId="1908" priority="5222" operator="equal">
      <formula>0</formula>
    </cfRule>
  </conditionalFormatting>
  <conditionalFormatting sqref="Z127:Z129">
    <cfRule type="cellIs" dxfId="1907" priority="5233" operator="equal">
      <formula>0</formula>
    </cfRule>
  </conditionalFormatting>
  <conditionalFormatting sqref="AA127:AA129">
    <cfRule type="cellIs" dxfId="1906" priority="5232" operator="equal">
      <formula>0</formula>
    </cfRule>
  </conditionalFormatting>
  <conditionalFormatting sqref="AA132">
    <cfRule type="cellIs" dxfId="1905" priority="5230" operator="equal">
      <formula>0</formula>
    </cfRule>
  </conditionalFormatting>
  <conditionalFormatting sqref="AA133:AA135">
    <cfRule type="cellIs" dxfId="1904" priority="5227" operator="equal">
      <formula>0</formula>
    </cfRule>
  </conditionalFormatting>
  <conditionalFormatting sqref="Z138">
    <cfRule type="cellIs" dxfId="1903" priority="5226" operator="equal">
      <formula>0</formula>
    </cfRule>
  </conditionalFormatting>
  <conditionalFormatting sqref="Z150">
    <cfRule type="cellIs" dxfId="1902" priority="5216" operator="equal">
      <formula>0</formula>
    </cfRule>
  </conditionalFormatting>
  <conditionalFormatting sqref="Z139:Z141">
    <cfRule type="cellIs" dxfId="1901" priority="5223" operator="equal">
      <formula>0</formula>
    </cfRule>
  </conditionalFormatting>
  <conditionalFormatting sqref="Z144">
    <cfRule type="cellIs" dxfId="1900" priority="5221" operator="equal">
      <formula>0</formula>
    </cfRule>
  </conditionalFormatting>
  <conditionalFormatting sqref="AA144">
    <cfRule type="cellIs" dxfId="1899" priority="5220" operator="equal">
      <formula>0</formula>
    </cfRule>
  </conditionalFormatting>
  <conditionalFormatting sqref="Z151:Z153">
    <cfRule type="cellIs" dxfId="1898" priority="5213" operator="equal">
      <formula>0</formula>
    </cfRule>
  </conditionalFormatting>
  <conditionalFormatting sqref="Z145:Z147">
    <cfRule type="cellIs" dxfId="1897" priority="5218" operator="equal">
      <formula>0</formula>
    </cfRule>
  </conditionalFormatting>
  <conditionalFormatting sqref="AA145:AA147">
    <cfRule type="cellIs" dxfId="1896" priority="5217" operator="equal">
      <formula>0</formula>
    </cfRule>
  </conditionalFormatting>
  <conditionalFormatting sqref="AA150">
    <cfRule type="cellIs" dxfId="1895" priority="5215" operator="equal">
      <formula>0</formula>
    </cfRule>
  </conditionalFormatting>
  <conditionalFormatting sqref="AA156 AA162">
    <cfRule type="cellIs" dxfId="1894" priority="5210" operator="equal">
      <formula>0</formula>
    </cfRule>
  </conditionalFormatting>
  <conditionalFormatting sqref="AA151:AA153">
    <cfRule type="cellIs" dxfId="1893" priority="5212" operator="equal">
      <formula>0</formula>
    </cfRule>
  </conditionalFormatting>
  <conditionalFormatting sqref="Z156 Z162">
    <cfRule type="cellIs" dxfId="1892" priority="5211" operator="equal">
      <formula>0</formula>
    </cfRule>
  </conditionalFormatting>
  <conditionalFormatting sqref="AA157:AA159 AA163:AA165">
    <cfRule type="cellIs" dxfId="1891" priority="5207" operator="equal">
      <formula>0</formula>
    </cfRule>
  </conditionalFormatting>
  <conditionalFormatting sqref="Z157:Z159 Z163:Z165">
    <cfRule type="cellIs" dxfId="1890" priority="5208" operator="equal">
      <formula>0</formula>
    </cfRule>
  </conditionalFormatting>
  <conditionalFormatting sqref="AA68 AA62 AA74 AA80 AA86 AA92 AA98 AA104 AA110 AA116 AA122 AA128 AA134 AA140 AA146 AA152 AA158 AA164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889" priority="5201" operator="equal">
      <formula>0</formula>
    </cfRule>
  </conditionalFormatting>
  <conditionalFormatting sqref="B18:B19">
    <cfRule type="cellIs" dxfId="1888" priority="5163" operator="greaterThan">
      <formula>E18</formula>
    </cfRule>
  </conditionalFormatting>
  <conditionalFormatting sqref="E18:E19">
    <cfRule type="cellIs" dxfId="1887" priority="5162" operator="greaterThan">
      <formula>B18</formula>
    </cfRule>
  </conditionalFormatting>
  <conditionalFormatting sqref="E20:E21">
    <cfRule type="cellIs" dxfId="1886" priority="5161" operator="greaterThan">
      <formula>B20</formula>
    </cfRule>
  </conditionalFormatting>
  <conditionalFormatting sqref="B20:B21">
    <cfRule type="cellIs" dxfId="1885" priority="5160" operator="greaterThan">
      <formula>E20</formula>
    </cfRule>
  </conditionalFormatting>
  <conditionalFormatting sqref="A18">
    <cfRule type="expression" dxfId="1884" priority="5159">
      <formula>V18&lt;&gt;0</formula>
    </cfRule>
  </conditionalFormatting>
  <conditionalFormatting sqref="A19">
    <cfRule type="expression" dxfId="1883" priority="5155">
      <formula>$V27&lt;&gt;0</formula>
    </cfRule>
    <cfRule type="expression" dxfId="1882" priority="5156">
      <formula>IF($Y22&gt;$Y19,AND(MID($A19,5,1)=" "))</formula>
    </cfRule>
    <cfRule type="expression" dxfId="1881" priority="5157">
      <formula>IF($Y22&gt;$Y19,AND(MID($A19,5,1)="C"))</formula>
    </cfRule>
    <cfRule type="expression" dxfId="1880" priority="5158">
      <formula>IF($Y22&gt;$Y19,AND(MID($A19,5,1)="D"))</formula>
    </cfRule>
  </conditionalFormatting>
  <conditionalFormatting sqref="A19">
    <cfRule type="expression" dxfId="1879" priority="5154">
      <formula>V19&lt;&gt;0</formula>
    </cfRule>
  </conditionalFormatting>
  <conditionalFormatting sqref="A20">
    <cfRule type="expression" dxfId="1878" priority="5150">
      <formula>$V28&lt;&gt;0</formula>
    </cfRule>
    <cfRule type="expression" dxfId="1877" priority="5151">
      <formula>IF($Y23&gt;$Y20,AND(MID($A20,5,1)=" "))</formula>
    </cfRule>
    <cfRule type="expression" dxfId="1876" priority="5152">
      <formula>IF($Y23&gt;$Y20,AND(MID($A20,5,1)="C"))</formula>
    </cfRule>
    <cfRule type="expression" dxfId="1875" priority="5153">
      <formula>IF($Y23&gt;$Y20,AND(MID($A20,5,1)="D"))</formula>
    </cfRule>
  </conditionalFormatting>
  <conditionalFormatting sqref="A20">
    <cfRule type="expression" dxfId="1874" priority="5149">
      <formula>V20&lt;&gt;0</formula>
    </cfRule>
  </conditionalFormatting>
  <conditionalFormatting sqref="A21">
    <cfRule type="expression" dxfId="1873" priority="5145">
      <formula>$V29&lt;&gt;0</formula>
    </cfRule>
    <cfRule type="expression" dxfId="1872" priority="5146">
      <formula>IF($Y24&gt;$Y21,AND(MID($A21,5,1)=" "))</formula>
    </cfRule>
    <cfRule type="expression" dxfId="1871" priority="5147">
      <formula>IF($Y24&gt;$Y21,AND(MID($A21,5,1)="C"))</formula>
    </cfRule>
    <cfRule type="expression" dxfId="1870" priority="5148">
      <formula>IF($Y24&gt;$Y21,AND(MID($A21,5,1)="D"))</formula>
    </cfRule>
  </conditionalFormatting>
  <conditionalFormatting sqref="A21">
    <cfRule type="expression" dxfId="1869" priority="5144">
      <formula>V21&lt;&gt;0</formula>
    </cfRule>
  </conditionalFormatting>
  <conditionalFormatting sqref="Y58">
    <cfRule type="cellIs" dxfId="1868" priority="5091" operator="lessThanOrEqual">
      <formula>0</formula>
    </cfRule>
  </conditionalFormatting>
  <conditionalFormatting sqref="Y54">
    <cfRule type="cellIs" dxfId="1867" priority="4980" operator="greaterThan">
      <formula>Z54</formula>
    </cfRule>
    <cfRule type="cellIs" dxfId="1866" priority="4981" operator="lessThanOrEqual">
      <formula>0</formula>
    </cfRule>
  </conditionalFormatting>
  <conditionalFormatting sqref="Y56">
    <cfRule type="cellIs" dxfId="1865" priority="4978" operator="greaterThan">
      <formula>Z56</formula>
    </cfRule>
    <cfRule type="cellIs" dxfId="1864" priority="4979" operator="lessThanOrEqual">
      <formula>0</formula>
    </cfRule>
  </conditionalFormatting>
  <conditionalFormatting sqref="A68:A69">
    <cfRule type="expression" dxfId="1863" priority="4976">
      <formula>V68&lt;&gt;0</formula>
    </cfRule>
  </conditionalFormatting>
  <conditionalFormatting sqref="A74:A75">
    <cfRule type="expression" dxfId="1862" priority="4975">
      <formula>V74&lt;&gt;0</formula>
    </cfRule>
  </conditionalFormatting>
  <conditionalFormatting sqref="A80:A81">
    <cfRule type="expression" dxfId="1861" priority="4974">
      <formula>V80&lt;&gt;0</formula>
    </cfRule>
  </conditionalFormatting>
  <conditionalFormatting sqref="A86:A87">
    <cfRule type="expression" dxfId="1860" priority="4973">
      <formula>V86&lt;&gt;0</formula>
    </cfRule>
  </conditionalFormatting>
  <conditionalFormatting sqref="A92:A93">
    <cfRule type="expression" dxfId="1859" priority="4972">
      <formula>V92&lt;&gt;0</formula>
    </cfRule>
  </conditionalFormatting>
  <conditionalFormatting sqref="A98:A99">
    <cfRule type="expression" dxfId="1858" priority="4971">
      <formula>V98&lt;&gt;0</formula>
    </cfRule>
  </conditionalFormatting>
  <conditionalFormatting sqref="A104:A105">
    <cfRule type="expression" dxfId="1857" priority="4970">
      <formula>V104&lt;&gt;0</formula>
    </cfRule>
  </conditionalFormatting>
  <conditionalFormatting sqref="A110:A111">
    <cfRule type="expression" dxfId="1856" priority="4969">
      <formula>V110&lt;&gt;0</formula>
    </cfRule>
  </conditionalFormatting>
  <conditionalFormatting sqref="A116:A117">
    <cfRule type="expression" dxfId="1855" priority="4968">
      <formula>V116&lt;&gt;0</formula>
    </cfRule>
  </conditionalFormatting>
  <conditionalFormatting sqref="A122:A123">
    <cfRule type="expression" dxfId="1854" priority="4967">
      <formula>V122&lt;&gt;0</formula>
    </cfRule>
  </conditionalFormatting>
  <conditionalFormatting sqref="A128:A129">
    <cfRule type="expression" dxfId="1853" priority="4966">
      <formula>V128&lt;&gt;0</formula>
    </cfRule>
  </conditionalFormatting>
  <conditionalFormatting sqref="A134:A135">
    <cfRule type="expression" dxfId="1852" priority="4965">
      <formula>V134&lt;&gt;0</formula>
    </cfRule>
  </conditionalFormatting>
  <conditionalFormatting sqref="A140:A141">
    <cfRule type="expression" dxfId="1851" priority="4964">
      <formula>V140&lt;&gt;0</formula>
    </cfRule>
  </conditionalFormatting>
  <conditionalFormatting sqref="A146:A147">
    <cfRule type="expression" dxfId="1850" priority="4963">
      <formula>V146&lt;&gt;0</formula>
    </cfRule>
  </conditionalFormatting>
  <conditionalFormatting sqref="A152:A153">
    <cfRule type="expression" dxfId="1849" priority="4962">
      <formula>V152&lt;&gt;0</formula>
    </cfRule>
  </conditionalFormatting>
  <conditionalFormatting sqref="A158:A159">
    <cfRule type="expression" dxfId="1848" priority="4961">
      <formula>V158&lt;&gt;0</formula>
    </cfRule>
  </conditionalFormatting>
  <conditionalFormatting sqref="A164:A165">
    <cfRule type="expression" dxfId="1847" priority="4960">
      <formula>V164&lt;&gt;0</formula>
    </cfRule>
  </conditionalFormatting>
  <conditionalFormatting sqref="X58">
    <cfRule type="expression" dxfId="1846" priority="4938">
      <formula>F58/100&lt;X58</formula>
    </cfRule>
    <cfRule type="expression" dxfId="1845" priority="4939">
      <formula>X58&lt;F58/100</formula>
    </cfRule>
  </conditionalFormatting>
  <conditionalFormatting sqref="X59">
    <cfRule type="expression" dxfId="1844" priority="4936">
      <formula>F59/100&lt;X59</formula>
    </cfRule>
    <cfRule type="expression" dxfId="1843" priority="4937">
      <formula>X59&lt;F59/100</formula>
    </cfRule>
  </conditionalFormatting>
  <conditionalFormatting sqref="X60">
    <cfRule type="expression" dxfId="1842" priority="4864">
      <formula>F60/100&lt;X60</formula>
    </cfRule>
    <cfRule type="expression" dxfId="1841" priority="4865">
      <formula>X60&lt;F60/100</formula>
    </cfRule>
  </conditionalFormatting>
  <conditionalFormatting sqref="X61">
    <cfRule type="expression" dxfId="1840" priority="4862">
      <formula>F61/100&lt;X61</formula>
    </cfRule>
    <cfRule type="expression" dxfId="1839" priority="4863">
      <formula>X61&lt;F61/100</formula>
    </cfRule>
  </conditionalFormatting>
  <conditionalFormatting sqref="X62">
    <cfRule type="expression" dxfId="1838" priority="4860">
      <formula>F62/100&lt;X62</formula>
    </cfRule>
    <cfRule type="expression" dxfId="1837" priority="4861">
      <formula>X62&lt;F62/100</formula>
    </cfRule>
  </conditionalFormatting>
  <conditionalFormatting sqref="X63">
    <cfRule type="expression" dxfId="1836" priority="4858">
      <formula>F63/100&lt;X63</formula>
    </cfRule>
    <cfRule type="expression" dxfId="1835" priority="4859">
      <formula>X63&lt;F63/100</formula>
    </cfRule>
  </conditionalFormatting>
  <conditionalFormatting sqref="W63">
    <cfRule type="cellIs" dxfId="1834" priority="2546" operator="equal">
      <formula>0</formula>
    </cfRule>
    <cfRule type="cellIs" dxfId="1833" priority="4023" operator="greaterThan">
      <formula>W62</formula>
    </cfRule>
  </conditionalFormatting>
  <conditionalFormatting sqref="A10">
    <cfRule type="expression" dxfId="1832" priority="2726">
      <formula>$V18&lt;&gt;0</formula>
    </cfRule>
    <cfRule type="expression" dxfId="1831" priority="2727">
      <formula>IF($Y13&gt;$Y10,AND(MID($A10,5,1)=" "))</formula>
    </cfRule>
    <cfRule type="expression" dxfId="1830" priority="2728">
      <formula>IF($Y13&gt;$Y10,AND(MID($A10,5,1)="C"))</formula>
    </cfRule>
    <cfRule type="expression" dxfId="1829" priority="2729">
      <formula>IF($Y13&gt;$Y10,AND(MID($A10,5,1)="D"))</formula>
    </cfRule>
  </conditionalFormatting>
  <conditionalFormatting sqref="A13">
    <cfRule type="expression" dxfId="1828" priority="2730">
      <formula>$V21&lt;&gt;0</formula>
    </cfRule>
    <cfRule type="expression" dxfId="1827" priority="2731">
      <formula>IF($Y13&gt;$Y10,AND(MID($A13,5,1)=" "))</formula>
    </cfRule>
    <cfRule type="expression" dxfId="1826" priority="2732">
      <formula>IF($Y13&gt;$Y10,AND(MID($A13,5,1)="C"))</formula>
    </cfRule>
    <cfRule type="expression" dxfId="1825" priority="2733">
      <formula>IF($Y13&gt;$Y10,AND(MID($A13,5,1)="D"))</formula>
    </cfRule>
  </conditionalFormatting>
  <conditionalFormatting sqref="A11">
    <cfRule type="expression" dxfId="1824" priority="2734">
      <formula>$V19&lt;&gt;0</formula>
    </cfRule>
    <cfRule type="expression" dxfId="1823" priority="2735">
      <formula>IF($Y13&gt;$Y10,AND(MID($A11,5,1)=" "))</formula>
    </cfRule>
    <cfRule type="expression" dxfId="1822" priority="2736">
      <formula>IF($Y13&gt;$Y10,AND(MID($A11,5,1)="C"))</formula>
    </cfRule>
    <cfRule type="expression" dxfId="1821" priority="2737">
      <formula>IF($Y13&gt;$Y10,AND(MID($A11,5,1)="D"))</formula>
    </cfRule>
  </conditionalFormatting>
  <conditionalFormatting sqref="A12">
    <cfRule type="expression" dxfId="1820" priority="2738">
      <formula>$V20&lt;&gt;0</formula>
    </cfRule>
    <cfRule type="expression" dxfId="1819" priority="2739">
      <formula>IF($Y13&gt;$Y10,AND(MID($A12,5,1)=" "))</formula>
    </cfRule>
    <cfRule type="expression" dxfId="1818" priority="2740">
      <formula>IF($Y13&gt;$Y10,AND(MID($A12,5,1)="C"))</formula>
    </cfRule>
    <cfRule type="expression" dxfId="1817" priority="2741">
      <formula>IF($Y13&gt;$Y10,AND(MID($A12,5,1)="D"))</formula>
    </cfRule>
  </conditionalFormatting>
  <conditionalFormatting sqref="Y59">
    <cfRule type="cellIs" dxfId="1816" priority="2687" operator="equal">
      <formula>0</formula>
    </cfRule>
  </conditionalFormatting>
  <conditionalFormatting sqref="Y61">
    <cfRule type="cellIs" dxfId="1815" priority="2686" operator="equal">
      <formula>0</formula>
    </cfRule>
  </conditionalFormatting>
  <conditionalFormatting sqref="Y63">
    <cfRule type="cellIs" dxfId="1814" priority="2685" operator="equal">
      <formula>0</formula>
    </cfRule>
  </conditionalFormatting>
  <conditionalFormatting sqref="Y66 Y68">
    <cfRule type="cellIs" dxfId="1813" priority="2649" operator="lessThanOrEqual">
      <formula>0</formula>
    </cfRule>
  </conditionalFormatting>
  <conditionalFormatting sqref="Y64">
    <cfRule type="cellIs" dxfId="1812" priority="2648" operator="lessThanOrEqual">
      <formula>0</formula>
    </cfRule>
  </conditionalFormatting>
  <conditionalFormatting sqref="Y65">
    <cfRule type="cellIs" dxfId="1811" priority="2647" operator="equal">
      <formula>0</formula>
    </cfRule>
  </conditionalFormatting>
  <conditionalFormatting sqref="Y67">
    <cfRule type="cellIs" dxfId="1810" priority="2646" operator="equal">
      <formula>0</formula>
    </cfRule>
  </conditionalFormatting>
  <conditionalFormatting sqref="Y69">
    <cfRule type="cellIs" dxfId="1809" priority="2645" operator="equal">
      <formula>0</formula>
    </cfRule>
  </conditionalFormatting>
  <conditionalFormatting sqref="Y72 Y74">
    <cfRule type="cellIs" dxfId="1808" priority="2644" operator="lessThanOrEqual">
      <formula>0</formula>
    </cfRule>
  </conditionalFormatting>
  <conditionalFormatting sqref="Y70">
    <cfRule type="cellIs" dxfId="1807" priority="2643" operator="lessThanOrEqual">
      <formula>0</formula>
    </cfRule>
  </conditionalFormatting>
  <conditionalFormatting sqref="Y71">
    <cfRule type="cellIs" dxfId="1806" priority="2642" operator="equal">
      <formula>0</formula>
    </cfRule>
  </conditionalFormatting>
  <conditionalFormatting sqref="Y73">
    <cfRule type="cellIs" dxfId="1805" priority="2641" operator="equal">
      <formula>0</formula>
    </cfRule>
  </conditionalFormatting>
  <conditionalFormatting sqref="Y75">
    <cfRule type="cellIs" dxfId="1804" priority="2640" operator="equal">
      <formula>0</formula>
    </cfRule>
  </conditionalFormatting>
  <conditionalFormatting sqref="Y78 Y80">
    <cfRule type="cellIs" dxfId="1803" priority="2639" operator="lessThanOrEqual">
      <formula>0</formula>
    </cfRule>
  </conditionalFormatting>
  <conditionalFormatting sqref="Y76">
    <cfRule type="cellIs" dxfId="1802" priority="2638" operator="lessThanOrEqual">
      <formula>0</formula>
    </cfRule>
  </conditionalFormatting>
  <conditionalFormatting sqref="Y77">
    <cfRule type="cellIs" dxfId="1801" priority="2637" operator="equal">
      <formula>0</formula>
    </cfRule>
  </conditionalFormatting>
  <conditionalFormatting sqref="Y79">
    <cfRule type="cellIs" dxfId="1800" priority="2636" operator="equal">
      <formula>0</formula>
    </cfRule>
  </conditionalFormatting>
  <conditionalFormatting sqref="Y81">
    <cfRule type="cellIs" dxfId="1799" priority="2635" operator="equal">
      <formula>0</formula>
    </cfRule>
  </conditionalFormatting>
  <conditionalFormatting sqref="Y84 Y86">
    <cfRule type="cellIs" dxfId="1798" priority="2634" operator="lessThanOrEqual">
      <formula>0</formula>
    </cfRule>
  </conditionalFormatting>
  <conditionalFormatting sqref="Y82">
    <cfRule type="cellIs" dxfId="1797" priority="2633" operator="lessThanOrEqual">
      <formula>0</formula>
    </cfRule>
  </conditionalFormatting>
  <conditionalFormatting sqref="Y83">
    <cfRule type="cellIs" dxfId="1796" priority="2632" operator="equal">
      <formula>0</formula>
    </cfRule>
  </conditionalFormatting>
  <conditionalFormatting sqref="Y85">
    <cfRule type="cellIs" dxfId="1795" priority="2631" operator="equal">
      <formula>0</formula>
    </cfRule>
  </conditionalFormatting>
  <conditionalFormatting sqref="Y87">
    <cfRule type="cellIs" dxfId="1794" priority="2630" operator="equal">
      <formula>0</formula>
    </cfRule>
  </conditionalFormatting>
  <conditionalFormatting sqref="Y90 Y92">
    <cfRule type="cellIs" dxfId="1793" priority="2629" operator="lessThanOrEqual">
      <formula>0</formula>
    </cfRule>
  </conditionalFormatting>
  <conditionalFormatting sqref="Y88">
    <cfRule type="cellIs" dxfId="1792" priority="2628" operator="lessThanOrEqual">
      <formula>0</formula>
    </cfRule>
  </conditionalFormatting>
  <conditionalFormatting sqref="Y89">
    <cfRule type="cellIs" dxfId="1791" priority="2627" operator="equal">
      <formula>0</formula>
    </cfRule>
  </conditionalFormatting>
  <conditionalFormatting sqref="Y91">
    <cfRule type="cellIs" dxfId="1790" priority="2626" operator="equal">
      <formula>0</formula>
    </cfRule>
  </conditionalFormatting>
  <conditionalFormatting sqref="Y93">
    <cfRule type="cellIs" dxfId="1789" priority="2625" operator="equal">
      <formula>0</formula>
    </cfRule>
  </conditionalFormatting>
  <conditionalFormatting sqref="Y96 Y98">
    <cfRule type="cellIs" dxfId="1788" priority="2624" operator="lessThanOrEqual">
      <formula>0</formula>
    </cfRule>
  </conditionalFormatting>
  <conditionalFormatting sqref="Y94">
    <cfRule type="cellIs" dxfId="1787" priority="2623" operator="lessThanOrEqual">
      <formula>0</formula>
    </cfRule>
  </conditionalFormatting>
  <conditionalFormatting sqref="Y95">
    <cfRule type="cellIs" dxfId="1786" priority="2622" operator="equal">
      <formula>0</formula>
    </cfRule>
  </conditionalFormatting>
  <conditionalFormatting sqref="Y97">
    <cfRule type="cellIs" dxfId="1785" priority="2621" operator="equal">
      <formula>0</formula>
    </cfRule>
  </conditionalFormatting>
  <conditionalFormatting sqref="Y99">
    <cfRule type="cellIs" dxfId="1784" priority="2620" operator="equal">
      <formula>0</formula>
    </cfRule>
  </conditionalFormatting>
  <conditionalFormatting sqref="Y102 Y104">
    <cfRule type="cellIs" dxfId="1783" priority="2619" operator="lessThanOrEqual">
      <formula>0</formula>
    </cfRule>
  </conditionalFormatting>
  <conditionalFormatting sqref="Y100">
    <cfRule type="cellIs" dxfId="1782" priority="2618" operator="lessThanOrEqual">
      <formula>0</formula>
    </cfRule>
  </conditionalFormatting>
  <conditionalFormatting sqref="Y101">
    <cfRule type="cellIs" dxfId="1781" priority="2617" operator="equal">
      <formula>0</formula>
    </cfRule>
  </conditionalFormatting>
  <conditionalFormatting sqref="Y103">
    <cfRule type="cellIs" dxfId="1780" priority="2616" operator="equal">
      <formula>0</formula>
    </cfRule>
  </conditionalFormatting>
  <conditionalFormatting sqref="Y105">
    <cfRule type="cellIs" dxfId="1779" priority="2615" operator="equal">
      <formula>0</formula>
    </cfRule>
  </conditionalFormatting>
  <conditionalFormatting sqref="Y108 Y110">
    <cfRule type="cellIs" dxfId="1778" priority="2614" operator="lessThanOrEqual">
      <formula>0</formula>
    </cfRule>
  </conditionalFormatting>
  <conditionalFormatting sqref="Y106">
    <cfRule type="cellIs" dxfId="1777" priority="2613" operator="lessThanOrEqual">
      <formula>0</formula>
    </cfRule>
  </conditionalFormatting>
  <conditionalFormatting sqref="Y107">
    <cfRule type="cellIs" dxfId="1776" priority="2612" operator="equal">
      <formula>0</formula>
    </cfRule>
  </conditionalFormatting>
  <conditionalFormatting sqref="Y109">
    <cfRule type="cellIs" dxfId="1775" priority="2611" operator="equal">
      <formula>0</formula>
    </cfRule>
  </conditionalFormatting>
  <conditionalFormatting sqref="Y111">
    <cfRule type="cellIs" dxfId="1774" priority="2610" operator="equal">
      <formula>0</formula>
    </cfRule>
  </conditionalFormatting>
  <conditionalFormatting sqref="Y114 Y116">
    <cfRule type="cellIs" dxfId="1773" priority="2609" operator="lessThanOrEqual">
      <formula>0</formula>
    </cfRule>
  </conditionalFormatting>
  <conditionalFormatting sqref="Y112">
    <cfRule type="cellIs" dxfId="1772" priority="2608" operator="lessThanOrEqual">
      <formula>0</formula>
    </cfRule>
  </conditionalFormatting>
  <conditionalFormatting sqref="Y113">
    <cfRule type="cellIs" dxfId="1771" priority="2607" operator="equal">
      <formula>0</formula>
    </cfRule>
  </conditionalFormatting>
  <conditionalFormatting sqref="Y115">
    <cfRule type="cellIs" dxfId="1770" priority="2606" operator="equal">
      <formula>0</formula>
    </cfRule>
  </conditionalFormatting>
  <conditionalFormatting sqref="Y117">
    <cfRule type="cellIs" dxfId="1769" priority="2605" operator="equal">
      <formula>0</formula>
    </cfRule>
  </conditionalFormatting>
  <conditionalFormatting sqref="Y120 Y122">
    <cfRule type="cellIs" dxfId="1768" priority="2604" operator="lessThanOrEqual">
      <formula>0</formula>
    </cfRule>
  </conditionalFormatting>
  <conditionalFormatting sqref="Y118">
    <cfRule type="cellIs" dxfId="1767" priority="2603" operator="lessThanOrEqual">
      <formula>0</formula>
    </cfRule>
  </conditionalFormatting>
  <conditionalFormatting sqref="Y119">
    <cfRule type="cellIs" dxfId="1766" priority="2602" operator="equal">
      <formula>0</formula>
    </cfRule>
  </conditionalFormatting>
  <conditionalFormatting sqref="Y121">
    <cfRule type="cellIs" dxfId="1765" priority="2601" operator="equal">
      <formula>0</formula>
    </cfRule>
  </conditionalFormatting>
  <conditionalFormatting sqref="Y123">
    <cfRule type="cellIs" dxfId="1764" priority="2600" operator="equal">
      <formula>0</formula>
    </cfRule>
  </conditionalFormatting>
  <conditionalFormatting sqref="Y126 Y128">
    <cfRule type="cellIs" dxfId="1763" priority="2599" operator="lessThanOrEqual">
      <formula>0</formula>
    </cfRule>
  </conditionalFormatting>
  <conditionalFormatting sqref="Y124">
    <cfRule type="cellIs" dxfId="1762" priority="2598" operator="lessThanOrEqual">
      <formula>0</formula>
    </cfRule>
  </conditionalFormatting>
  <conditionalFormatting sqref="Y125">
    <cfRule type="cellIs" dxfId="1761" priority="2597" operator="equal">
      <formula>0</formula>
    </cfRule>
  </conditionalFormatting>
  <conditionalFormatting sqref="Y127">
    <cfRule type="cellIs" dxfId="1760" priority="2596" operator="equal">
      <formula>0</formula>
    </cfRule>
  </conditionalFormatting>
  <conditionalFormatting sqref="Y129">
    <cfRule type="cellIs" dxfId="1759" priority="2595" operator="equal">
      <formula>0</formula>
    </cfRule>
  </conditionalFormatting>
  <conditionalFormatting sqref="Y132 Y134">
    <cfRule type="cellIs" dxfId="1758" priority="2594" operator="lessThanOrEqual">
      <formula>0</formula>
    </cfRule>
  </conditionalFormatting>
  <conditionalFormatting sqref="Y130">
    <cfRule type="cellIs" dxfId="1757" priority="2593" operator="lessThanOrEqual">
      <formula>0</formula>
    </cfRule>
  </conditionalFormatting>
  <conditionalFormatting sqref="Y131">
    <cfRule type="cellIs" dxfId="1756" priority="2592" operator="equal">
      <formula>0</formula>
    </cfRule>
  </conditionalFormatting>
  <conditionalFormatting sqref="Y133">
    <cfRule type="cellIs" dxfId="1755" priority="2591" operator="equal">
      <formula>0</formula>
    </cfRule>
  </conditionalFormatting>
  <conditionalFormatting sqref="Y135">
    <cfRule type="cellIs" dxfId="1754" priority="2590" operator="equal">
      <formula>0</formula>
    </cfRule>
  </conditionalFormatting>
  <conditionalFormatting sqref="Y138 Y140">
    <cfRule type="cellIs" dxfId="1753" priority="2589" operator="lessThanOrEqual">
      <formula>0</formula>
    </cfRule>
  </conditionalFormatting>
  <conditionalFormatting sqref="Y136">
    <cfRule type="cellIs" dxfId="1752" priority="2588" operator="lessThanOrEqual">
      <formula>0</formula>
    </cfRule>
  </conditionalFormatting>
  <conditionalFormatting sqref="Y137">
    <cfRule type="cellIs" dxfId="1751" priority="2587" operator="equal">
      <formula>0</formula>
    </cfRule>
  </conditionalFormatting>
  <conditionalFormatting sqref="Y139">
    <cfRule type="cellIs" dxfId="1750" priority="2586" operator="equal">
      <formula>0</formula>
    </cfRule>
  </conditionalFormatting>
  <conditionalFormatting sqref="Y141">
    <cfRule type="cellIs" dxfId="1749" priority="2585" operator="equal">
      <formula>0</formula>
    </cfRule>
  </conditionalFormatting>
  <conditionalFormatting sqref="Y144 Y146">
    <cfRule type="cellIs" dxfId="1748" priority="2584" operator="lessThanOrEqual">
      <formula>0</formula>
    </cfRule>
  </conditionalFormatting>
  <conditionalFormatting sqref="Y142">
    <cfRule type="cellIs" dxfId="1747" priority="2583" operator="lessThanOrEqual">
      <formula>0</formula>
    </cfRule>
  </conditionalFormatting>
  <conditionalFormatting sqref="Y143">
    <cfRule type="cellIs" dxfId="1746" priority="2582" operator="equal">
      <formula>0</formula>
    </cfRule>
  </conditionalFormatting>
  <conditionalFormatting sqref="Y145">
    <cfRule type="cellIs" dxfId="1745" priority="2581" operator="equal">
      <formula>0</formula>
    </cfRule>
  </conditionalFormatting>
  <conditionalFormatting sqref="Y147">
    <cfRule type="cellIs" dxfId="1744" priority="2580" operator="equal">
      <formula>0</formula>
    </cfRule>
  </conditionalFormatting>
  <conditionalFormatting sqref="Y150 Y152">
    <cfRule type="cellIs" dxfId="1743" priority="2579" operator="lessThanOrEqual">
      <formula>0</formula>
    </cfRule>
  </conditionalFormatting>
  <conditionalFormatting sqref="Y148">
    <cfRule type="cellIs" dxfId="1742" priority="2578" operator="lessThanOrEqual">
      <formula>0</formula>
    </cfRule>
  </conditionalFormatting>
  <conditionalFormatting sqref="Y149">
    <cfRule type="cellIs" dxfId="1741" priority="2577" operator="equal">
      <formula>0</formula>
    </cfRule>
  </conditionalFormatting>
  <conditionalFormatting sqref="Y151">
    <cfRule type="cellIs" dxfId="1740" priority="2576" operator="equal">
      <formula>0</formula>
    </cfRule>
  </conditionalFormatting>
  <conditionalFormatting sqref="Y153">
    <cfRule type="cellIs" dxfId="1739" priority="2575" operator="equal">
      <formula>0</formula>
    </cfRule>
  </conditionalFormatting>
  <conditionalFormatting sqref="Y156 Y158">
    <cfRule type="cellIs" dxfId="1738" priority="2574" operator="lessThanOrEqual">
      <formula>0</formula>
    </cfRule>
  </conditionalFormatting>
  <conditionalFormatting sqref="Y154">
    <cfRule type="cellIs" dxfId="1737" priority="2573" operator="lessThanOrEqual">
      <formula>0</formula>
    </cfRule>
  </conditionalFormatting>
  <conditionalFormatting sqref="Y155">
    <cfRule type="cellIs" dxfId="1736" priority="2572" operator="equal">
      <formula>0</formula>
    </cfRule>
  </conditionalFormatting>
  <conditionalFormatting sqref="Y157">
    <cfRule type="cellIs" dxfId="1735" priority="2571" operator="equal">
      <formula>0</formula>
    </cfRule>
  </conditionalFormatting>
  <conditionalFormatting sqref="Y159">
    <cfRule type="cellIs" dxfId="1734" priority="2570" operator="equal">
      <formula>0</formula>
    </cfRule>
  </conditionalFormatting>
  <conditionalFormatting sqref="Y162 Y164">
    <cfRule type="cellIs" dxfId="1733" priority="2569" operator="lessThanOrEqual">
      <formula>0</formula>
    </cfRule>
  </conditionalFormatting>
  <conditionalFormatting sqref="Y160">
    <cfRule type="cellIs" dxfId="1732" priority="2568" operator="lessThanOrEqual">
      <formula>0</formula>
    </cfRule>
  </conditionalFormatting>
  <conditionalFormatting sqref="Y161">
    <cfRule type="cellIs" dxfId="1731" priority="2567" operator="equal">
      <formula>0</formula>
    </cfRule>
  </conditionalFormatting>
  <conditionalFormatting sqref="Y163">
    <cfRule type="cellIs" dxfId="1730" priority="2566" operator="equal">
      <formula>0</formula>
    </cfRule>
  </conditionalFormatting>
  <conditionalFormatting sqref="Y165">
    <cfRule type="cellIs" dxfId="1729" priority="2565" operator="equal">
      <formula>0</formula>
    </cfRule>
  </conditionalFormatting>
  <conditionalFormatting sqref="W65">
    <cfRule type="cellIs" dxfId="1728" priority="2107" operator="lessThan">
      <formula>W64</formula>
    </cfRule>
    <cfRule type="cellIs" dxfId="1727" priority="2533" operator="equal">
      <formula>0</formula>
    </cfRule>
  </conditionalFormatting>
  <conditionalFormatting sqref="W64">
    <cfRule type="cellIs" dxfId="1726" priority="2108" operator="lessThan">
      <formula>W65</formula>
    </cfRule>
    <cfRule type="cellIs" dxfId="1725" priority="2526" operator="equal">
      <formula>0</formula>
    </cfRule>
    <cfRule type="cellIs" dxfId="1724" priority="2527" operator="lessThan">
      <formula>W65</formula>
    </cfRule>
    <cfRule type="cellIs" dxfId="1723" priority="2532" operator="lessThan">
      <formula>0</formula>
    </cfRule>
  </conditionalFormatting>
  <conditionalFormatting sqref="W67">
    <cfRule type="cellIs" dxfId="1722" priority="2531" operator="equal">
      <formula>0</formula>
    </cfRule>
  </conditionalFormatting>
  <conditionalFormatting sqref="W66">
    <cfRule type="cellIs" dxfId="1721" priority="2524" operator="equal">
      <formula>0</formula>
    </cfRule>
    <cfRule type="cellIs" dxfId="1720" priority="2525" operator="lessThan">
      <formula>W67</formula>
    </cfRule>
    <cfRule type="cellIs" dxfId="1719" priority="2530" operator="lessThan">
      <formula>0</formula>
    </cfRule>
  </conditionalFormatting>
  <conditionalFormatting sqref="W68">
    <cfRule type="cellIs" dxfId="1718" priority="2523" operator="equal">
      <formula>0</formula>
    </cfRule>
    <cfRule type="cellIs" dxfId="1717" priority="2528" operator="lessThan">
      <formula>W69</formula>
    </cfRule>
  </conditionalFormatting>
  <conditionalFormatting sqref="W73">
    <cfRule type="cellIs" dxfId="1716" priority="2519" operator="equal">
      <formula>0</formula>
    </cfRule>
  </conditionalFormatting>
  <conditionalFormatting sqref="W72">
    <cfRule type="cellIs" dxfId="1715" priority="2512" operator="equal">
      <formula>0</formula>
    </cfRule>
    <cfRule type="cellIs" dxfId="1714" priority="2513" operator="lessThan">
      <formula>W73</formula>
    </cfRule>
    <cfRule type="cellIs" dxfId="1713" priority="2518" operator="lessThan">
      <formula>0</formula>
    </cfRule>
  </conditionalFormatting>
  <conditionalFormatting sqref="W74">
    <cfRule type="cellIs" dxfId="1712" priority="2511" operator="equal">
      <formula>0</formula>
    </cfRule>
    <cfRule type="cellIs" dxfId="1711" priority="2516" operator="lessThan">
      <formula>W75</formula>
    </cfRule>
  </conditionalFormatting>
  <conditionalFormatting sqref="W79">
    <cfRule type="cellIs" dxfId="1710" priority="2507" operator="equal">
      <formula>0</formula>
    </cfRule>
  </conditionalFormatting>
  <conditionalFormatting sqref="W78">
    <cfRule type="cellIs" dxfId="1709" priority="2500" operator="equal">
      <formula>0</formula>
    </cfRule>
    <cfRule type="cellIs" dxfId="1708" priority="2501" operator="lessThan">
      <formula>W79</formula>
    </cfRule>
    <cfRule type="cellIs" dxfId="1707" priority="2506" operator="lessThan">
      <formula>0</formula>
    </cfRule>
  </conditionalFormatting>
  <conditionalFormatting sqref="W80">
    <cfRule type="cellIs" dxfId="1706" priority="2499" operator="equal">
      <formula>0</formula>
    </cfRule>
    <cfRule type="cellIs" dxfId="1705" priority="2504" operator="lessThan">
      <formula>W81</formula>
    </cfRule>
  </conditionalFormatting>
  <conditionalFormatting sqref="W81">
    <cfRule type="cellIs" dxfId="1704" priority="2498" operator="equal">
      <formula>0</formula>
    </cfRule>
    <cfRule type="cellIs" dxfId="1703" priority="2505" operator="greaterThan">
      <formula>W80</formula>
    </cfRule>
  </conditionalFormatting>
  <conditionalFormatting sqref="W85">
    <cfRule type="cellIs" dxfId="1702" priority="2495" operator="equal">
      <formula>0</formula>
    </cfRule>
  </conditionalFormatting>
  <conditionalFormatting sqref="W84">
    <cfRule type="cellIs" dxfId="1701" priority="2488" operator="equal">
      <formula>0</formula>
    </cfRule>
    <cfRule type="cellIs" dxfId="1700" priority="2489" operator="lessThan">
      <formula>W85</formula>
    </cfRule>
    <cfRule type="cellIs" dxfId="1699" priority="2494" operator="lessThan">
      <formula>0</formula>
    </cfRule>
  </conditionalFormatting>
  <conditionalFormatting sqref="W86">
    <cfRule type="cellIs" dxfId="1698" priority="2487" operator="equal">
      <formula>0</formula>
    </cfRule>
    <cfRule type="cellIs" dxfId="1697" priority="2492" operator="lessThan">
      <formula>W87</formula>
    </cfRule>
  </conditionalFormatting>
  <conditionalFormatting sqref="W87">
    <cfRule type="cellIs" dxfId="1696" priority="2486" operator="equal">
      <formula>0</formula>
    </cfRule>
    <cfRule type="cellIs" dxfId="1695" priority="2493" operator="greaterThan">
      <formula>W86</formula>
    </cfRule>
  </conditionalFormatting>
  <conditionalFormatting sqref="W91">
    <cfRule type="cellIs" dxfId="1694" priority="2483" operator="equal">
      <formula>0</formula>
    </cfRule>
  </conditionalFormatting>
  <conditionalFormatting sqref="W90">
    <cfRule type="cellIs" dxfId="1693" priority="2476" operator="equal">
      <formula>0</formula>
    </cfRule>
    <cfRule type="cellIs" dxfId="1692" priority="2477" operator="lessThan">
      <formula>W91</formula>
    </cfRule>
    <cfRule type="cellIs" dxfId="1691" priority="2482" operator="lessThan">
      <formula>0</formula>
    </cfRule>
  </conditionalFormatting>
  <conditionalFormatting sqref="W92">
    <cfRule type="cellIs" dxfId="1690" priority="2475" operator="equal">
      <formula>0</formula>
    </cfRule>
    <cfRule type="cellIs" dxfId="1689" priority="2480" operator="lessThan">
      <formula>W93</formula>
    </cfRule>
  </conditionalFormatting>
  <conditionalFormatting sqref="W93">
    <cfRule type="cellIs" dxfId="1688" priority="2474" operator="equal">
      <formula>0</formula>
    </cfRule>
    <cfRule type="cellIs" dxfId="1687" priority="2481" operator="greaterThan">
      <formula>W92</formula>
    </cfRule>
  </conditionalFormatting>
  <conditionalFormatting sqref="W97">
    <cfRule type="cellIs" dxfId="1686" priority="2471" operator="equal">
      <formula>0</formula>
    </cfRule>
  </conditionalFormatting>
  <conditionalFormatting sqref="W96">
    <cfRule type="cellIs" dxfId="1685" priority="2464" operator="equal">
      <formula>0</formula>
    </cfRule>
    <cfRule type="cellIs" dxfId="1684" priority="2465" operator="lessThan">
      <formula>W97</formula>
    </cfRule>
    <cfRule type="cellIs" dxfId="1683" priority="2470" operator="lessThan">
      <formula>0</formula>
    </cfRule>
  </conditionalFormatting>
  <conditionalFormatting sqref="W98">
    <cfRule type="cellIs" dxfId="1682" priority="2463" operator="equal">
      <formula>0</formula>
    </cfRule>
    <cfRule type="cellIs" dxfId="1681" priority="2468" operator="lessThan">
      <formula>W99</formula>
    </cfRule>
  </conditionalFormatting>
  <conditionalFormatting sqref="W99">
    <cfRule type="cellIs" dxfId="1680" priority="2462" operator="equal">
      <formula>0</formula>
    </cfRule>
    <cfRule type="cellIs" dxfId="1679" priority="2469" operator="greaterThan">
      <formula>W98</formula>
    </cfRule>
  </conditionalFormatting>
  <conditionalFormatting sqref="W103">
    <cfRule type="cellIs" dxfId="1678" priority="2459" operator="equal">
      <formula>0</formula>
    </cfRule>
  </conditionalFormatting>
  <conditionalFormatting sqref="W102">
    <cfRule type="cellIs" dxfId="1677" priority="2452" operator="equal">
      <formula>0</formula>
    </cfRule>
    <cfRule type="cellIs" dxfId="1676" priority="2453" operator="lessThan">
      <formula>W103</formula>
    </cfRule>
    <cfRule type="cellIs" dxfId="1675" priority="2458" operator="lessThan">
      <formula>0</formula>
    </cfRule>
  </conditionalFormatting>
  <conditionalFormatting sqref="W104">
    <cfRule type="cellIs" dxfId="1674" priority="2451" operator="equal">
      <formula>0</formula>
    </cfRule>
    <cfRule type="cellIs" dxfId="1673" priority="2456" operator="lessThan">
      <formula>W105</formula>
    </cfRule>
  </conditionalFormatting>
  <conditionalFormatting sqref="W105">
    <cfRule type="cellIs" dxfId="1672" priority="2450" operator="equal">
      <formula>0</formula>
    </cfRule>
    <cfRule type="cellIs" dxfId="1671" priority="2457" operator="greaterThan">
      <formula>W104</formula>
    </cfRule>
  </conditionalFormatting>
  <conditionalFormatting sqref="W109">
    <cfRule type="cellIs" dxfId="1670" priority="2447" operator="equal">
      <formula>0</formula>
    </cfRule>
  </conditionalFormatting>
  <conditionalFormatting sqref="W108">
    <cfRule type="cellIs" dxfId="1669" priority="2440" operator="equal">
      <formula>0</formula>
    </cfRule>
    <cfRule type="cellIs" dxfId="1668" priority="2441" operator="lessThan">
      <formula>W109</formula>
    </cfRule>
    <cfRule type="cellIs" dxfId="1667" priority="2446" operator="lessThan">
      <formula>0</formula>
    </cfRule>
  </conditionalFormatting>
  <conditionalFormatting sqref="W110">
    <cfRule type="cellIs" dxfId="1666" priority="2439" operator="equal">
      <formula>0</formula>
    </cfRule>
    <cfRule type="cellIs" dxfId="1665" priority="2444" operator="lessThan">
      <formula>W111</formula>
    </cfRule>
  </conditionalFormatting>
  <conditionalFormatting sqref="W111">
    <cfRule type="cellIs" dxfId="1664" priority="2438" operator="equal">
      <formula>0</formula>
    </cfRule>
    <cfRule type="cellIs" dxfId="1663" priority="2445" operator="greaterThan">
      <formula>W110</formula>
    </cfRule>
  </conditionalFormatting>
  <conditionalFormatting sqref="W115">
    <cfRule type="cellIs" dxfId="1662" priority="2435" operator="equal">
      <formula>0</formula>
    </cfRule>
  </conditionalFormatting>
  <conditionalFormatting sqref="W114">
    <cfRule type="cellIs" dxfId="1661" priority="2428" operator="equal">
      <formula>0</formula>
    </cfRule>
    <cfRule type="cellIs" dxfId="1660" priority="2429" operator="lessThan">
      <formula>W115</formula>
    </cfRule>
    <cfRule type="cellIs" dxfId="1659" priority="2434" operator="lessThan">
      <formula>0</formula>
    </cfRule>
  </conditionalFormatting>
  <conditionalFormatting sqref="W116">
    <cfRule type="cellIs" dxfId="1658" priority="2427" operator="equal">
      <formula>0</formula>
    </cfRule>
    <cfRule type="cellIs" dxfId="1657" priority="2432" operator="lessThan">
      <formula>W117</formula>
    </cfRule>
  </conditionalFormatting>
  <conditionalFormatting sqref="W117">
    <cfRule type="cellIs" dxfId="1656" priority="2426" operator="equal">
      <formula>0</formula>
    </cfRule>
    <cfRule type="cellIs" dxfId="1655" priority="2433" operator="greaterThan">
      <formula>W116</formula>
    </cfRule>
  </conditionalFormatting>
  <conditionalFormatting sqref="W121">
    <cfRule type="cellIs" dxfId="1654" priority="2423" operator="equal">
      <formula>0</formula>
    </cfRule>
  </conditionalFormatting>
  <conditionalFormatting sqref="W120">
    <cfRule type="cellIs" dxfId="1653" priority="2416" operator="equal">
      <formula>0</formula>
    </cfRule>
    <cfRule type="cellIs" dxfId="1652" priority="2417" operator="lessThan">
      <formula>W121</formula>
    </cfRule>
    <cfRule type="cellIs" dxfId="1651" priority="2422" operator="lessThan">
      <formula>0</formula>
    </cfRule>
  </conditionalFormatting>
  <conditionalFormatting sqref="W122">
    <cfRule type="cellIs" dxfId="1650" priority="2415" operator="equal">
      <formula>0</formula>
    </cfRule>
    <cfRule type="cellIs" dxfId="1649" priority="2420" operator="lessThan">
      <formula>W123</formula>
    </cfRule>
  </conditionalFormatting>
  <conditionalFormatting sqref="W123">
    <cfRule type="cellIs" dxfId="1648" priority="2414" operator="equal">
      <formula>0</formula>
    </cfRule>
    <cfRule type="cellIs" dxfId="1647" priority="2421" operator="greaterThan">
      <formula>W122</formula>
    </cfRule>
  </conditionalFormatting>
  <conditionalFormatting sqref="W127">
    <cfRule type="cellIs" dxfId="1646" priority="2411" operator="equal">
      <formula>0</formula>
    </cfRule>
  </conditionalFormatting>
  <conditionalFormatting sqref="W126">
    <cfRule type="cellIs" dxfId="1645" priority="2404" operator="equal">
      <formula>0</formula>
    </cfRule>
    <cfRule type="cellIs" dxfId="1644" priority="2405" operator="lessThan">
      <formula>W127</formula>
    </cfRule>
    <cfRule type="cellIs" dxfId="1643" priority="2410" operator="lessThan">
      <formula>0</formula>
    </cfRule>
  </conditionalFormatting>
  <conditionalFormatting sqref="W128">
    <cfRule type="cellIs" dxfId="1642" priority="2403" operator="equal">
      <formula>0</formula>
    </cfRule>
    <cfRule type="cellIs" dxfId="1641" priority="2408" operator="lessThan">
      <formula>W129</formula>
    </cfRule>
  </conditionalFormatting>
  <conditionalFormatting sqref="W129">
    <cfRule type="cellIs" dxfId="1640" priority="2402" operator="equal">
      <formula>0</formula>
    </cfRule>
    <cfRule type="cellIs" dxfId="1639" priority="2409" operator="greaterThan">
      <formula>W128</formula>
    </cfRule>
  </conditionalFormatting>
  <conditionalFormatting sqref="W133">
    <cfRule type="cellIs" dxfId="1638" priority="2399" operator="equal">
      <formula>0</formula>
    </cfRule>
  </conditionalFormatting>
  <conditionalFormatting sqref="W132">
    <cfRule type="cellIs" dxfId="1637" priority="2392" operator="equal">
      <formula>0</formula>
    </cfRule>
    <cfRule type="cellIs" dxfId="1636" priority="2393" operator="lessThan">
      <formula>W133</formula>
    </cfRule>
    <cfRule type="cellIs" dxfId="1635" priority="2398" operator="lessThan">
      <formula>0</formula>
    </cfRule>
  </conditionalFormatting>
  <conditionalFormatting sqref="W134">
    <cfRule type="cellIs" dxfId="1634" priority="2391" operator="equal">
      <formula>0</formula>
    </cfRule>
    <cfRule type="cellIs" dxfId="1633" priority="2396" operator="lessThan">
      <formula>W135</formula>
    </cfRule>
  </conditionalFormatting>
  <conditionalFormatting sqref="W135">
    <cfRule type="cellIs" dxfId="1632" priority="2390" operator="equal">
      <formula>0</formula>
    </cfRule>
    <cfRule type="cellIs" dxfId="1631" priority="2397" operator="greaterThan">
      <formula>W134</formula>
    </cfRule>
  </conditionalFormatting>
  <conditionalFormatting sqref="W139">
    <cfRule type="cellIs" dxfId="1630" priority="2387" operator="equal">
      <formula>0</formula>
    </cfRule>
  </conditionalFormatting>
  <conditionalFormatting sqref="W138">
    <cfRule type="cellIs" dxfId="1629" priority="2380" operator="equal">
      <formula>0</formula>
    </cfRule>
    <cfRule type="cellIs" dxfId="1628" priority="2381" operator="lessThan">
      <formula>W139</formula>
    </cfRule>
    <cfRule type="cellIs" dxfId="1627" priority="2386" operator="lessThan">
      <formula>0</formula>
    </cfRule>
  </conditionalFormatting>
  <conditionalFormatting sqref="W140">
    <cfRule type="cellIs" dxfId="1626" priority="2379" operator="equal">
      <formula>0</formula>
    </cfRule>
    <cfRule type="cellIs" dxfId="1625" priority="2384" operator="lessThan">
      <formula>W141</formula>
    </cfRule>
  </conditionalFormatting>
  <conditionalFormatting sqref="W141">
    <cfRule type="cellIs" dxfId="1624" priority="2378" operator="equal">
      <formula>0</formula>
    </cfRule>
    <cfRule type="cellIs" dxfId="1623" priority="2385" operator="greaterThan">
      <formula>W140</formula>
    </cfRule>
  </conditionalFormatting>
  <conditionalFormatting sqref="W145">
    <cfRule type="cellIs" dxfId="1622" priority="2375" operator="equal">
      <formula>0</formula>
    </cfRule>
  </conditionalFormatting>
  <conditionalFormatting sqref="W144">
    <cfRule type="cellIs" dxfId="1621" priority="2368" operator="equal">
      <formula>0</formula>
    </cfRule>
    <cfRule type="cellIs" dxfId="1620" priority="2369" operator="lessThan">
      <formula>W145</formula>
    </cfRule>
    <cfRule type="cellIs" dxfId="1619" priority="2374" operator="lessThan">
      <formula>0</formula>
    </cfRule>
  </conditionalFormatting>
  <conditionalFormatting sqref="W146">
    <cfRule type="cellIs" dxfId="1618" priority="2367" operator="equal">
      <formula>0</formula>
    </cfRule>
    <cfRule type="cellIs" dxfId="1617" priority="2372" operator="lessThan">
      <formula>W147</formula>
    </cfRule>
  </conditionalFormatting>
  <conditionalFormatting sqref="W147">
    <cfRule type="cellIs" dxfId="1616" priority="2366" operator="equal">
      <formula>0</formula>
    </cfRule>
    <cfRule type="cellIs" dxfId="1615" priority="2373" operator="greaterThan">
      <formula>W146</formula>
    </cfRule>
  </conditionalFormatting>
  <conditionalFormatting sqref="W149">
    <cfRule type="cellIs" dxfId="1614" priority="2365" operator="equal">
      <formula>0</formula>
    </cfRule>
  </conditionalFormatting>
  <conditionalFormatting sqref="W148">
    <cfRule type="cellIs" dxfId="1613" priority="2358" operator="equal">
      <formula>0</formula>
    </cfRule>
    <cfRule type="cellIs" dxfId="1612" priority="2359" operator="lessThan">
      <formula>W149</formula>
    </cfRule>
    <cfRule type="cellIs" dxfId="1611" priority="2364" operator="lessThan">
      <formula>0</formula>
    </cfRule>
  </conditionalFormatting>
  <conditionalFormatting sqref="W151">
    <cfRule type="cellIs" dxfId="1610" priority="2363" operator="equal">
      <formula>0</formula>
    </cfRule>
  </conditionalFormatting>
  <conditionalFormatting sqref="W150">
    <cfRule type="cellIs" dxfId="1609" priority="2356" operator="equal">
      <formula>0</formula>
    </cfRule>
    <cfRule type="cellIs" dxfId="1608" priority="2357" operator="lessThan">
      <formula>W151</formula>
    </cfRule>
    <cfRule type="cellIs" dxfId="1607" priority="2362" operator="lessThan">
      <formula>0</formula>
    </cfRule>
  </conditionalFormatting>
  <conditionalFormatting sqref="W152">
    <cfRule type="cellIs" dxfId="1606" priority="2355" operator="equal">
      <formula>0</formula>
    </cfRule>
    <cfRule type="cellIs" dxfId="1605" priority="2360" operator="lessThan">
      <formula>W153</formula>
    </cfRule>
  </conditionalFormatting>
  <conditionalFormatting sqref="W153">
    <cfRule type="cellIs" dxfId="1604" priority="2354" operator="equal">
      <formula>0</formula>
    </cfRule>
    <cfRule type="cellIs" dxfId="1603" priority="2361" operator="greaterThan">
      <formula>W152</formula>
    </cfRule>
  </conditionalFormatting>
  <conditionalFormatting sqref="W155">
    <cfRule type="cellIs" dxfId="1602" priority="2353" operator="equal">
      <formula>0</formula>
    </cfRule>
  </conditionalFormatting>
  <conditionalFormatting sqref="W154">
    <cfRule type="cellIs" dxfId="1601" priority="2346" operator="equal">
      <formula>0</formula>
    </cfRule>
    <cfRule type="cellIs" dxfId="1600" priority="2347" operator="lessThan">
      <formula>W155</formula>
    </cfRule>
    <cfRule type="cellIs" dxfId="1599" priority="2352" operator="lessThan">
      <formula>0</formula>
    </cfRule>
  </conditionalFormatting>
  <conditionalFormatting sqref="W157">
    <cfRule type="cellIs" dxfId="1598" priority="2351" operator="equal">
      <formula>0</formula>
    </cfRule>
  </conditionalFormatting>
  <conditionalFormatting sqref="W156">
    <cfRule type="cellIs" dxfId="1597" priority="2344" operator="equal">
      <formula>0</formula>
    </cfRule>
    <cfRule type="cellIs" dxfId="1596" priority="2345" operator="lessThan">
      <formula>W157</formula>
    </cfRule>
    <cfRule type="cellIs" dxfId="1595" priority="2350" operator="lessThan">
      <formula>0</formula>
    </cfRule>
  </conditionalFormatting>
  <conditionalFormatting sqref="W158">
    <cfRule type="cellIs" dxfId="1594" priority="2343" operator="equal">
      <formula>0</formula>
    </cfRule>
    <cfRule type="cellIs" dxfId="1593" priority="2348" operator="lessThan">
      <formula>W159</formula>
    </cfRule>
  </conditionalFormatting>
  <conditionalFormatting sqref="W159">
    <cfRule type="cellIs" dxfId="1592" priority="2342" operator="equal">
      <formula>0</formula>
    </cfRule>
    <cfRule type="cellIs" dxfId="1591" priority="2349" operator="greaterThan">
      <formula>W158</formula>
    </cfRule>
  </conditionalFormatting>
  <conditionalFormatting sqref="W161">
    <cfRule type="cellIs" dxfId="1590" priority="2341" operator="equal">
      <formula>0</formula>
    </cfRule>
  </conditionalFormatting>
  <conditionalFormatting sqref="W160">
    <cfRule type="cellIs" dxfId="1589" priority="2334" operator="equal">
      <formula>0</formula>
    </cfRule>
    <cfRule type="cellIs" dxfId="1588" priority="2335" operator="lessThan">
      <formula>W161</formula>
    </cfRule>
    <cfRule type="cellIs" dxfId="1587" priority="2340" operator="lessThan">
      <formula>0</formula>
    </cfRule>
  </conditionalFormatting>
  <conditionalFormatting sqref="W163">
    <cfRule type="cellIs" dxfId="1586" priority="2339" operator="equal">
      <formula>0</formula>
    </cfRule>
  </conditionalFormatting>
  <conditionalFormatting sqref="W162">
    <cfRule type="cellIs" dxfId="1585" priority="2332" operator="equal">
      <formula>0</formula>
    </cfRule>
    <cfRule type="cellIs" dxfId="1584" priority="2333" operator="lessThan">
      <formula>W163</formula>
    </cfRule>
    <cfRule type="cellIs" dxfId="1583" priority="2338" operator="lessThan">
      <formula>0</formula>
    </cfRule>
  </conditionalFormatting>
  <conditionalFormatting sqref="W164">
    <cfRule type="cellIs" dxfId="1582" priority="2331" operator="equal">
      <formula>0</formula>
    </cfRule>
    <cfRule type="cellIs" dxfId="1581" priority="2336" operator="lessThan">
      <formula>W165</formula>
    </cfRule>
  </conditionalFormatting>
  <conditionalFormatting sqref="W165">
    <cfRule type="cellIs" dxfId="1580" priority="2330" operator="equal">
      <formula>0</formula>
    </cfRule>
    <cfRule type="cellIs" dxfId="1579" priority="2337" operator="greaterThan">
      <formula>W164</formula>
    </cfRule>
  </conditionalFormatting>
  <conditionalFormatting sqref="X64">
    <cfRule type="expression" dxfId="1578" priority="2316">
      <formula>F64/100&lt;X64</formula>
    </cfRule>
    <cfRule type="expression" dxfId="1577" priority="2317">
      <formula>X64&lt;F64/100</formula>
    </cfRule>
  </conditionalFormatting>
  <conditionalFormatting sqref="X65">
    <cfRule type="expression" dxfId="1576" priority="2314">
      <formula>F65/100&lt;X65</formula>
    </cfRule>
    <cfRule type="expression" dxfId="1575" priority="2315">
      <formula>X65&lt;F65/100</formula>
    </cfRule>
  </conditionalFormatting>
  <conditionalFormatting sqref="X66">
    <cfRule type="expression" dxfId="1574" priority="2312">
      <formula>F66/100&lt;X66</formula>
    </cfRule>
    <cfRule type="expression" dxfId="1573" priority="2313">
      <formula>X66&lt;F66/100</formula>
    </cfRule>
  </conditionalFormatting>
  <conditionalFormatting sqref="X67">
    <cfRule type="expression" dxfId="1572" priority="2310">
      <formula>F67/100&lt;X67</formula>
    </cfRule>
    <cfRule type="expression" dxfId="1571" priority="2311">
      <formula>X67&lt;F67/100</formula>
    </cfRule>
  </conditionalFormatting>
  <conditionalFormatting sqref="X68">
    <cfRule type="expression" dxfId="1570" priority="2308">
      <formula>F68/100&lt;X68</formula>
    </cfRule>
    <cfRule type="expression" dxfId="1569" priority="2309">
      <formula>X68&lt;F68/100</formula>
    </cfRule>
  </conditionalFormatting>
  <conditionalFormatting sqref="X69">
    <cfRule type="expression" dxfId="1568" priority="2306">
      <formula>F69/100&lt;X69</formula>
    </cfRule>
    <cfRule type="expression" dxfId="1567" priority="2307">
      <formula>X69&lt;F69/100</formula>
    </cfRule>
  </conditionalFormatting>
  <conditionalFormatting sqref="X70">
    <cfRule type="expression" dxfId="1566" priority="2304">
      <formula>F70/100&lt;X70</formula>
    </cfRule>
    <cfRule type="expression" dxfId="1565" priority="2305">
      <formula>X70&lt;F70/100</formula>
    </cfRule>
  </conditionalFormatting>
  <conditionalFormatting sqref="X71">
    <cfRule type="expression" dxfId="1564" priority="2302">
      <formula>F71/100&lt;X71</formula>
    </cfRule>
    <cfRule type="expression" dxfId="1563" priority="2303">
      <formula>X71&lt;F71/100</formula>
    </cfRule>
  </conditionalFormatting>
  <conditionalFormatting sqref="X72">
    <cfRule type="expression" dxfId="1562" priority="2300">
      <formula>F72/100&lt;X72</formula>
    </cfRule>
    <cfRule type="expression" dxfId="1561" priority="2301">
      <formula>X72&lt;F72/100</formula>
    </cfRule>
  </conditionalFormatting>
  <conditionalFormatting sqref="X73">
    <cfRule type="expression" dxfId="1560" priority="2298">
      <formula>F73/100&lt;X73</formula>
    </cfRule>
    <cfRule type="expression" dxfId="1559" priority="2299">
      <formula>X73&lt;F73/100</formula>
    </cfRule>
  </conditionalFormatting>
  <conditionalFormatting sqref="X74">
    <cfRule type="expression" dxfId="1558" priority="2296">
      <formula>F74/100&lt;X74</formula>
    </cfRule>
    <cfRule type="expression" dxfId="1557" priority="2297">
      <formula>X74&lt;F74/100</formula>
    </cfRule>
  </conditionalFormatting>
  <conditionalFormatting sqref="X75">
    <cfRule type="expression" dxfId="1556" priority="2294">
      <formula>F75/100&lt;X75</formula>
    </cfRule>
    <cfRule type="expression" dxfId="1555" priority="2295">
      <formula>X75&lt;F75/100</formula>
    </cfRule>
  </conditionalFormatting>
  <conditionalFormatting sqref="X76">
    <cfRule type="expression" dxfId="1554" priority="2292">
      <formula>F76/100&lt;X76</formula>
    </cfRule>
    <cfRule type="expression" dxfId="1553" priority="2293">
      <formula>X76&lt;F76/100</formula>
    </cfRule>
  </conditionalFormatting>
  <conditionalFormatting sqref="X77">
    <cfRule type="expression" dxfId="1552" priority="2290">
      <formula>F77/100&lt;X77</formula>
    </cfRule>
    <cfRule type="expression" dxfId="1551" priority="2291">
      <formula>X77&lt;F77/100</formula>
    </cfRule>
  </conditionalFormatting>
  <conditionalFormatting sqref="X78">
    <cfRule type="expression" dxfId="1550" priority="2288">
      <formula>F78/100&lt;X78</formula>
    </cfRule>
    <cfRule type="expression" dxfId="1549" priority="2289">
      <formula>X78&lt;F78/100</formula>
    </cfRule>
  </conditionalFormatting>
  <conditionalFormatting sqref="X79">
    <cfRule type="expression" dxfId="1548" priority="2286">
      <formula>F79/100&lt;X79</formula>
    </cfRule>
    <cfRule type="expression" dxfId="1547" priority="2287">
      <formula>X79&lt;F79/100</formula>
    </cfRule>
  </conditionalFormatting>
  <conditionalFormatting sqref="X80">
    <cfRule type="expression" dxfId="1546" priority="2284">
      <formula>F80/100&lt;X80</formula>
    </cfRule>
    <cfRule type="expression" dxfId="1545" priority="2285">
      <formula>X80&lt;F80/100</formula>
    </cfRule>
  </conditionalFormatting>
  <conditionalFormatting sqref="X81">
    <cfRule type="expression" dxfId="1544" priority="2282">
      <formula>F81/100&lt;X81</formula>
    </cfRule>
    <cfRule type="expression" dxfId="1543" priority="2283">
      <formula>X81&lt;F81/100</formula>
    </cfRule>
  </conditionalFormatting>
  <conditionalFormatting sqref="X82">
    <cfRule type="expression" dxfId="1542" priority="2280">
      <formula>F82/100&lt;X82</formula>
    </cfRule>
    <cfRule type="expression" dxfId="1541" priority="2281">
      <formula>X82&lt;F82/100</formula>
    </cfRule>
  </conditionalFormatting>
  <conditionalFormatting sqref="X83">
    <cfRule type="expression" dxfId="1540" priority="2278">
      <formula>F83/100&lt;X83</formula>
    </cfRule>
    <cfRule type="expression" dxfId="1539" priority="2279">
      <formula>X83&lt;F83/100</formula>
    </cfRule>
  </conditionalFormatting>
  <conditionalFormatting sqref="X84">
    <cfRule type="expression" dxfId="1538" priority="2276">
      <formula>F84/100&lt;X84</formula>
    </cfRule>
    <cfRule type="expression" dxfId="1537" priority="2277">
      <formula>X84&lt;F84/100</formula>
    </cfRule>
  </conditionalFormatting>
  <conditionalFormatting sqref="X85">
    <cfRule type="expression" dxfId="1536" priority="2274">
      <formula>F85/100&lt;X85</formula>
    </cfRule>
    <cfRule type="expression" dxfId="1535" priority="2275">
      <formula>X85&lt;F85/100</formula>
    </cfRule>
  </conditionalFormatting>
  <conditionalFormatting sqref="X86">
    <cfRule type="expression" dxfId="1534" priority="2272">
      <formula>F86/100&lt;X86</formula>
    </cfRule>
    <cfRule type="expression" dxfId="1533" priority="2273">
      <formula>X86&lt;F86/100</formula>
    </cfRule>
  </conditionalFormatting>
  <conditionalFormatting sqref="X87">
    <cfRule type="expression" dxfId="1532" priority="2270">
      <formula>F87/100&lt;X87</formula>
    </cfRule>
    <cfRule type="expression" dxfId="1531" priority="2271">
      <formula>X87&lt;F87/100</formula>
    </cfRule>
  </conditionalFormatting>
  <conditionalFormatting sqref="X88">
    <cfRule type="expression" dxfId="1530" priority="2268">
      <formula>F88/100&lt;X88</formula>
    </cfRule>
    <cfRule type="expression" dxfId="1529" priority="2269">
      <formula>X88&lt;F88/100</formula>
    </cfRule>
  </conditionalFormatting>
  <conditionalFormatting sqref="X89">
    <cfRule type="expression" dxfId="1528" priority="2266">
      <formula>F89/100&lt;X89</formula>
    </cfRule>
    <cfRule type="expression" dxfId="1527" priority="2267">
      <formula>X89&lt;F89/100</formula>
    </cfRule>
  </conditionalFormatting>
  <conditionalFormatting sqref="X90">
    <cfRule type="expression" dxfId="1526" priority="2264">
      <formula>F90/100&lt;X90</formula>
    </cfRule>
    <cfRule type="expression" dxfId="1525" priority="2265">
      <formula>X90&lt;F90/100</formula>
    </cfRule>
  </conditionalFormatting>
  <conditionalFormatting sqref="X91">
    <cfRule type="expression" dxfId="1524" priority="2262">
      <formula>F91/100&lt;X91</formula>
    </cfRule>
    <cfRule type="expression" dxfId="1523" priority="2263">
      <formula>X91&lt;F91/100</formula>
    </cfRule>
  </conditionalFormatting>
  <conditionalFormatting sqref="X92">
    <cfRule type="expression" dxfId="1522" priority="2260">
      <formula>F92/100&lt;X92</formula>
    </cfRule>
    <cfRule type="expression" dxfId="1521" priority="2261">
      <formula>X92&lt;F92/100</formula>
    </cfRule>
  </conditionalFormatting>
  <conditionalFormatting sqref="X93">
    <cfRule type="expression" dxfId="1520" priority="2258">
      <formula>F93/100&lt;X93</formula>
    </cfRule>
    <cfRule type="expression" dxfId="1519" priority="2259">
      <formula>X93&lt;F93/100</formula>
    </cfRule>
  </conditionalFormatting>
  <conditionalFormatting sqref="X94">
    <cfRule type="expression" dxfId="1518" priority="2256">
      <formula>F94/100&lt;X94</formula>
    </cfRule>
    <cfRule type="expression" dxfId="1517" priority="2257">
      <formula>X94&lt;F94/100</formula>
    </cfRule>
  </conditionalFormatting>
  <conditionalFormatting sqref="X95">
    <cfRule type="expression" dxfId="1516" priority="2254">
      <formula>F95/100&lt;X95</formula>
    </cfRule>
    <cfRule type="expression" dxfId="1515" priority="2255">
      <formula>X95&lt;F95/100</formula>
    </cfRule>
  </conditionalFormatting>
  <conditionalFormatting sqref="X96">
    <cfRule type="expression" dxfId="1514" priority="2252">
      <formula>F96/100&lt;X96</formula>
    </cfRule>
    <cfRule type="expression" dxfId="1513" priority="2253">
      <formula>X96&lt;F96/100</formula>
    </cfRule>
  </conditionalFormatting>
  <conditionalFormatting sqref="X97">
    <cfRule type="expression" dxfId="1512" priority="2250">
      <formula>F97/100&lt;X97</formula>
    </cfRule>
    <cfRule type="expression" dxfId="1511" priority="2251">
      <formula>X97&lt;F97/100</formula>
    </cfRule>
  </conditionalFormatting>
  <conditionalFormatting sqref="X98">
    <cfRule type="expression" dxfId="1510" priority="2248">
      <formula>F98/100&lt;X98</formula>
    </cfRule>
    <cfRule type="expression" dxfId="1509" priority="2249">
      <formula>X98&lt;F98/100</formula>
    </cfRule>
  </conditionalFormatting>
  <conditionalFormatting sqref="X99">
    <cfRule type="expression" dxfId="1508" priority="2246">
      <formula>F99/100&lt;X99</formula>
    </cfRule>
    <cfRule type="expression" dxfId="1507" priority="2247">
      <formula>X99&lt;F99/100</formula>
    </cfRule>
  </conditionalFormatting>
  <conditionalFormatting sqref="X100">
    <cfRule type="expression" dxfId="1506" priority="2244">
      <formula>F100/100&lt;X100</formula>
    </cfRule>
    <cfRule type="expression" dxfId="1505" priority="2245">
      <formula>X100&lt;F100/100</formula>
    </cfRule>
  </conditionalFormatting>
  <conditionalFormatting sqref="X101">
    <cfRule type="expression" dxfId="1504" priority="2242">
      <formula>F101/100&lt;X101</formula>
    </cfRule>
    <cfRule type="expression" dxfId="1503" priority="2243">
      <formula>X101&lt;F101/100</formula>
    </cfRule>
  </conditionalFormatting>
  <conditionalFormatting sqref="X102">
    <cfRule type="expression" dxfId="1502" priority="2240">
      <formula>F102/100&lt;X102</formula>
    </cfRule>
    <cfRule type="expression" dxfId="1501" priority="2241">
      <formula>X102&lt;F102/100</formula>
    </cfRule>
  </conditionalFormatting>
  <conditionalFormatting sqref="X103">
    <cfRule type="expression" dxfId="1500" priority="2238">
      <formula>F103/100&lt;X103</formula>
    </cfRule>
    <cfRule type="expression" dxfId="1499" priority="2239">
      <formula>X103&lt;F103/100</formula>
    </cfRule>
  </conditionalFormatting>
  <conditionalFormatting sqref="X104">
    <cfRule type="expression" dxfId="1498" priority="2236">
      <formula>F104/100&lt;X104</formula>
    </cfRule>
    <cfRule type="expression" dxfId="1497" priority="2237">
      <formula>X104&lt;F104/100</formula>
    </cfRule>
  </conditionalFormatting>
  <conditionalFormatting sqref="X105">
    <cfRule type="expression" dxfId="1496" priority="2234">
      <formula>F105/100&lt;X105</formula>
    </cfRule>
    <cfRule type="expression" dxfId="1495" priority="2235">
      <formula>X105&lt;F105/100</formula>
    </cfRule>
  </conditionalFormatting>
  <conditionalFormatting sqref="X106">
    <cfRule type="expression" dxfId="1494" priority="2232">
      <formula>F106/100&lt;X106</formula>
    </cfRule>
    <cfRule type="expression" dxfId="1493" priority="2233">
      <formula>X106&lt;F106/100</formula>
    </cfRule>
  </conditionalFormatting>
  <conditionalFormatting sqref="X107">
    <cfRule type="expression" dxfId="1492" priority="2230">
      <formula>F107/100&lt;X107</formula>
    </cfRule>
    <cfRule type="expression" dxfId="1491" priority="2231">
      <formula>X107&lt;F107/100</formula>
    </cfRule>
  </conditionalFormatting>
  <conditionalFormatting sqref="X108">
    <cfRule type="expression" dxfId="1490" priority="2228">
      <formula>F108/100&lt;X108</formula>
    </cfRule>
    <cfRule type="expression" dxfId="1489" priority="2229">
      <formula>X108&lt;F108/100</formula>
    </cfRule>
  </conditionalFormatting>
  <conditionalFormatting sqref="X109">
    <cfRule type="expression" dxfId="1488" priority="2226">
      <formula>F109/100&lt;X109</formula>
    </cfRule>
    <cfRule type="expression" dxfId="1487" priority="2227">
      <formula>X109&lt;F109/100</formula>
    </cfRule>
  </conditionalFormatting>
  <conditionalFormatting sqref="X110">
    <cfRule type="expression" dxfId="1486" priority="2224">
      <formula>F110/100&lt;X110</formula>
    </cfRule>
    <cfRule type="expression" dxfId="1485" priority="2225">
      <formula>X110&lt;F110/100</formula>
    </cfRule>
  </conditionalFormatting>
  <conditionalFormatting sqref="X111">
    <cfRule type="expression" dxfId="1484" priority="2222">
      <formula>F111/100&lt;X111</formula>
    </cfRule>
    <cfRule type="expression" dxfId="1483" priority="2223">
      <formula>X111&lt;F111/100</formula>
    </cfRule>
  </conditionalFormatting>
  <conditionalFormatting sqref="X112">
    <cfRule type="expression" dxfId="1482" priority="2220">
      <formula>F112/100&lt;X112</formula>
    </cfRule>
    <cfRule type="expression" dxfId="1481" priority="2221">
      <formula>X112&lt;F112/100</formula>
    </cfRule>
  </conditionalFormatting>
  <conditionalFormatting sqref="X113">
    <cfRule type="expression" dxfId="1480" priority="2218">
      <formula>F113/100&lt;X113</formula>
    </cfRule>
    <cfRule type="expression" dxfId="1479" priority="2219">
      <formula>X113&lt;F113/100</formula>
    </cfRule>
  </conditionalFormatting>
  <conditionalFormatting sqref="X114">
    <cfRule type="expression" dxfId="1478" priority="2216">
      <formula>F114/100&lt;X114</formula>
    </cfRule>
    <cfRule type="expression" dxfId="1477" priority="2217">
      <formula>X114&lt;F114/100</formula>
    </cfRule>
  </conditionalFormatting>
  <conditionalFormatting sqref="X115">
    <cfRule type="expression" dxfId="1476" priority="2214">
      <formula>F115/100&lt;X115</formula>
    </cfRule>
    <cfRule type="expression" dxfId="1475" priority="2215">
      <formula>X115&lt;F115/100</formula>
    </cfRule>
  </conditionalFormatting>
  <conditionalFormatting sqref="X116">
    <cfRule type="expression" dxfId="1474" priority="2212">
      <formula>F116/100&lt;X116</formula>
    </cfRule>
    <cfRule type="expression" dxfId="1473" priority="2213">
      <formula>X116&lt;F116/100</formula>
    </cfRule>
  </conditionalFormatting>
  <conditionalFormatting sqref="X117">
    <cfRule type="expression" dxfId="1472" priority="2210">
      <formula>F117/100&lt;X117</formula>
    </cfRule>
    <cfRule type="expression" dxfId="1471" priority="2211">
      <formula>X117&lt;F117/100</formula>
    </cfRule>
  </conditionalFormatting>
  <conditionalFormatting sqref="X118">
    <cfRule type="expression" dxfId="1470" priority="2208">
      <formula>F118/100&lt;X118</formula>
    </cfRule>
    <cfRule type="expression" dxfId="1469" priority="2209">
      <formula>X118&lt;F118/100</formula>
    </cfRule>
  </conditionalFormatting>
  <conditionalFormatting sqref="X119">
    <cfRule type="expression" dxfId="1468" priority="2206">
      <formula>F119/100&lt;X119</formula>
    </cfRule>
    <cfRule type="expression" dxfId="1467" priority="2207">
      <formula>X119&lt;F119/100</formula>
    </cfRule>
  </conditionalFormatting>
  <conditionalFormatting sqref="X120">
    <cfRule type="expression" dxfId="1466" priority="2204">
      <formula>F120/100&lt;X120</formula>
    </cfRule>
    <cfRule type="expression" dxfId="1465" priority="2205">
      <formula>X120&lt;F120/100</formula>
    </cfRule>
  </conditionalFormatting>
  <conditionalFormatting sqref="X121">
    <cfRule type="expression" dxfId="1464" priority="2202">
      <formula>F121/100&lt;X121</formula>
    </cfRule>
    <cfRule type="expression" dxfId="1463" priority="2203">
      <formula>X121&lt;F121/100</formula>
    </cfRule>
  </conditionalFormatting>
  <conditionalFormatting sqref="X122">
    <cfRule type="expression" dxfId="1462" priority="2200">
      <formula>F122/100&lt;X122</formula>
    </cfRule>
    <cfRule type="expression" dxfId="1461" priority="2201">
      <formula>X122&lt;F122/100</formula>
    </cfRule>
  </conditionalFormatting>
  <conditionalFormatting sqref="X123">
    <cfRule type="expression" dxfId="1460" priority="2198">
      <formula>F123/100&lt;X123</formula>
    </cfRule>
    <cfRule type="expression" dxfId="1459" priority="2199">
      <formula>X123&lt;F123/100</formula>
    </cfRule>
  </conditionalFormatting>
  <conditionalFormatting sqref="X124">
    <cfRule type="expression" dxfId="1458" priority="2196">
      <formula>F124/100&lt;X124</formula>
    </cfRule>
    <cfRule type="expression" dxfId="1457" priority="2197">
      <formula>X124&lt;F124/100</formula>
    </cfRule>
  </conditionalFormatting>
  <conditionalFormatting sqref="X125">
    <cfRule type="expression" dxfId="1456" priority="2194">
      <formula>F125/100&lt;X125</formula>
    </cfRule>
    <cfRule type="expression" dxfId="1455" priority="2195">
      <formula>X125&lt;F125/100</formula>
    </cfRule>
  </conditionalFormatting>
  <conditionalFormatting sqref="X126">
    <cfRule type="expression" dxfId="1454" priority="2192">
      <formula>F126/100&lt;X126</formula>
    </cfRule>
    <cfRule type="expression" dxfId="1453" priority="2193">
      <formula>X126&lt;F126/100</formula>
    </cfRule>
  </conditionalFormatting>
  <conditionalFormatting sqref="X127">
    <cfRule type="expression" dxfId="1452" priority="2190">
      <formula>F127/100&lt;X127</formula>
    </cfRule>
    <cfRule type="expression" dxfId="1451" priority="2191">
      <formula>X127&lt;F127/100</formula>
    </cfRule>
  </conditionalFormatting>
  <conditionalFormatting sqref="X128">
    <cfRule type="expression" dxfId="1450" priority="2188">
      <formula>F128/100&lt;X128</formula>
    </cfRule>
    <cfRule type="expression" dxfId="1449" priority="2189">
      <formula>X128&lt;F128/100</formula>
    </cfRule>
  </conditionalFormatting>
  <conditionalFormatting sqref="X129">
    <cfRule type="expression" dxfId="1448" priority="2186">
      <formula>F129/100&lt;X129</formula>
    </cfRule>
    <cfRule type="expression" dxfId="1447" priority="2187">
      <formula>X129&lt;F129/100</formula>
    </cfRule>
  </conditionalFormatting>
  <conditionalFormatting sqref="X130">
    <cfRule type="expression" dxfId="1446" priority="2184">
      <formula>F130/100&lt;X130</formula>
    </cfRule>
    <cfRule type="expression" dxfId="1445" priority="2185">
      <formula>X130&lt;F130/100</formula>
    </cfRule>
  </conditionalFormatting>
  <conditionalFormatting sqref="X131">
    <cfRule type="expression" dxfId="1444" priority="2182">
      <formula>F131/100&lt;X131</formula>
    </cfRule>
    <cfRule type="expression" dxfId="1443" priority="2183">
      <formula>X131&lt;F131/100</formula>
    </cfRule>
  </conditionalFormatting>
  <conditionalFormatting sqref="X132">
    <cfRule type="expression" dxfId="1442" priority="2180">
      <formula>F132/100&lt;X132</formula>
    </cfRule>
    <cfRule type="expression" dxfId="1441" priority="2181">
      <formula>X132&lt;F132/100</formula>
    </cfRule>
  </conditionalFormatting>
  <conditionalFormatting sqref="X133">
    <cfRule type="expression" dxfId="1440" priority="2178">
      <formula>F133/100&lt;X133</formula>
    </cfRule>
    <cfRule type="expression" dxfId="1439" priority="2179">
      <formula>X133&lt;F133/100</formula>
    </cfRule>
  </conditionalFormatting>
  <conditionalFormatting sqref="X134">
    <cfRule type="expression" dxfId="1438" priority="2176">
      <formula>F134/100&lt;X134</formula>
    </cfRule>
    <cfRule type="expression" dxfId="1437" priority="2177">
      <formula>X134&lt;F134/100</formula>
    </cfRule>
  </conditionalFormatting>
  <conditionalFormatting sqref="X135">
    <cfRule type="expression" dxfId="1436" priority="2174">
      <formula>F135/100&lt;X135</formula>
    </cfRule>
    <cfRule type="expression" dxfId="1435" priority="2175">
      <formula>X135&lt;F135/100</formula>
    </cfRule>
  </conditionalFormatting>
  <conditionalFormatting sqref="X136">
    <cfRule type="expression" dxfId="1434" priority="2172">
      <formula>F136/100&lt;X136</formula>
    </cfRule>
    <cfRule type="expression" dxfId="1433" priority="2173">
      <formula>X136&lt;F136/100</formula>
    </cfRule>
  </conditionalFormatting>
  <conditionalFormatting sqref="X137">
    <cfRule type="expression" dxfId="1432" priority="2170">
      <formula>F137/100&lt;X137</formula>
    </cfRule>
    <cfRule type="expression" dxfId="1431" priority="2171">
      <formula>X137&lt;F137/100</formula>
    </cfRule>
  </conditionalFormatting>
  <conditionalFormatting sqref="X138">
    <cfRule type="expression" dxfId="1430" priority="2168">
      <formula>F138/100&lt;X138</formula>
    </cfRule>
    <cfRule type="expression" dxfId="1429" priority="2169">
      <formula>X138&lt;F138/100</formula>
    </cfRule>
  </conditionalFormatting>
  <conditionalFormatting sqref="X139">
    <cfRule type="expression" dxfId="1428" priority="2166">
      <formula>F139/100&lt;X139</formula>
    </cfRule>
    <cfRule type="expression" dxfId="1427" priority="2167">
      <formula>X139&lt;F139/100</formula>
    </cfRule>
  </conditionalFormatting>
  <conditionalFormatting sqref="X140">
    <cfRule type="expression" dxfId="1426" priority="2164">
      <formula>F140/100&lt;X140</formula>
    </cfRule>
    <cfRule type="expression" dxfId="1425" priority="2165">
      <formula>X140&lt;F140/100</formula>
    </cfRule>
  </conditionalFormatting>
  <conditionalFormatting sqref="X141">
    <cfRule type="expression" dxfId="1424" priority="2162">
      <formula>F141/100&lt;X141</formula>
    </cfRule>
    <cfRule type="expression" dxfId="1423" priority="2163">
      <formula>X141&lt;F141/100</formula>
    </cfRule>
  </conditionalFormatting>
  <conditionalFormatting sqref="X142">
    <cfRule type="expression" dxfId="1422" priority="2160">
      <formula>F142/100&lt;X142</formula>
    </cfRule>
    <cfRule type="expression" dxfId="1421" priority="2161">
      <formula>X142&lt;F142/100</formula>
    </cfRule>
  </conditionalFormatting>
  <conditionalFormatting sqref="X143">
    <cfRule type="expression" dxfId="1420" priority="2158">
      <formula>F143/100&lt;X143</formula>
    </cfRule>
    <cfRule type="expression" dxfId="1419" priority="2159">
      <formula>X143&lt;F143/100</formula>
    </cfRule>
  </conditionalFormatting>
  <conditionalFormatting sqref="X144">
    <cfRule type="expression" dxfId="1418" priority="2156">
      <formula>F144/100&lt;X144</formula>
    </cfRule>
    <cfRule type="expression" dxfId="1417" priority="2157">
      <formula>X144&lt;F144/100</formula>
    </cfRule>
  </conditionalFormatting>
  <conditionalFormatting sqref="X145">
    <cfRule type="expression" dxfId="1416" priority="2154">
      <formula>F145/100&lt;X145</formula>
    </cfRule>
    <cfRule type="expression" dxfId="1415" priority="2155">
      <formula>X145&lt;F145/100</formula>
    </cfRule>
  </conditionalFormatting>
  <conditionalFormatting sqref="X146">
    <cfRule type="expression" dxfId="1414" priority="2152">
      <formula>F146/100&lt;X146</formula>
    </cfRule>
    <cfRule type="expression" dxfId="1413" priority="2153">
      <formula>X146&lt;F146/100</formula>
    </cfRule>
  </conditionalFormatting>
  <conditionalFormatting sqref="X147">
    <cfRule type="expression" dxfId="1412" priority="2150">
      <formula>F147/100&lt;X147</formula>
    </cfRule>
    <cfRule type="expression" dxfId="1411" priority="2151">
      <formula>X147&lt;F147/100</formula>
    </cfRule>
  </conditionalFormatting>
  <conditionalFormatting sqref="X148">
    <cfRule type="expression" dxfId="1410" priority="2148">
      <formula>F148/100&lt;X148</formula>
    </cfRule>
    <cfRule type="expression" dxfId="1409" priority="2149">
      <formula>X148&lt;F148/100</formula>
    </cfRule>
  </conditionalFormatting>
  <conditionalFormatting sqref="X149">
    <cfRule type="expression" dxfId="1408" priority="2146">
      <formula>F149/100&lt;X149</formula>
    </cfRule>
    <cfRule type="expression" dxfId="1407" priority="2147">
      <formula>X149&lt;F149/100</formula>
    </cfRule>
  </conditionalFormatting>
  <conditionalFormatting sqref="X150">
    <cfRule type="expression" dxfId="1406" priority="2144">
      <formula>F150/100&lt;X150</formula>
    </cfRule>
    <cfRule type="expression" dxfId="1405" priority="2145">
      <formula>X150&lt;F150/100</formula>
    </cfRule>
  </conditionalFormatting>
  <conditionalFormatting sqref="X151">
    <cfRule type="expression" dxfId="1404" priority="2142">
      <formula>F151/100&lt;X151</formula>
    </cfRule>
    <cfRule type="expression" dxfId="1403" priority="2143">
      <formula>X151&lt;F151/100</formula>
    </cfRule>
  </conditionalFormatting>
  <conditionalFormatting sqref="X152">
    <cfRule type="expression" dxfId="1402" priority="2140">
      <formula>F152/100&lt;X152</formula>
    </cfRule>
    <cfRule type="expression" dxfId="1401" priority="2141">
      <formula>X152&lt;F152/100</formula>
    </cfRule>
  </conditionalFormatting>
  <conditionalFormatting sqref="X153">
    <cfRule type="expression" dxfId="1400" priority="2138">
      <formula>F153/100&lt;X153</formula>
    </cfRule>
    <cfRule type="expression" dxfId="1399" priority="2139">
      <formula>X153&lt;F153/100</formula>
    </cfRule>
  </conditionalFormatting>
  <conditionalFormatting sqref="X154">
    <cfRule type="expression" dxfId="1398" priority="2136">
      <formula>F154/100&lt;X154</formula>
    </cfRule>
    <cfRule type="expression" dxfId="1397" priority="2137">
      <formula>X154&lt;F154/100</formula>
    </cfRule>
  </conditionalFormatting>
  <conditionalFormatting sqref="X155">
    <cfRule type="expression" dxfId="1396" priority="2134">
      <formula>F155/100&lt;X155</formula>
    </cfRule>
    <cfRule type="expression" dxfId="1395" priority="2135">
      <formula>X155&lt;F155/100</formula>
    </cfRule>
  </conditionalFormatting>
  <conditionalFormatting sqref="X156">
    <cfRule type="expression" dxfId="1394" priority="2132">
      <formula>F156/100&lt;X156</formula>
    </cfRule>
    <cfRule type="expression" dxfId="1393" priority="2133">
      <formula>X156&lt;F156/100</formula>
    </cfRule>
  </conditionalFormatting>
  <conditionalFormatting sqref="X157">
    <cfRule type="expression" dxfId="1392" priority="2130">
      <formula>F157/100&lt;X157</formula>
    </cfRule>
    <cfRule type="expression" dxfId="1391" priority="2131">
      <formula>X157&lt;F157/100</formula>
    </cfRule>
  </conditionalFormatting>
  <conditionalFormatting sqref="X158">
    <cfRule type="expression" dxfId="1390" priority="2128">
      <formula>F158/100&lt;X158</formula>
    </cfRule>
    <cfRule type="expression" dxfId="1389" priority="2129">
      <formula>X158&lt;F158/100</formula>
    </cfRule>
  </conditionalFormatting>
  <conditionalFormatting sqref="X159">
    <cfRule type="expression" dxfId="1388" priority="2126">
      <formula>F159/100&lt;X159</formula>
    </cfRule>
    <cfRule type="expression" dxfId="1387" priority="2127">
      <formula>X159&lt;F159/100</formula>
    </cfRule>
  </conditionalFormatting>
  <conditionalFormatting sqref="X160">
    <cfRule type="expression" dxfId="1386" priority="2124">
      <formula>F160/100&lt;X160</formula>
    </cfRule>
    <cfRule type="expression" dxfId="1385" priority="2125">
      <formula>X160&lt;F160/100</formula>
    </cfRule>
  </conditionalFormatting>
  <conditionalFormatting sqref="X161">
    <cfRule type="expression" dxfId="1384" priority="2122">
      <formula>F161/100&lt;X161</formula>
    </cfRule>
    <cfRule type="expression" dxfId="1383" priority="2123">
      <formula>X161&lt;F161/100</formula>
    </cfRule>
  </conditionalFormatting>
  <conditionalFormatting sqref="X162">
    <cfRule type="expression" dxfId="1382" priority="2120">
      <formula>F162/100&lt;X162</formula>
    </cfRule>
    <cfRule type="expression" dxfId="1381" priority="2121">
      <formula>X162&lt;F162/100</formula>
    </cfRule>
  </conditionalFormatting>
  <conditionalFormatting sqref="X163">
    <cfRule type="expression" dxfId="1380" priority="2118">
      <formula>F163/100&lt;X163</formula>
    </cfRule>
    <cfRule type="expression" dxfId="1379" priority="2119">
      <formula>X163&lt;F163/100</formula>
    </cfRule>
  </conditionalFormatting>
  <conditionalFormatting sqref="X164">
    <cfRule type="expression" dxfId="1378" priority="2116">
      <formula>F164/100&lt;X164</formula>
    </cfRule>
    <cfRule type="expression" dxfId="1377" priority="2117">
      <formula>X164&lt;F164/100</formula>
    </cfRule>
  </conditionalFormatting>
  <conditionalFormatting sqref="X165">
    <cfRule type="expression" dxfId="1376" priority="2114">
      <formula>F165/100&lt;X165</formula>
    </cfRule>
    <cfRule type="expression" dxfId="1375" priority="2115">
      <formula>X165&lt;F165/100</formula>
    </cfRule>
  </conditionalFormatting>
  <conditionalFormatting sqref="W2:X29">
    <cfRule type="cellIs" dxfId="1374" priority="2113" operator="equal">
      <formula>0</formula>
    </cfRule>
  </conditionalFormatting>
  <conditionalFormatting sqref="Z68 Z62 Z74 Z80 Z86 Z92 Z98 Z104 Z110 Z116 Z122 Z128 Z134 Z140 Z146 Z152 Z158 Z164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1373" priority="2101" operator="lessThan">
      <formula>W70</formula>
    </cfRule>
    <cfRule type="cellIs" dxfId="1372" priority="2106" operator="equal">
      <formula>0</formula>
    </cfRule>
  </conditionalFormatting>
  <conditionalFormatting sqref="W70">
    <cfRule type="cellIs" dxfId="1371" priority="2102" operator="lessThan">
      <formula>W71</formula>
    </cfRule>
    <cfRule type="cellIs" dxfId="1370" priority="2103" operator="equal">
      <formula>0</formula>
    </cfRule>
    <cfRule type="cellIs" dxfId="1369" priority="2104" operator="lessThan">
      <formula>W71</formula>
    </cfRule>
    <cfRule type="cellIs" dxfId="1368" priority="2105" operator="lessThan">
      <formula>0</formula>
    </cfRule>
  </conditionalFormatting>
  <conditionalFormatting sqref="W77">
    <cfRule type="cellIs" dxfId="1367" priority="2095" operator="lessThan">
      <formula>W76</formula>
    </cfRule>
    <cfRule type="cellIs" dxfId="1366" priority="2100" operator="equal">
      <formula>0</formula>
    </cfRule>
  </conditionalFormatting>
  <conditionalFormatting sqref="W76">
    <cfRule type="cellIs" dxfId="1365" priority="2096" operator="lessThan">
      <formula>W77</formula>
    </cfRule>
    <cfRule type="cellIs" dxfId="1364" priority="2097" operator="equal">
      <formula>0</formula>
    </cfRule>
    <cfRule type="cellIs" dxfId="1363" priority="2098" operator="lessThan">
      <formula>W77</formula>
    </cfRule>
    <cfRule type="cellIs" dxfId="1362" priority="2099" operator="lessThan">
      <formula>0</formula>
    </cfRule>
  </conditionalFormatting>
  <conditionalFormatting sqref="W83">
    <cfRule type="cellIs" dxfId="1361" priority="2089" operator="lessThan">
      <formula>W82</formula>
    </cfRule>
    <cfRule type="cellIs" dxfId="1360" priority="2094" operator="equal">
      <formula>0</formula>
    </cfRule>
  </conditionalFormatting>
  <conditionalFormatting sqref="W82">
    <cfRule type="cellIs" dxfId="1359" priority="2090" operator="lessThan">
      <formula>W83</formula>
    </cfRule>
    <cfRule type="cellIs" dxfId="1358" priority="2091" operator="equal">
      <formula>0</formula>
    </cfRule>
    <cfRule type="cellIs" dxfId="1357" priority="2092" operator="lessThan">
      <formula>W83</formula>
    </cfRule>
    <cfRule type="cellIs" dxfId="1356" priority="2093" operator="lessThan">
      <formula>0</formula>
    </cfRule>
  </conditionalFormatting>
  <conditionalFormatting sqref="W89">
    <cfRule type="cellIs" dxfId="1355" priority="2083" operator="lessThan">
      <formula>W88</formula>
    </cfRule>
    <cfRule type="cellIs" dxfId="1354" priority="2088" operator="equal">
      <formula>0</formula>
    </cfRule>
  </conditionalFormatting>
  <conditionalFormatting sqref="W88">
    <cfRule type="cellIs" dxfId="1353" priority="2084" operator="lessThan">
      <formula>W89</formula>
    </cfRule>
    <cfRule type="cellIs" dxfId="1352" priority="2085" operator="equal">
      <formula>0</formula>
    </cfRule>
    <cfRule type="cellIs" dxfId="1351" priority="2086" operator="lessThan">
      <formula>W89</formula>
    </cfRule>
    <cfRule type="cellIs" dxfId="1350" priority="2087" operator="lessThan">
      <formula>0</formula>
    </cfRule>
  </conditionalFormatting>
  <conditionalFormatting sqref="W95">
    <cfRule type="cellIs" dxfId="1349" priority="2077" operator="lessThan">
      <formula>W94</formula>
    </cfRule>
    <cfRule type="cellIs" dxfId="1348" priority="2082" operator="equal">
      <formula>0</formula>
    </cfRule>
  </conditionalFormatting>
  <conditionalFormatting sqref="W94">
    <cfRule type="cellIs" dxfId="1347" priority="2078" operator="lessThan">
      <formula>W95</formula>
    </cfRule>
    <cfRule type="cellIs" dxfId="1346" priority="2079" operator="equal">
      <formula>0</formula>
    </cfRule>
    <cfRule type="cellIs" dxfId="1345" priority="2080" operator="lessThan">
      <formula>W95</formula>
    </cfRule>
    <cfRule type="cellIs" dxfId="1344" priority="2081" operator="lessThan">
      <formula>0</formula>
    </cfRule>
  </conditionalFormatting>
  <conditionalFormatting sqref="W101">
    <cfRule type="cellIs" dxfId="1343" priority="2071" operator="lessThan">
      <formula>W100</formula>
    </cfRule>
    <cfRule type="cellIs" dxfId="1342" priority="2076" operator="equal">
      <formula>0</formula>
    </cfRule>
  </conditionalFormatting>
  <conditionalFormatting sqref="W100">
    <cfRule type="cellIs" dxfId="1341" priority="2072" operator="lessThan">
      <formula>W101</formula>
    </cfRule>
    <cfRule type="cellIs" dxfId="1340" priority="2073" operator="equal">
      <formula>0</formula>
    </cfRule>
    <cfRule type="cellIs" dxfId="1339" priority="2074" operator="lessThan">
      <formula>W101</formula>
    </cfRule>
    <cfRule type="cellIs" dxfId="1338" priority="2075" operator="lessThan">
      <formula>0</formula>
    </cfRule>
  </conditionalFormatting>
  <conditionalFormatting sqref="W107">
    <cfRule type="cellIs" dxfId="1337" priority="2065" operator="lessThan">
      <formula>W106</formula>
    </cfRule>
    <cfRule type="cellIs" dxfId="1336" priority="2070" operator="equal">
      <formula>0</formula>
    </cfRule>
  </conditionalFormatting>
  <conditionalFormatting sqref="W106">
    <cfRule type="cellIs" dxfId="1335" priority="2066" operator="lessThan">
      <formula>W107</formula>
    </cfRule>
    <cfRule type="cellIs" dxfId="1334" priority="2067" operator="equal">
      <formula>0</formula>
    </cfRule>
    <cfRule type="cellIs" dxfId="1333" priority="2068" operator="lessThan">
      <formula>W107</formula>
    </cfRule>
    <cfRule type="cellIs" dxfId="1332" priority="2069" operator="lessThan">
      <formula>0</formula>
    </cfRule>
  </conditionalFormatting>
  <conditionalFormatting sqref="W113">
    <cfRule type="cellIs" dxfId="1331" priority="2059" operator="lessThan">
      <formula>W112</formula>
    </cfRule>
    <cfRule type="cellIs" dxfId="1330" priority="2064" operator="equal">
      <formula>0</formula>
    </cfRule>
  </conditionalFormatting>
  <conditionalFormatting sqref="W112">
    <cfRule type="cellIs" dxfId="1329" priority="2060" operator="lessThan">
      <formula>W113</formula>
    </cfRule>
    <cfRule type="cellIs" dxfId="1328" priority="2061" operator="equal">
      <formula>0</formula>
    </cfRule>
    <cfRule type="cellIs" dxfId="1327" priority="2062" operator="lessThan">
      <formula>W113</formula>
    </cfRule>
    <cfRule type="cellIs" dxfId="1326" priority="2063" operator="lessThan">
      <formula>0</formula>
    </cfRule>
  </conditionalFormatting>
  <conditionalFormatting sqref="W119">
    <cfRule type="cellIs" dxfId="1325" priority="2053" operator="lessThan">
      <formula>W118</formula>
    </cfRule>
    <cfRule type="cellIs" dxfId="1324" priority="2058" operator="equal">
      <formula>0</formula>
    </cfRule>
  </conditionalFormatting>
  <conditionalFormatting sqref="W118">
    <cfRule type="cellIs" dxfId="1323" priority="2054" operator="lessThan">
      <formula>W119</formula>
    </cfRule>
    <cfRule type="cellIs" dxfId="1322" priority="2055" operator="equal">
      <formula>0</formula>
    </cfRule>
    <cfRule type="cellIs" dxfId="1321" priority="2056" operator="lessThan">
      <formula>W119</formula>
    </cfRule>
    <cfRule type="cellIs" dxfId="1320" priority="2057" operator="lessThan">
      <formula>0</formula>
    </cfRule>
  </conditionalFormatting>
  <conditionalFormatting sqref="W125">
    <cfRule type="cellIs" dxfId="1319" priority="2047" operator="lessThan">
      <formula>W124</formula>
    </cfRule>
    <cfRule type="cellIs" dxfId="1318" priority="2052" operator="equal">
      <formula>0</formula>
    </cfRule>
  </conditionalFormatting>
  <conditionalFormatting sqref="W124">
    <cfRule type="cellIs" dxfId="1317" priority="2048" operator="lessThan">
      <formula>W125</formula>
    </cfRule>
    <cfRule type="cellIs" dxfId="1316" priority="2049" operator="equal">
      <formula>0</formula>
    </cfRule>
    <cfRule type="cellIs" dxfId="1315" priority="2050" operator="lessThan">
      <formula>W125</formula>
    </cfRule>
    <cfRule type="cellIs" dxfId="1314" priority="2051" operator="lessThan">
      <formula>0</formula>
    </cfRule>
  </conditionalFormatting>
  <conditionalFormatting sqref="W131">
    <cfRule type="cellIs" dxfId="1313" priority="2041" operator="lessThan">
      <formula>W130</formula>
    </cfRule>
    <cfRule type="cellIs" dxfId="1312" priority="2046" operator="equal">
      <formula>0</formula>
    </cfRule>
  </conditionalFormatting>
  <conditionalFormatting sqref="W130">
    <cfRule type="cellIs" dxfId="1311" priority="2042" operator="lessThan">
      <formula>W131</formula>
    </cfRule>
    <cfRule type="cellIs" dxfId="1310" priority="2043" operator="equal">
      <formula>0</formula>
    </cfRule>
    <cfRule type="cellIs" dxfId="1309" priority="2044" operator="lessThan">
      <formula>W131</formula>
    </cfRule>
    <cfRule type="cellIs" dxfId="1308" priority="2045" operator="lessThan">
      <formula>0</formula>
    </cfRule>
  </conditionalFormatting>
  <conditionalFormatting sqref="W137">
    <cfRule type="cellIs" dxfId="1307" priority="2035" operator="lessThan">
      <formula>W136</formula>
    </cfRule>
    <cfRule type="cellIs" dxfId="1306" priority="2040" operator="equal">
      <formula>0</formula>
    </cfRule>
  </conditionalFormatting>
  <conditionalFormatting sqref="W136">
    <cfRule type="cellIs" dxfId="1305" priority="2036" operator="lessThan">
      <formula>W137</formula>
    </cfRule>
    <cfRule type="cellIs" dxfId="1304" priority="2037" operator="equal">
      <formula>0</formula>
    </cfRule>
    <cfRule type="cellIs" dxfId="1303" priority="2038" operator="lessThan">
      <formula>W137</formula>
    </cfRule>
    <cfRule type="cellIs" dxfId="1302" priority="2039" operator="lessThan">
      <formula>0</formula>
    </cfRule>
  </conditionalFormatting>
  <conditionalFormatting sqref="W143">
    <cfRule type="cellIs" dxfId="1301" priority="2029" operator="lessThan">
      <formula>W142</formula>
    </cfRule>
    <cfRule type="cellIs" dxfId="1300" priority="2034" operator="equal">
      <formula>0</formula>
    </cfRule>
  </conditionalFormatting>
  <conditionalFormatting sqref="W142">
    <cfRule type="cellIs" dxfId="1299" priority="2030" operator="lessThan">
      <formula>W143</formula>
    </cfRule>
    <cfRule type="cellIs" dxfId="1298" priority="2031" operator="equal">
      <formula>0</formula>
    </cfRule>
    <cfRule type="cellIs" dxfId="1297" priority="2032" operator="lessThan">
      <formula>W143</formula>
    </cfRule>
    <cfRule type="cellIs" dxfId="1296" priority="2033" operator="lessThan">
      <formula>0</formula>
    </cfRule>
  </conditionalFormatting>
  <conditionalFormatting sqref="V76:V81">
    <cfRule type="cellIs" dxfId="1295" priority="2027" operator="lessThan">
      <formula>0</formula>
    </cfRule>
    <cfRule type="cellIs" dxfId="1294" priority="2028" operator="equal">
      <formula>0</formula>
    </cfRule>
  </conditionalFormatting>
  <conditionalFormatting sqref="V82:V87">
    <cfRule type="cellIs" dxfId="1293" priority="2025" operator="lessThan">
      <formula>0</formula>
    </cfRule>
    <cfRule type="cellIs" dxfId="1292" priority="2026" operator="equal">
      <formula>0</formula>
    </cfRule>
  </conditionalFormatting>
  <conditionalFormatting sqref="V88:V93">
    <cfRule type="cellIs" dxfId="1291" priority="2023" operator="lessThan">
      <formula>0</formula>
    </cfRule>
    <cfRule type="cellIs" dxfId="1290" priority="2024" operator="equal">
      <formula>0</formula>
    </cfRule>
  </conditionalFormatting>
  <conditionalFormatting sqref="V94:V99">
    <cfRule type="cellIs" dxfId="1289" priority="2021" operator="lessThan">
      <formula>0</formula>
    </cfRule>
    <cfRule type="cellIs" dxfId="1288" priority="2022" operator="equal">
      <formula>0</formula>
    </cfRule>
  </conditionalFormatting>
  <conditionalFormatting sqref="V100:V105">
    <cfRule type="cellIs" dxfId="1287" priority="2019" operator="lessThan">
      <formula>0</formula>
    </cfRule>
    <cfRule type="cellIs" dxfId="1286" priority="2020" operator="equal">
      <formula>0</formula>
    </cfRule>
  </conditionalFormatting>
  <conditionalFormatting sqref="V106:V111">
    <cfRule type="cellIs" dxfId="1285" priority="2017" operator="lessThan">
      <formula>0</formula>
    </cfRule>
    <cfRule type="cellIs" dxfId="1284" priority="2018" operator="equal">
      <formula>0</formula>
    </cfRule>
  </conditionalFormatting>
  <conditionalFormatting sqref="V112:V117">
    <cfRule type="cellIs" dxfId="1283" priority="2015" operator="lessThan">
      <formula>0</formula>
    </cfRule>
    <cfRule type="cellIs" dxfId="1282" priority="2016" operator="equal">
      <formula>0</formula>
    </cfRule>
  </conditionalFormatting>
  <conditionalFormatting sqref="V118:V123">
    <cfRule type="cellIs" dxfId="1281" priority="2013" operator="lessThan">
      <formula>0</formula>
    </cfRule>
    <cfRule type="cellIs" dxfId="1280" priority="2014" operator="equal">
      <formula>0</formula>
    </cfRule>
  </conditionalFormatting>
  <conditionalFormatting sqref="V124:V129">
    <cfRule type="cellIs" dxfId="1279" priority="2011" operator="lessThan">
      <formula>0</formula>
    </cfRule>
    <cfRule type="cellIs" dxfId="1278" priority="2012" operator="equal">
      <formula>0</formula>
    </cfRule>
  </conditionalFormatting>
  <conditionalFormatting sqref="V130:V135">
    <cfRule type="cellIs" dxfId="1277" priority="2009" operator="lessThan">
      <formula>0</formula>
    </cfRule>
    <cfRule type="cellIs" dxfId="1276" priority="2010" operator="equal">
      <formula>0</formula>
    </cfRule>
  </conditionalFormatting>
  <conditionalFormatting sqref="V136:V141">
    <cfRule type="cellIs" dxfId="1275" priority="2007" operator="lessThan">
      <formula>0</formula>
    </cfRule>
    <cfRule type="cellIs" dxfId="1274" priority="2008" operator="equal">
      <formula>0</formula>
    </cfRule>
  </conditionalFormatting>
  <conditionalFormatting sqref="V142:V147">
    <cfRule type="cellIs" dxfId="1273" priority="2005" operator="lessThan">
      <formula>0</formula>
    </cfRule>
    <cfRule type="cellIs" dxfId="1272" priority="2006" operator="equal">
      <formula>0</formula>
    </cfRule>
  </conditionalFormatting>
  <conditionalFormatting sqref="V148:V153">
    <cfRule type="cellIs" dxfId="1271" priority="2003" operator="lessThan">
      <formula>0</formula>
    </cfRule>
    <cfRule type="cellIs" dxfId="1270" priority="2004" operator="equal">
      <formula>0</formula>
    </cfRule>
  </conditionalFormatting>
  <conditionalFormatting sqref="V154:V159">
    <cfRule type="cellIs" dxfId="1269" priority="2001" operator="lessThan">
      <formula>0</formula>
    </cfRule>
    <cfRule type="cellIs" dxfId="1268" priority="2002" operator="equal">
      <formula>0</formula>
    </cfRule>
  </conditionalFormatting>
  <conditionalFormatting sqref="V160:V165">
    <cfRule type="cellIs" dxfId="1267" priority="1999" operator="lessThan">
      <formula>0</formula>
    </cfRule>
    <cfRule type="cellIs" dxfId="1266" priority="2000" operator="equal">
      <formula>0</formula>
    </cfRule>
  </conditionalFormatting>
  <conditionalFormatting sqref="W69">
    <cfRule type="cellIs" dxfId="1265" priority="1958" operator="equal">
      <formula>0</formula>
    </cfRule>
    <cfRule type="cellIs" dxfId="1264" priority="1959" operator="greaterThan">
      <formula>W68</formula>
    </cfRule>
  </conditionalFormatting>
  <conditionalFormatting sqref="W75">
    <cfRule type="cellIs" dxfId="1263" priority="1956" operator="equal">
      <formula>0</formula>
    </cfRule>
    <cfRule type="cellIs" dxfId="1262" priority="1957" operator="greaterThan">
      <formula>W74</formula>
    </cfRule>
  </conditionalFormatting>
  <conditionalFormatting sqref="D58">
    <cfRule type="expression" dxfId="1261" priority="1718">
      <formula>E58&gt;B58</formula>
    </cfRule>
    <cfRule type="expression" dxfId="1260" priority="1936">
      <formula>V58&lt;&gt;0</formula>
    </cfRule>
  </conditionalFormatting>
  <conditionalFormatting sqref="C58">
    <cfRule type="expression" dxfId="1259" priority="1719">
      <formula>B58&gt;E58</formula>
    </cfRule>
    <cfRule type="expression" dxfId="1258" priority="1935">
      <formula>V58&lt;&gt;0</formula>
    </cfRule>
  </conditionalFormatting>
  <conditionalFormatting sqref="E58">
    <cfRule type="cellIs" dxfId="1257" priority="1673" operator="greaterThan">
      <formula>B58</formula>
    </cfRule>
  </conditionalFormatting>
  <conditionalFormatting sqref="B59">
    <cfRule type="cellIs" dxfId="1256" priority="923" operator="greaterThan">
      <formula>E59</formula>
    </cfRule>
  </conditionalFormatting>
  <conditionalFormatting sqref="D59">
    <cfRule type="expression" dxfId="1255" priority="919">
      <formula>E59&gt;B59</formula>
    </cfRule>
    <cfRule type="expression" dxfId="1254" priority="922">
      <formula>V59&lt;&gt;0</formula>
    </cfRule>
  </conditionalFormatting>
  <conditionalFormatting sqref="C59">
    <cfRule type="expression" dxfId="1253" priority="920">
      <formula>B59&gt;E59</formula>
    </cfRule>
    <cfRule type="expression" dxfId="1252" priority="921">
      <formula>V59&lt;&gt;0</formula>
    </cfRule>
  </conditionalFormatting>
  <conditionalFormatting sqref="E59">
    <cfRule type="cellIs" dxfId="1251" priority="918" operator="greaterThan">
      <formula>B59</formula>
    </cfRule>
  </conditionalFormatting>
  <conditionalFormatting sqref="B60">
    <cfRule type="cellIs" dxfId="1250" priority="917" operator="greaterThan">
      <formula>E60</formula>
    </cfRule>
  </conditionalFormatting>
  <conditionalFormatting sqref="D60">
    <cfRule type="expression" dxfId="1249" priority="913">
      <formula>E60&gt;B60</formula>
    </cfRule>
    <cfRule type="expression" dxfId="1248" priority="916">
      <formula>V60&lt;&gt;0</formula>
    </cfRule>
  </conditionalFormatting>
  <conditionalFormatting sqref="C60">
    <cfRule type="expression" dxfId="1247" priority="914">
      <formula>B60&gt;E60</formula>
    </cfRule>
    <cfRule type="expression" dxfId="1246" priority="915">
      <formula>V60&lt;&gt;0</formula>
    </cfRule>
  </conditionalFormatting>
  <conditionalFormatting sqref="E60">
    <cfRule type="cellIs" dxfId="1245" priority="912" operator="greaterThan">
      <formula>B60</formula>
    </cfRule>
  </conditionalFormatting>
  <conditionalFormatting sqref="B61">
    <cfRule type="cellIs" dxfId="1244" priority="911" operator="greaterThan">
      <formula>E61</formula>
    </cfRule>
  </conditionalFormatting>
  <conditionalFormatting sqref="D61">
    <cfRule type="expression" dxfId="1243" priority="907">
      <formula>E61&gt;B61</formula>
    </cfRule>
    <cfRule type="expression" dxfId="1242" priority="910">
      <formula>V61&lt;&gt;0</formula>
    </cfRule>
  </conditionalFormatting>
  <conditionalFormatting sqref="C61">
    <cfRule type="expression" dxfId="1241" priority="908">
      <formula>B61&gt;E61</formula>
    </cfRule>
    <cfRule type="expression" dxfId="1240" priority="909">
      <formula>V61&lt;&gt;0</formula>
    </cfRule>
  </conditionalFormatting>
  <conditionalFormatting sqref="E61">
    <cfRule type="cellIs" dxfId="1239" priority="906" operator="greaterThan">
      <formula>B61</formula>
    </cfRule>
  </conditionalFormatting>
  <conditionalFormatting sqref="B62">
    <cfRule type="cellIs" dxfId="1238" priority="905" operator="greaterThan">
      <formula>E62</formula>
    </cfRule>
  </conditionalFormatting>
  <conditionalFormatting sqref="D62">
    <cfRule type="expression" dxfId="1237" priority="901">
      <formula>E62&gt;B62</formula>
    </cfRule>
    <cfRule type="expression" dxfId="1236" priority="904">
      <formula>V62&lt;&gt;0</formula>
    </cfRule>
  </conditionalFormatting>
  <conditionalFormatting sqref="C62">
    <cfRule type="expression" dxfId="1235" priority="902">
      <formula>B62&gt;E62</formula>
    </cfRule>
    <cfRule type="expression" dxfId="1234" priority="903">
      <formula>V62&lt;&gt;0</formula>
    </cfRule>
  </conditionalFormatting>
  <conditionalFormatting sqref="E62">
    <cfRule type="cellIs" dxfId="1233" priority="900" operator="greaterThan">
      <formula>B62</formula>
    </cfRule>
  </conditionalFormatting>
  <conditionalFormatting sqref="B63">
    <cfRule type="cellIs" dxfId="1232" priority="899" operator="greaterThan">
      <formula>E63</formula>
    </cfRule>
  </conditionalFormatting>
  <conditionalFormatting sqref="D63">
    <cfRule type="expression" dxfId="1231" priority="895">
      <formula>E63&gt;B63</formula>
    </cfRule>
    <cfRule type="expression" dxfId="1230" priority="898">
      <formula>V63&lt;&gt;0</formula>
    </cfRule>
  </conditionalFormatting>
  <conditionalFormatting sqref="C63">
    <cfRule type="expression" dxfId="1229" priority="896">
      <formula>B63&gt;E63</formula>
    </cfRule>
    <cfRule type="expression" dxfId="1228" priority="897">
      <formula>V63&lt;&gt;0</formula>
    </cfRule>
  </conditionalFormatting>
  <conditionalFormatting sqref="E63">
    <cfRule type="cellIs" dxfId="1227" priority="894" operator="greaterThan">
      <formula>B63</formula>
    </cfRule>
  </conditionalFormatting>
  <conditionalFormatting sqref="B64">
    <cfRule type="cellIs" dxfId="1226" priority="893" operator="greaterThan">
      <formula>E64</formula>
    </cfRule>
  </conditionalFormatting>
  <conditionalFormatting sqref="D64">
    <cfRule type="expression" dxfId="1225" priority="889">
      <formula>E64&gt;B64</formula>
    </cfRule>
    <cfRule type="expression" dxfId="1224" priority="892">
      <formula>V64&lt;&gt;0</formula>
    </cfRule>
  </conditionalFormatting>
  <conditionalFormatting sqref="C64">
    <cfRule type="expression" dxfId="1223" priority="890">
      <formula>B64&gt;E64</formula>
    </cfRule>
    <cfRule type="expression" dxfId="1222" priority="891">
      <formula>V64&lt;&gt;0</formula>
    </cfRule>
  </conditionalFormatting>
  <conditionalFormatting sqref="E64">
    <cfRule type="cellIs" dxfId="1221" priority="888" operator="greaterThan">
      <formula>B64</formula>
    </cfRule>
  </conditionalFormatting>
  <conditionalFormatting sqref="B65">
    <cfRule type="cellIs" dxfId="1220" priority="887" operator="greaterThan">
      <formula>E65</formula>
    </cfRule>
  </conditionalFormatting>
  <conditionalFormatting sqref="D65">
    <cfRule type="expression" dxfId="1219" priority="883">
      <formula>E65&gt;B65</formula>
    </cfRule>
    <cfRule type="expression" dxfId="1218" priority="886">
      <formula>V65&lt;&gt;0</formula>
    </cfRule>
  </conditionalFormatting>
  <conditionalFormatting sqref="C65">
    <cfRule type="expression" dxfId="1217" priority="884">
      <formula>B65&gt;E65</formula>
    </cfRule>
    <cfRule type="expression" dxfId="1216" priority="885">
      <formula>V65&lt;&gt;0</formula>
    </cfRule>
  </conditionalFormatting>
  <conditionalFormatting sqref="E65">
    <cfRule type="cellIs" dxfId="1215" priority="882" operator="greaterThan">
      <formula>B65</formula>
    </cfRule>
  </conditionalFormatting>
  <conditionalFormatting sqref="B66">
    <cfRule type="cellIs" dxfId="1214" priority="881" operator="greaterThan">
      <formula>E66</formula>
    </cfRule>
  </conditionalFormatting>
  <conditionalFormatting sqref="D66">
    <cfRule type="expression" dxfId="1213" priority="877">
      <formula>E66&gt;B66</formula>
    </cfRule>
    <cfRule type="expression" dxfId="1212" priority="880">
      <formula>V66&lt;&gt;0</formula>
    </cfRule>
  </conditionalFormatting>
  <conditionalFormatting sqref="C66">
    <cfRule type="expression" dxfId="1211" priority="878">
      <formula>B66&gt;E66</formula>
    </cfRule>
    <cfRule type="expression" dxfId="1210" priority="879">
      <formula>V66&lt;&gt;0</formula>
    </cfRule>
  </conditionalFormatting>
  <conditionalFormatting sqref="E66">
    <cfRule type="cellIs" dxfId="1209" priority="876" operator="greaterThan">
      <formula>B66</formula>
    </cfRule>
  </conditionalFormatting>
  <conditionalFormatting sqref="B67">
    <cfRule type="cellIs" dxfId="1208" priority="875" operator="greaterThan">
      <formula>E67</formula>
    </cfRule>
  </conditionalFormatting>
  <conditionalFormatting sqref="D67">
    <cfRule type="expression" dxfId="1207" priority="871">
      <formula>E67&gt;B67</formula>
    </cfRule>
    <cfRule type="expression" dxfId="1206" priority="874">
      <formula>V67&lt;&gt;0</formula>
    </cfRule>
  </conditionalFormatting>
  <conditionalFormatting sqref="C67">
    <cfRule type="expression" dxfId="1205" priority="872">
      <formula>B67&gt;E67</formula>
    </cfRule>
    <cfRule type="expression" dxfId="1204" priority="873">
      <formula>V67&lt;&gt;0</formula>
    </cfRule>
  </conditionalFormatting>
  <conditionalFormatting sqref="E67">
    <cfRule type="cellIs" dxfId="1203" priority="870" operator="greaterThan">
      <formula>B67</formula>
    </cfRule>
  </conditionalFormatting>
  <conditionalFormatting sqref="B68">
    <cfRule type="cellIs" dxfId="1202" priority="869" operator="greaterThan">
      <formula>E68</formula>
    </cfRule>
  </conditionalFormatting>
  <conditionalFormatting sqref="D68">
    <cfRule type="expression" dxfId="1201" priority="865">
      <formula>E68&gt;B68</formula>
    </cfRule>
    <cfRule type="expression" dxfId="1200" priority="868">
      <formula>V68&lt;&gt;0</formula>
    </cfRule>
  </conditionalFormatting>
  <conditionalFormatting sqref="C68">
    <cfRule type="expression" dxfId="1199" priority="866">
      <formula>B68&gt;E68</formula>
    </cfRule>
    <cfRule type="expression" dxfId="1198" priority="867">
      <formula>V68&lt;&gt;0</formula>
    </cfRule>
  </conditionalFormatting>
  <conditionalFormatting sqref="E68">
    <cfRule type="cellIs" dxfId="1197" priority="864" operator="greaterThan">
      <formula>B68</formula>
    </cfRule>
  </conditionalFormatting>
  <conditionalFormatting sqref="B69">
    <cfRule type="cellIs" dxfId="1196" priority="863" operator="greaterThan">
      <formula>E69</formula>
    </cfRule>
  </conditionalFormatting>
  <conditionalFormatting sqref="D69">
    <cfRule type="expression" dxfId="1195" priority="859">
      <formula>E69&gt;B69</formula>
    </cfRule>
    <cfRule type="expression" dxfId="1194" priority="862">
      <formula>V69&lt;&gt;0</formula>
    </cfRule>
  </conditionalFormatting>
  <conditionalFormatting sqref="C69">
    <cfRule type="expression" dxfId="1193" priority="860">
      <formula>B69&gt;E69</formula>
    </cfRule>
    <cfRule type="expression" dxfId="1192" priority="861">
      <formula>V69&lt;&gt;0</formula>
    </cfRule>
  </conditionalFormatting>
  <conditionalFormatting sqref="E69">
    <cfRule type="cellIs" dxfId="1191" priority="858" operator="greaterThan">
      <formula>B69</formula>
    </cfRule>
  </conditionalFormatting>
  <conditionalFormatting sqref="B70">
    <cfRule type="cellIs" dxfId="1190" priority="857" operator="greaterThan">
      <formula>E70</formula>
    </cfRule>
  </conditionalFormatting>
  <conditionalFormatting sqref="D70">
    <cfRule type="expression" dxfId="1189" priority="853">
      <formula>E70&gt;B70</formula>
    </cfRule>
    <cfRule type="expression" dxfId="1188" priority="856">
      <formula>V70&lt;&gt;0</formula>
    </cfRule>
  </conditionalFormatting>
  <conditionalFormatting sqref="C70">
    <cfRule type="expression" dxfId="1187" priority="854">
      <formula>B70&gt;E70</formula>
    </cfRule>
    <cfRule type="expression" dxfId="1186" priority="855">
      <formula>V70&lt;&gt;0</formula>
    </cfRule>
  </conditionalFormatting>
  <conditionalFormatting sqref="E70">
    <cfRule type="cellIs" dxfId="1185" priority="852" operator="greaterThan">
      <formula>B70</formula>
    </cfRule>
  </conditionalFormatting>
  <conditionalFormatting sqref="B71">
    <cfRule type="cellIs" dxfId="1184" priority="851" operator="greaterThan">
      <formula>E71</formula>
    </cfRule>
  </conditionalFormatting>
  <conditionalFormatting sqref="D71">
    <cfRule type="expression" dxfId="1183" priority="847">
      <formula>E71&gt;B71</formula>
    </cfRule>
    <cfRule type="expression" dxfId="1182" priority="850">
      <formula>V71&lt;&gt;0</formula>
    </cfRule>
  </conditionalFormatting>
  <conditionalFormatting sqref="C71">
    <cfRule type="expression" dxfId="1181" priority="848">
      <formula>B71&gt;E71</formula>
    </cfRule>
    <cfRule type="expression" dxfId="1180" priority="849">
      <formula>V71&lt;&gt;0</formula>
    </cfRule>
  </conditionalFormatting>
  <conditionalFormatting sqref="E71">
    <cfRule type="cellIs" dxfId="1179" priority="846" operator="greaterThan">
      <formula>B71</formula>
    </cfRule>
  </conditionalFormatting>
  <conditionalFormatting sqref="B72">
    <cfRule type="cellIs" dxfId="1178" priority="845" operator="greaterThan">
      <formula>E72</formula>
    </cfRule>
  </conditionalFormatting>
  <conditionalFormatting sqref="D72">
    <cfRule type="expression" dxfId="1177" priority="841">
      <formula>E72&gt;B72</formula>
    </cfRule>
    <cfRule type="expression" dxfId="1176" priority="844">
      <formula>V72&lt;&gt;0</formula>
    </cfRule>
  </conditionalFormatting>
  <conditionalFormatting sqref="C72">
    <cfRule type="expression" dxfId="1175" priority="842">
      <formula>B72&gt;E72</formula>
    </cfRule>
    <cfRule type="expression" dxfId="1174" priority="843">
      <formula>V72&lt;&gt;0</formula>
    </cfRule>
  </conditionalFormatting>
  <conditionalFormatting sqref="E72">
    <cfRule type="cellIs" dxfId="1173" priority="840" operator="greaterThan">
      <formula>B72</formula>
    </cfRule>
  </conditionalFormatting>
  <conditionalFormatting sqref="B73">
    <cfRule type="cellIs" dxfId="1172" priority="839" operator="greaterThan">
      <formula>E73</formula>
    </cfRule>
  </conditionalFormatting>
  <conditionalFormatting sqref="D73">
    <cfRule type="expression" dxfId="1171" priority="835">
      <formula>E73&gt;B73</formula>
    </cfRule>
    <cfRule type="expression" dxfId="1170" priority="838">
      <formula>V73&lt;&gt;0</formula>
    </cfRule>
  </conditionalFormatting>
  <conditionalFormatting sqref="C73">
    <cfRule type="expression" dxfId="1169" priority="836">
      <formula>B73&gt;E73</formula>
    </cfRule>
    <cfRule type="expression" dxfId="1168" priority="837">
      <formula>V73&lt;&gt;0</formula>
    </cfRule>
  </conditionalFormatting>
  <conditionalFormatting sqref="E73">
    <cfRule type="cellIs" dxfId="1167" priority="834" operator="greaterThan">
      <formula>B73</formula>
    </cfRule>
  </conditionalFormatting>
  <conditionalFormatting sqref="B74">
    <cfRule type="cellIs" dxfId="1166" priority="833" operator="greaterThan">
      <formula>E74</formula>
    </cfRule>
  </conditionalFormatting>
  <conditionalFormatting sqref="D74">
    <cfRule type="expression" dxfId="1165" priority="829">
      <formula>E74&gt;B74</formula>
    </cfRule>
    <cfRule type="expression" dxfId="1164" priority="832">
      <formula>V74&lt;&gt;0</formula>
    </cfRule>
  </conditionalFormatting>
  <conditionalFormatting sqref="C74">
    <cfRule type="expression" dxfId="1163" priority="830">
      <formula>B74&gt;E74</formula>
    </cfRule>
    <cfRule type="expression" dxfId="1162" priority="831">
      <formula>V74&lt;&gt;0</formula>
    </cfRule>
  </conditionalFormatting>
  <conditionalFormatting sqref="E74">
    <cfRule type="cellIs" dxfId="1161" priority="828" operator="greaterThan">
      <formula>B74</formula>
    </cfRule>
  </conditionalFormatting>
  <conditionalFormatting sqref="B75">
    <cfRule type="cellIs" dxfId="1160" priority="827" operator="greaterThan">
      <formula>E75</formula>
    </cfRule>
  </conditionalFormatting>
  <conditionalFormatting sqref="D75">
    <cfRule type="expression" dxfId="1159" priority="823">
      <formula>E75&gt;B75</formula>
    </cfRule>
    <cfRule type="expression" dxfId="1158" priority="826">
      <formula>V75&lt;&gt;0</formula>
    </cfRule>
  </conditionalFormatting>
  <conditionalFormatting sqref="C75">
    <cfRule type="expression" dxfId="1157" priority="824">
      <formula>B75&gt;E75</formula>
    </cfRule>
    <cfRule type="expression" dxfId="1156" priority="825">
      <formula>V75&lt;&gt;0</formula>
    </cfRule>
  </conditionalFormatting>
  <conditionalFormatting sqref="E75">
    <cfRule type="cellIs" dxfId="1155" priority="822" operator="greaterThan">
      <formula>B75</formula>
    </cfRule>
  </conditionalFormatting>
  <conditionalFormatting sqref="B76">
    <cfRule type="cellIs" dxfId="1154" priority="821" operator="greaterThan">
      <formula>E76</formula>
    </cfRule>
  </conditionalFormatting>
  <conditionalFormatting sqref="D76">
    <cfRule type="expression" dxfId="1153" priority="817">
      <formula>E76&gt;B76</formula>
    </cfRule>
    <cfRule type="expression" dxfId="1152" priority="820">
      <formula>V76&lt;&gt;0</formula>
    </cfRule>
  </conditionalFormatting>
  <conditionalFormatting sqref="C76">
    <cfRule type="expression" dxfId="1151" priority="818">
      <formula>B76&gt;E76</formula>
    </cfRule>
    <cfRule type="expression" dxfId="1150" priority="819">
      <formula>V76&lt;&gt;0</formula>
    </cfRule>
  </conditionalFormatting>
  <conditionalFormatting sqref="E76">
    <cfRule type="cellIs" dxfId="1149" priority="816" operator="greaterThan">
      <formula>B76</formula>
    </cfRule>
  </conditionalFormatting>
  <conditionalFormatting sqref="B77">
    <cfRule type="cellIs" dxfId="1148" priority="815" operator="greaterThan">
      <formula>E77</formula>
    </cfRule>
  </conditionalFormatting>
  <conditionalFormatting sqref="D77">
    <cfRule type="expression" dxfId="1147" priority="811">
      <formula>E77&gt;B77</formula>
    </cfRule>
    <cfRule type="expression" dxfId="1146" priority="814">
      <formula>V77&lt;&gt;0</formula>
    </cfRule>
  </conditionalFormatting>
  <conditionalFormatting sqref="C77">
    <cfRule type="expression" dxfId="1145" priority="812">
      <formula>B77&gt;E77</formula>
    </cfRule>
    <cfRule type="expression" dxfId="1144" priority="813">
      <formula>V77&lt;&gt;0</formula>
    </cfRule>
  </conditionalFormatting>
  <conditionalFormatting sqref="E77">
    <cfRule type="cellIs" dxfId="1143" priority="810" operator="greaterThan">
      <formula>B77</formula>
    </cfRule>
  </conditionalFormatting>
  <conditionalFormatting sqref="B78">
    <cfRule type="cellIs" dxfId="1142" priority="809" operator="greaterThan">
      <formula>E78</formula>
    </cfRule>
  </conditionalFormatting>
  <conditionalFormatting sqref="D78">
    <cfRule type="expression" dxfId="1141" priority="805">
      <formula>E78&gt;B78</formula>
    </cfRule>
    <cfRule type="expression" dxfId="1140" priority="808">
      <formula>V78&lt;&gt;0</formula>
    </cfRule>
  </conditionalFormatting>
  <conditionalFormatting sqref="C78">
    <cfRule type="expression" dxfId="1139" priority="806">
      <formula>B78&gt;E78</formula>
    </cfRule>
    <cfRule type="expression" dxfId="1138" priority="807">
      <formula>V78&lt;&gt;0</formula>
    </cfRule>
  </conditionalFormatting>
  <conditionalFormatting sqref="E78">
    <cfRule type="cellIs" dxfId="1137" priority="804" operator="greaterThan">
      <formula>B78</formula>
    </cfRule>
  </conditionalFormatting>
  <conditionalFormatting sqref="B79">
    <cfRule type="cellIs" dxfId="1136" priority="803" operator="greaterThan">
      <formula>E79</formula>
    </cfRule>
  </conditionalFormatting>
  <conditionalFormatting sqref="D79">
    <cfRule type="expression" dxfId="1135" priority="799">
      <formula>E79&gt;B79</formula>
    </cfRule>
    <cfRule type="expression" dxfId="1134" priority="802">
      <formula>V79&lt;&gt;0</formula>
    </cfRule>
  </conditionalFormatting>
  <conditionalFormatting sqref="C79">
    <cfRule type="expression" dxfId="1133" priority="800">
      <formula>B79&gt;E79</formula>
    </cfRule>
    <cfRule type="expression" dxfId="1132" priority="801">
      <formula>V79&lt;&gt;0</formula>
    </cfRule>
  </conditionalFormatting>
  <conditionalFormatting sqref="E79">
    <cfRule type="cellIs" dxfId="1131" priority="798" operator="greaterThan">
      <formula>B79</formula>
    </cfRule>
  </conditionalFormatting>
  <conditionalFormatting sqref="B80">
    <cfRule type="cellIs" dxfId="1130" priority="797" operator="greaterThan">
      <formula>E80</formula>
    </cfRule>
  </conditionalFormatting>
  <conditionalFormatting sqref="D80">
    <cfRule type="expression" dxfId="1129" priority="793">
      <formula>E80&gt;B80</formula>
    </cfRule>
    <cfRule type="expression" dxfId="1128" priority="796">
      <formula>V80&lt;&gt;0</formula>
    </cfRule>
  </conditionalFormatting>
  <conditionalFormatting sqref="C80">
    <cfRule type="expression" dxfId="1127" priority="794">
      <formula>B80&gt;E80</formula>
    </cfRule>
    <cfRule type="expression" dxfId="1126" priority="795">
      <formula>V80&lt;&gt;0</formula>
    </cfRule>
  </conditionalFormatting>
  <conditionalFormatting sqref="E80">
    <cfRule type="cellIs" dxfId="1125" priority="792" operator="greaterThan">
      <formula>B80</formula>
    </cfRule>
  </conditionalFormatting>
  <conditionalFormatting sqref="B81">
    <cfRule type="cellIs" dxfId="1124" priority="791" operator="greaterThan">
      <formula>E81</formula>
    </cfRule>
  </conditionalFormatting>
  <conditionalFormatting sqref="D81">
    <cfRule type="expression" dxfId="1123" priority="787">
      <formula>E81&gt;B81</formula>
    </cfRule>
    <cfRule type="expression" dxfId="1122" priority="790">
      <formula>V81&lt;&gt;0</formula>
    </cfRule>
  </conditionalFormatting>
  <conditionalFormatting sqref="C81">
    <cfRule type="expression" dxfId="1121" priority="788">
      <formula>B81&gt;E81</formula>
    </cfRule>
    <cfRule type="expression" dxfId="1120" priority="789">
      <formula>V81&lt;&gt;0</formula>
    </cfRule>
  </conditionalFormatting>
  <conditionalFormatting sqref="E81">
    <cfRule type="cellIs" dxfId="1119" priority="786" operator="greaterThan">
      <formula>B81</formula>
    </cfRule>
  </conditionalFormatting>
  <conditionalFormatting sqref="B82">
    <cfRule type="cellIs" dxfId="1118" priority="785" operator="greaterThan">
      <formula>E82</formula>
    </cfRule>
  </conditionalFormatting>
  <conditionalFormatting sqref="D82">
    <cfRule type="expression" dxfId="1117" priority="781">
      <formula>E82&gt;B82</formula>
    </cfRule>
    <cfRule type="expression" dxfId="1116" priority="784">
      <formula>V82&lt;&gt;0</formula>
    </cfRule>
  </conditionalFormatting>
  <conditionalFormatting sqref="C82">
    <cfRule type="expression" dxfId="1115" priority="782">
      <formula>B82&gt;E82</formula>
    </cfRule>
    <cfRule type="expression" dxfId="1114" priority="783">
      <formula>V82&lt;&gt;0</formula>
    </cfRule>
  </conditionalFormatting>
  <conditionalFormatting sqref="E82">
    <cfRule type="cellIs" dxfId="1113" priority="780" operator="greaterThan">
      <formula>B82</formula>
    </cfRule>
  </conditionalFormatting>
  <conditionalFormatting sqref="B83">
    <cfRule type="cellIs" dxfId="1112" priority="779" operator="greaterThan">
      <formula>E83</formula>
    </cfRule>
  </conditionalFormatting>
  <conditionalFormatting sqref="D83">
    <cfRule type="expression" dxfId="1111" priority="775">
      <formula>E83&gt;B83</formula>
    </cfRule>
    <cfRule type="expression" dxfId="1110" priority="778">
      <formula>V83&lt;&gt;0</formula>
    </cfRule>
  </conditionalFormatting>
  <conditionalFormatting sqref="C83">
    <cfRule type="expression" dxfId="1109" priority="776">
      <formula>B83&gt;E83</formula>
    </cfRule>
    <cfRule type="expression" dxfId="1108" priority="777">
      <formula>V83&lt;&gt;0</formula>
    </cfRule>
  </conditionalFormatting>
  <conditionalFormatting sqref="E83">
    <cfRule type="cellIs" dxfId="1107" priority="774" operator="greaterThan">
      <formula>B83</formula>
    </cfRule>
  </conditionalFormatting>
  <conditionalFormatting sqref="B84">
    <cfRule type="cellIs" dxfId="1106" priority="773" operator="greaterThan">
      <formula>E84</formula>
    </cfRule>
  </conditionalFormatting>
  <conditionalFormatting sqref="D84">
    <cfRule type="expression" dxfId="1105" priority="769">
      <formula>E84&gt;B84</formula>
    </cfRule>
    <cfRule type="expression" dxfId="1104" priority="772">
      <formula>V84&lt;&gt;0</formula>
    </cfRule>
  </conditionalFormatting>
  <conditionalFormatting sqref="C84">
    <cfRule type="expression" dxfId="1103" priority="770">
      <formula>B84&gt;E84</formula>
    </cfRule>
    <cfRule type="expression" dxfId="1102" priority="771">
      <formula>V84&lt;&gt;0</formula>
    </cfRule>
  </conditionalFormatting>
  <conditionalFormatting sqref="E84">
    <cfRule type="cellIs" dxfId="1101" priority="768" operator="greaterThan">
      <formula>B84</formula>
    </cfRule>
  </conditionalFormatting>
  <conditionalFormatting sqref="B85">
    <cfRule type="cellIs" dxfId="1100" priority="767" operator="greaterThan">
      <formula>E85</formula>
    </cfRule>
  </conditionalFormatting>
  <conditionalFormatting sqref="D85">
    <cfRule type="expression" dxfId="1099" priority="763">
      <formula>E85&gt;B85</formula>
    </cfRule>
    <cfRule type="expression" dxfId="1098" priority="766">
      <formula>V85&lt;&gt;0</formula>
    </cfRule>
  </conditionalFormatting>
  <conditionalFormatting sqref="C85">
    <cfRule type="expression" dxfId="1097" priority="764">
      <formula>B85&gt;E85</formula>
    </cfRule>
    <cfRule type="expression" dxfId="1096" priority="765">
      <formula>V85&lt;&gt;0</formula>
    </cfRule>
  </conditionalFormatting>
  <conditionalFormatting sqref="E85">
    <cfRule type="cellIs" dxfId="1095" priority="762" operator="greaterThan">
      <formula>B85</formula>
    </cfRule>
  </conditionalFormatting>
  <conditionalFormatting sqref="B86">
    <cfRule type="cellIs" dxfId="1094" priority="761" operator="greaterThan">
      <formula>E86</formula>
    </cfRule>
  </conditionalFormatting>
  <conditionalFormatting sqref="D86">
    <cfRule type="expression" dxfId="1093" priority="757">
      <formula>E86&gt;B86</formula>
    </cfRule>
    <cfRule type="expression" dxfId="1092" priority="760">
      <formula>V86&lt;&gt;0</formula>
    </cfRule>
  </conditionalFormatting>
  <conditionalFormatting sqref="C86">
    <cfRule type="expression" dxfId="1091" priority="758">
      <formula>B86&gt;E86</formula>
    </cfRule>
    <cfRule type="expression" dxfId="1090" priority="759">
      <formula>V86&lt;&gt;0</formula>
    </cfRule>
  </conditionalFormatting>
  <conditionalFormatting sqref="E86">
    <cfRule type="cellIs" dxfId="1089" priority="756" operator="greaterThan">
      <formula>B86</formula>
    </cfRule>
  </conditionalFormatting>
  <conditionalFormatting sqref="B87">
    <cfRule type="cellIs" dxfId="1088" priority="755" operator="greaterThan">
      <formula>E87</formula>
    </cfRule>
  </conditionalFormatting>
  <conditionalFormatting sqref="D87">
    <cfRule type="expression" dxfId="1087" priority="751">
      <formula>E87&gt;B87</formula>
    </cfRule>
    <cfRule type="expression" dxfId="1086" priority="754">
      <formula>V87&lt;&gt;0</formula>
    </cfRule>
  </conditionalFormatting>
  <conditionalFormatting sqref="C87">
    <cfRule type="expression" dxfId="1085" priority="752">
      <formula>B87&gt;E87</formula>
    </cfRule>
    <cfRule type="expression" dxfId="1084" priority="753">
      <formula>V87&lt;&gt;0</formula>
    </cfRule>
  </conditionalFormatting>
  <conditionalFormatting sqref="E87">
    <cfRule type="cellIs" dxfId="1083" priority="750" operator="greaterThan">
      <formula>B87</formula>
    </cfRule>
  </conditionalFormatting>
  <conditionalFormatting sqref="B88">
    <cfRule type="cellIs" dxfId="1082" priority="749" operator="greaterThan">
      <formula>E88</formula>
    </cfRule>
  </conditionalFormatting>
  <conditionalFormatting sqref="D88">
    <cfRule type="expression" dxfId="1081" priority="745">
      <formula>E88&gt;B88</formula>
    </cfRule>
    <cfRule type="expression" dxfId="1080" priority="748">
      <formula>V88&lt;&gt;0</formula>
    </cfRule>
  </conditionalFormatting>
  <conditionalFormatting sqref="C88">
    <cfRule type="expression" dxfId="1079" priority="746">
      <formula>B88&gt;E88</formula>
    </cfRule>
    <cfRule type="expression" dxfId="1078" priority="747">
      <formula>V88&lt;&gt;0</formula>
    </cfRule>
  </conditionalFormatting>
  <conditionalFormatting sqref="E88">
    <cfRule type="cellIs" dxfId="1077" priority="744" operator="greaterThan">
      <formula>B88</formula>
    </cfRule>
  </conditionalFormatting>
  <conditionalFormatting sqref="B89">
    <cfRule type="cellIs" dxfId="1076" priority="743" operator="greaterThan">
      <formula>E89</formula>
    </cfRule>
  </conditionalFormatting>
  <conditionalFormatting sqref="D89">
    <cfRule type="expression" dxfId="1075" priority="739">
      <formula>E89&gt;B89</formula>
    </cfRule>
    <cfRule type="expression" dxfId="1074" priority="742">
      <formula>V89&lt;&gt;0</formula>
    </cfRule>
  </conditionalFormatting>
  <conditionalFormatting sqref="C89">
    <cfRule type="expression" dxfId="1073" priority="740">
      <formula>B89&gt;E89</formula>
    </cfRule>
    <cfRule type="expression" dxfId="1072" priority="741">
      <formula>V89&lt;&gt;0</formula>
    </cfRule>
  </conditionalFormatting>
  <conditionalFormatting sqref="E89">
    <cfRule type="cellIs" dxfId="1071" priority="738" operator="greaterThan">
      <formula>B89</formula>
    </cfRule>
  </conditionalFormatting>
  <conditionalFormatting sqref="B90">
    <cfRule type="cellIs" dxfId="1070" priority="737" operator="greaterThan">
      <formula>E90</formula>
    </cfRule>
  </conditionalFormatting>
  <conditionalFormatting sqref="D90">
    <cfRule type="expression" dxfId="1069" priority="733">
      <formula>E90&gt;B90</formula>
    </cfRule>
    <cfRule type="expression" dxfId="1068" priority="736">
      <formula>V90&lt;&gt;0</formula>
    </cfRule>
  </conditionalFormatting>
  <conditionalFormatting sqref="C90">
    <cfRule type="expression" dxfId="1067" priority="734">
      <formula>B90&gt;E90</formula>
    </cfRule>
    <cfRule type="expression" dxfId="1066" priority="735">
      <formula>V90&lt;&gt;0</formula>
    </cfRule>
  </conditionalFormatting>
  <conditionalFormatting sqref="E90">
    <cfRule type="cellIs" dxfId="1065" priority="732" operator="greaterThan">
      <formula>B90</formula>
    </cfRule>
  </conditionalFormatting>
  <conditionalFormatting sqref="B91">
    <cfRule type="cellIs" dxfId="1064" priority="731" operator="greaterThan">
      <formula>E91</formula>
    </cfRule>
  </conditionalFormatting>
  <conditionalFormatting sqref="D91">
    <cfRule type="expression" dxfId="1063" priority="727">
      <formula>E91&gt;B91</formula>
    </cfRule>
    <cfRule type="expression" dxfId="1062" priority="730">
      <formula>V91&lt;&gt;0</formula>
    </cfRule>
  </conditionalFormatting>
  <conditionalFormatting sqref="C91">
    <cfRule type="expression" dxfId="1061" priority="728">
      <formula>B91&gt;E91</formula>
    </cfRule>
    <cfRule type="expression" dxfId="1060" priority="729">
      <formula>V91&lt;&gt;0</formula>
    </cfRule>
  </conditionalFormatting>
  <conditionalFormatting sqref="E91">
    <cfRule type="cellIs" dxfId="1059" priority="726" operator="greaterThan">
      <formula>B91</formula>
    </cfRule>
  </conditionalFormatting>
  <conditionalFormatting sqref="B92">
    <cfRule type="cellIs" dxfId="1058" priority="725" operator="greaterThan">
      <formula>E92</formula>
    </cfRule>
  </conditionalFormatting>
  <conditionalFormatting sqref="D92">
    <cfRule type="expression" dxfId="1057" priority="721">
      <formula>E92&gt;B92</formula>
    </cfRule>
    <cfRule type="expression" dxfId="1056" priority="724">
      <formula>V92&lt;&gt;0</formula>
    </cfRule>
  </conditionalFormatting>
  <conditionalFormatting sqref="C92">
    <cfRule type="expression" dxfId="1055" priority="722">
      <formula>B92&gt;E92</formula>
    </cfRule>
    <cfRule type="expression" dxfId="1054" priority="723">
      <formula>V92&lt;&gt;0</formula>
    </cfRule>
  </conditionalFormatting>
  <conditionalFormatting sqref="E92">
    <cfRule type="cellIs" dxfId="1053" priority="720" operator="greaterThan">
      <formula>B92</formula>
    </cfRule>
  </conditionalFormatting>
  <conditionalFormatting sqref="B93">
    <cfRule type="cellIs" dxfId="1052" priority="719" operator="greaterThan">
      <formula>E93</formula>
    </cfRule>
  </conditionalFormatting>
  <conditionalFormatting sqref="D93">
    <cfRule type="expression" dxfId="1051" priority="715">
      <formula>E93&gt;B93</formula>
    </cfRule>
    <cfRule type="expression" dxfId="1050" priority="718">
      <formula>V93&lt;&gt;0</formula>
    </cfRule>
  </conditionalFormatting>
  <conditionalFormatting sqref="C93">
    <cfRule type="expression" dxfId="1049" priority="716">
      <formula>B93&gt;E93</formula>
    </cfRule>
    <cfRule type="expression" dxfId="1048" priority="717">
      <formula>V93&lt;&gt;0</formula>
    </cfRule>
  </conditionalFormatting>
  <conditionalFormatting sqref="E93">
    <cfRule type="cellIs" dxfId="1047" priority="714" operator="greaterThan">
      <formula>B93</formula>
    </cfRule>
  </conditionalFormatting>
  <conditionalFormatting sqref="B94">
    <cfRule type="cellIs" dxfId="1046" priority="713" operator="greaterThan">
      <formula>E94</formula>
    </cfRule>
  </conditionalFormatting>
  <conditionalFormatting sqref="D94">
    <cfRule type="expression" dxfId="1045" priority="709">
      <formula>E94&gt;B94</formula>
    </cfRule>
    <cfRule type="expression" dxfId="1044" priority="712">
      <formula>V94&lt;&gt;0</formula>
    </cfRule>
  </conditionalFormatting>
  <conditionalFormatting sqref="C94">
    <cfRule type="expression" dxfId="1043" priority="710">
      <formula>B94&gt;E94</formula>
    </cfRule>
    <cfRule type="expression" dxfId="1042" priority="711">
      <formula>V94&lt;&gt;0</formula>
    </cfRule>
  </conditionalFormatting>
  <conditionalFormatting sqref="E94">
    <cfRule type="cellIs" dxfId="1041" priority="708" operator="greaterThan">
      <formula>B94</formula>
    </cfRule>
  </conditionalFormatting>
  <conditionalFormatting sqref="B95">
    <cfRule type="cellIs" dxfId="1040" priority="707" operator="greaterThan">
      <formula>E95</formula>
    </cfRule>
  </conditionalFormatting>
  <conditionalFormatting sqref="D95">
    <cfRule type="expression" dxfId="1039" priority="703">
      <formula>E95&gt;B95</formula>
    </cfRule>
    <cfRule type="expression" dxfId="1038" priority="706">
      <formula>V95&lt;&gt;0</formula>
    </cfRule>
  </conditionalFormatting>
  <conditionalFormatting sqref="C95">
    <cfRule type="expression" dxfId="1037" priority="704">
      <formula>B95&gt;E95</formula>
    </cfRule>
    <cfRule type="expression" dxfId="1036" priority="705">
      <formula>V95&lt;&gt;0</formula>
    </cfRule>
  </conditionalFormatting>
  <conditionalFormatting sqref="E95">
    <cfRule type="cellIs" dxfId="1035" priority="702" operator="greaterThan">
      <formula>B95</formula>
    </cfRule>
  </conditionalFormatting>
  <conditionalFormatting sqref="B96">
    <cfRule type="cellIs" dxfId="1034" priority="701" operator="greaterThan">
      <formula>E96</formula>
    </cfRule>
  </conditionalFormatting>
  <conditionalFormatting sqref="D96">
    <cfRule type="expression" dxfId="1033" priority="697">
      <formula>E96&gt;B96</formula>
    </cfRule>
    <cfRule type="expression" dxfId="1032" priority="700">
      <formula>V96&lt;&gt;0</formula>
    </cfRule>
  </conditionalFormatting>
  <conditionalFormatting sqref="C96">
    <cfRule type="expression" dxfId="1031" priority="698">
      <formula>B96&gt;E96</formula>
    </cfRule>
    <cfRule type="expression" dxfId="1030" priority="699">
      <formula>V96&lt;&gt;0</formula>
    </cfRule>
  </conditionalFormatting>
  <conditionalFormatting sqref="E96">
    <cfRule type="cellIs" dxfId="1029" priority="696" operator="greaterThan">
      <formula>B96</formula>
    </cfRule>
  </conditionalFormatting>
  <conditionalFormatting sqref="B97">
    <cfRule type="cellIs" dxfId="1028" priority="695" operator="greaterThan">
      <formula>E97</formula>
    </cfRule>
  </conditionalFormatting>
  <conditionalFormatting sqref="D97">
    <cfRule type="expression" dxfId="1027" priority="691">
      <formula>E97&gt;B97</formula>
    </cfRule>
    <cfRule type="expression" dxfId="1026" priority="694">
      <formula>V97&lt;&gt;0</formula>
    </cfRule>
  </conditionalFormatting>
  <conditionalFormatting sqref="C97">
    <cfRule type="expression" dxfId="1025" priority="692">
      <formula>B97&gt;E97</formula>
    </cfRule>
    <cfRule type="expression" dxfId="1024" priority="693">
      <formula>V97&lt;&gt;0</formula>
    </cfRule>
  </conditionalFormatting>
  <conditionalFormatting sqref="E97">
    <cfRule type="cellIs" dxfId="1023" priority="690" operator="greaterThan">
      <formula>B97</formula>
    </cfRule>
  </conditionalFormatting>
  <conditionalFormatting sqref="B98">
    <cfRule type="cellIs" dxfId="1022" priority="689" operator="greaterThan">
      <formula>E98</formula>
    </cfRule>
  </conditionalFormatting>
  <conditionalFormatting sqref="D98">
    <cfRule type="expression" dxfId="1021" priority="685">
      <formula>E98&gt;B98</formula>
    </cfRule>
    <cfRule type="expression" dxfId="1020" priority="688">
      <formula>V98&lt;&gt;0</formula>
    </cfRule>
  </conditionalFormatting>
  <conditionalFormatting sqref="C98">
    <cfRule type="expression" dxfId="1019" priority="686">
      <formula>B98&gt;E98</formula>
    </cfRule>
    <cfRule type="expression" dxfId="1018" priority="687">
      <formula>V98&lt;&gt;0</formula>
    </cfRule>
  </conditionalFormatting>
  <conditionalFormatting sqref="E98">
    <cfRule type="cellIs" dxfId="1017" priority="684" operator="greaterThan">
      <formula>B98</formula>
    </cfRule>
  </conditionalFormatting>
  <conditionalFormatting sqref="B99">
    <cfRule type="cellIs" dxfId="1016" priority="683" operator="greaterThan">
      <formula>E99</formula>
    </cfRule>
  </conditionalFormatting>
  <conditionalFormatting sqref="D99">
    <cfRule type="expression" dxfId="1015" priority="679">
      <formula>E99&gt;B99</formula>
    </cfRule>
    <cfRule type="expression" dxfId="1014" priority="682">
      <formula>V99&lt;&gt;0</formula>
    </cfRule>
  </conditionalFormatting>
  <conditionalFormatting sqref="C99">
    <cfRule type="expression" dxfId="1013" priority="680">
      <formula>B99&gt;E99</formula>
    </cfRule>
    <cfRule type="expression" dxfId="1012" priority="681">
      <formula>V99&lt;&gt;0</formula>
    </cfRule>
  </conditionalFormatting>
  <conditionalFormatting sqref="E99">
    <cfRule type="cellIs" dxfId="1011" priority="678" operator="greaterThan">
      <formula>B99</formula>
    </cfRule>
  </conditionalFormatting>
  <conditionalFormatting sqref="B100">
    <cfRule type="cellIs" dxfId="1010" priority="677" operator="greaterThan">
      <formula>E100</formula>
    </cfRule>
  </conditionalFormatting>
  <conditionalFormatting sqref="D100">
    <cfRule type="expression" dxfId="1009" priority="673">
      <formula>E100&gt;B100</formula>
    </cfRule>
    <cfRule type="expression" dxfId="1008" priority="676">
      <formula>V100&lt;&gt;0</formula>
    </cfRule>
  </conditionalFormatting>
  <conditionalFormatting sqref="C100">
    <cfRule type="expression" dxfId="1007" priority="674">
      <formula>B100&gt;E100</formula>
    </cfRule>
    <cfRule type="expression" dxfId="1006" priority="675">
      <formula>V100&lt;&gt;0</formula>
    </cfRule>
  </conditionalFormatting>
  <conditionalFormatting sqref="E100">
    <cfRule type="cellIs" dxfId="1005" priority="672" operator="greaterThan">
      <formula>B100</formula>
    </cfRule>
  </conditionalFormatting>
  <conditionalFormatting sqref="B101">
    <cfRule type="cellIs" dxfId="1004" priority="671" operator="greaterThan">
      <formula>E101</formula>
    </cfRule>
  </conditionalFormatting>
  <conditionalFormatting sqref="D101">
    <cfRule type="expression" dxfId="1003" priority="667">
      <formula>E101&gt;B101</formula>
    </cfRule>
    <cfRule type="expression" dxfId="1002" priority="670">
      <formula>V101&lt;&gt;0</formula>
    </cfRule>
  </conditionalFormatting>
  <conditionalFormatting sqref="C101">
    <cfRule type="expression" dxfId="1001" priority="668">
      <formula>B101&gt;E101</formula>
    </cfRule>
    <cfRule type="expression" dxfId="1000" priority="669">
      <formula>V101&lt;&gt;0</formula>
    </cfRule>
  </conditionalFormatting>
  <conditionalFormatting sqref="E101">
    <cfRule type="cellIs" dxfId="999" priority="666" operator="greaterThan">
      <formula>B101</formula>
    </cfRule>
  </conditionalFormatting>
  <conditionalFormatting sqref="B102">
    <cfRule type="cellIs" dxfId="998" priority="665" operator="greaterThan">
      <formula>E102</formula>
    </cfRule>
  </conditionalFormatting>
  <conditionalFormatting sqref="D102">
    <cfRule type="expression" dxfId="997" priority="661">
      <formula>E102&gt;B102</formula>
    </cfRule>
    <cfRule type="expression" dxfId="996" priority="664">
      <formula>V102&lt;&gt;0</formula>
    </cfRule>
  </conditionalFormatting>
  <conditionalFormatting sqref="C102">
    <cfRule type="expression" dxfId="995" priority="662">
      <formula>B102&gt;E102</formula>
    </cfRule>
    <cfRule type="expression" dxfId="994" priority="663">
      <formula>V102&lt;&gt;0</formula>
    </cfRule>
  </conditionalFormatting>
  <conditionalFormatting sqref="E102">
    <cfRule type="cellIs" dxfId="993" priority="660" operator="greaterThan">
      <formula>B102</formula>
    </cfRule>
  </conditionalFormatting>
  <conditionalFormatting sqref="B103">
    <cfRule type="cellIs" dxfId="992" priority="659" operator="greaterThan">
      <formula>E103</formula>
    </cfRule>
  </conditionalFormatting>
  <conditionalFormatting sqref="D103">
    <cfRule type="expression" dxfId="991" priority="655">
      <formula>E103&gt;B103</formula>
    </cfRule>
    <cfRule type="expression" dxfId="990" priority="658">
      <formula>V103&lt;&gt;0</formula>
    </cfRule>
  </conditionalFormatting>
  <conditionalFormatting sqref="C103">
    <cfRule type="expression" dxfId="989" priority="656">
      <formula>B103&gt;E103</formula>
    </cfRule>
    <cfRule type="expression" dxfId="988" priority="657">
      <formula>V103&lt;&gt;0</formula>
    </cfRule>
  </conditionalFormatting>
  <conditionalFormatting sqref="E103">
    <cfRule type="cellIs" dxfId="987" priority="654" operator="greaterThan">
      <formula>B103</formula>
    </cfRule>
  </conditionalFormatting>
  <conditionalFormatting sqref="B104">
    <cfRule type="cellIs" dxfId="986" priority="653" operator="greaterThan">
      <formula>E104</formula>
    </cfRule>
  </conditionalFormatting>
  <conditionalFormatting sqref="D104">
    <cfRule type="expression" dxfId="985" priority="649">
      <formula>E104&gt;B104</formula>
    </cfRule>
    <cfRule type="expression" dxfId="984" priority="652">
      <formula>V104&lt;&gt;0</formula>
    </cfRule>
  </conditionalFormatting>
  <conditionalFormatting sqref="C104">
    <cfRule type="expression" dxfId="983" priority="650">
      <formula>B104&gt;E104</formula>
    </cfRule>
    <cfRule type="expression" dxfId="982" priority="651">
      <formula>V104&lt;&gt;0</formula>
    </cfRule>
  </conditionalFormatting>
  <conditionalFormatting sqref="E104">
    <cfRule type="cellIs" dxfId="981" priority="648" operator="greaterThan">
      <formula>B104</formula>
    </cfRule>
  </conditionalFormatting>
  <conditionalFormatting sqref="B105">
    <cfRule type="cellIs" dxfId="980" priority="647" operator="greaterThan">
      <formula>E105</formula>
    </cfRule>
  </conditionalFormatting>
  <conditionalFormatting sqref="D105">
    <cfRule type="expression" dxfId="979" priority="643">
      <formula>E105&gt;B105</formula>
    </cfRule>
    <cfRule type="expression" dxfId="978" priority="646">
      <formula>V105&lt;&gt;0</formula>
    </cfRule>
  </conditionalFormatting>
  <conditionalFormatting sqref="C105">
    <cfRule type="expression" dxfId="977" priority="644">
      <formula>B105&gt;E105</formula>
    </cfRule>
    <cfRule type="expression" dxfId="976" priority="645">
      <formula>V105&lt;&gt;0</formula>
    </cfRule>
  </conditionalFormatting>
  <conditionalFormatting sqref="E105">
    <cfRule type="cellIs" dxfId="975" priority="642" operator="greaterThan">
      <formula>B105</formula>
    </cfRule>
  </conditionalFormatting>
  <conditionalFormatting sqref="B106">
    <cfRule type="cellIs" dxfId="974" priority="641" operator="greaterThan">
      <formula>E106</formula>
    </cfRule>
  </conditionalFormatting>
  <conditionalFormatting sqref="D106">
    <cfRule type="expression" dxfId="973" priority="637">
      <formula>E106&gt;B106</formula>
    </cfRule>
    <cfRule type="expression" dxfId="972" priority="640">
      <formula>V106&lt;&gt;0</formula>
    </cfRule>
  </conditionalFormatting>
  <conditionalFormatting sqref="C106">
    <cfRule type="expression" dxfId="971" priority="638">
      <formula>B106&gt;E106</formula>
    </cfRule>
    <cfRule type="expression" dxfId="970" priority="639">
      <formula>V106&lt;&gt;0</formula>
    </cfRule>
  </conditionalFormatting>
  <conditionalFormatting sqref="E106">
    <cfRule type="cellIs" dxfId="969" priority="636" operator="greaterThan">
      <formula>B106</formula>
    </cfRule>
  </conditionalFormatting>
  <conditionalFormatting sqref="B107">
    <cfRule type="cellIs" dxfId="968" priority="635" operator="greaterThan">
      <formula>E107</formula>
    </cfRule>
  </conditionalFormatting>
  <conditionalFormatting sqref="D107">
    <cfRule type="expression" dxfId="967" priority="631">
      <formula>E107&gt;B107</formula>
    </cfRule>
    <cfRule type="expression" dxfId="966" priority="634">
      <formula>V107&lt;&gt;0</formula>
    </cfRule>
  </conditionalFormatting>
  <conditionalFormatting sqref="C107">
    <cfRule type="expression" dxfId="965" priority="632">
      <formula>B107&gt;E107</formula>
    </cfRule>
    <cfRule type="expression" dxfId="964" priority="633">
      <formula>V107&lt;&gt;0</formula>
    </cfRule>
  </conditionalFormatting>
  <conditionalFormatting sqref="E107">
    <cfRule type="cellIs" dxfId="963" priority="630" operator="greaterThan">
      <formula>B107</formula>
    </cfRule>
  </conditionalFormatting>
  <conditionalFormatting sqref="B108">
    <cfRule type="cellIs" dxfId="962" priority="629" operator="greaterThan">
      <formula>E108</formula>
    </cfRule>
  </conditionalFormatting>
  <conditionalFormatting sqref="D108">
    <cfRule type="expression" dxfId="961" priority="625">
      <formula>E108&gt;B108</formula>
    </cfRule>
    <cfRule type="expression" dxfId="960" priority="628">
      <formula>V108&lt;&gt;0</formula>
    </cfRule>
  </conditionalFormatting>
  <conditionalFormatting sqref="C108">
    <cfRule type="expression" dxfId="959" priority="626">
      <formula>B108&gt;E108</formula>
    </cfRule>
    <cfRule type="expression" dxfId="958" priority="627">
      <formula>V108&lt;&gt;0</formula>
    </cfRule>
  </conditionalFormatting>
  <conditionalFormatting sqref="E108">
    <cfRule type="cellIs" dxfId="957" priority="624" operator="greaterThan">
      <formula>B108</formula>
    </cfRule>
  </conditionalFormatting>
  <conditionalFormatting sqref="B109">
    <cfRule type="cellIs" dxfId="956" priority="623" operator="greaterThan">
      <formula>E109</formula>
    </cfRule>
  </conditionalFormatting>
  <conditionalFormatting sqref="D109">
    <cfRule type="expression" dxfId="955" priority="619">
      <formula>E109&gt;B109</formula>
    </cfRule>
    <cfRule type="expression" dxfId="954" priority="622">
      <formula>V109&lt;&gt;0</formula>
    </cfRule>
  </conditionalFormatting>
  <conditionalFormatting sqref="C109">
    <cfRule type="expression" dxfId="953" priority="620">
      <formula>B109&gt;E109</formula>
    </cfRule>
    <cfRule type="expression" dxfId="952" priority="621">
      <formula>V109&lt;&gt;0</formula>
    </cfRule>
  </conditionalFormatting>
  <conditionalFormatting sqref="E109">
    <cfRule type="cellIs" dxfId="951" priority="618" operator="greaterThan">
      <formula>B109</formula>
    </cfRule>
  </conditionalFormatting>
  <conditionalFormatting sqref="B110">
    <cfRule type="cellIs" dxfId="950" priority="617" operator="greaterThan">
      <formula>E110</formula>
    </cfRule>
  </conditionalFormatting>
  <conditionalFormatting sqref="D110">
    <cfRule type="expression" dxfId="949" priority="613">
      <formula>E110&gt;B110</formula>
    </cfRule>
    <cfRule type="expression" dxfId="948" priority="616">
      <formula>V110&lt;&gt;0</formula>
    </cfRule>
  </conditionalFormatting>
  <conditionalFormatting sqref="C110">
    <cfRule type="expression" dxfId="947" priority="614">
      <formula>B110&gt;E110</formula>
    </cfRule>
    <cfRule type="expression" dxfId="946" priority="615">
      <formula>V110&lt;&gt;0</formula>
    </cfRule>
  </conditionalFormatting>
  <conditionalFormatting sqref="E110">
    <cfRule type="cellIs" dxfId="945" priority="612" operator="greaterThan">
      <formula>B110</formula>
    </cfRule>
  </conditionalFormatting>
  <conditionalFormatting sqref="B111">
    <cfRule type="cellIs" dxfId="944" priority="611" operator="greaterThan">
      <formula>E111</formula>
    </cfRule>
  </conditionalFormatting>
  <conditionalFormatting sqref="D111">
    <cfRule type="expression" dxfId="943" priority="607">
      <formula>E111&gt;B111</formula>
    </cfRule>
    <cfRule type="expression" dxfId="942" priority="610">
      <formula>V111&lt;&gt;0</formula>
    </cfRule>
  </conditionalFormatting>
  <conditionalFormatting sqref="C111">
    <cfRule type="expression" dxfId="941" priority="608">
      <formula>B111&gt;E111</formula>
    </cfRule>
    <cfRule type="expression" dxfId="940" priority="609">
      <formula>V111&lt;&gt;0</formula>
    </cfRule>
  </conditionalFormatting>
  <conditionalFormatting sqref="E111">
    <cfRule type="cellIs" dxfId="939" priority="606" operator="greaterThan">
      <formula>B111</formula>
    </cfRule>
  </conditionalFormatting>
  <conditionalFormatting sqref="B112">
    <cfRule type="cellIs" dxfId="938" priority="605" operator="greaterThan">
      <formula>E112</formula>
    </cfRule>
  </conditionalFormatting>
  <conditionalFormatting sqref="D112">
    <cfRule type="expression" dxfId="937" priority="601">
      <formula>E112&gt;B112</formula>
    </cfRule>
    <cfRule type="expression" dxfId="936" priority="604">
      <formula>V112&lt;&gt;0</formula>
    </cfRule>
  </conditionalFormatting>
  <conditionalFormatting sqref="C112">
    <cfRule type="expression" dxfId="935" priority="602">
      <formula>B112&gt;E112</formula>
    </cfRule>
    <cfRule type="expression" dxfId="934" priority="603">
      <formula>V112&lt;&gt;0</formula>
    </cfRule>
  </conditionalFormatting>
  <conditionalFormatting sqref="E112">
    <cfRule type="cellIs" dxfId="933" priority="600" operator="greaterThan">
      <formula>B112</formula>
    </cfRule>
  </conditionalFormatting>
  <conditionalFormatting sqref="B113">
    <cfRule type="cellIs" dxfId="932" priority="599" operator="greaterThan">
      <formula>E113</formula>
    </cfRule>
  </conditionalFormatting>
  <conditionalFormatting sqref="D113">
    <cfRule type="expression" dxfId="931" priority="595">
      <formula>E113&gt;B113</formula>
    </cfRule>
    <cfRule type="expression" dxfId="930" priority="598">
      <formula>V113&lt;&gt;0</formula>
    </cfRule>
  </conditionalFormatting>
  <conditionalFormatting sqref="C113">
    <cfRule type="expression" dxfId="929" priority="596">
      <formula>B113&gt;E113</formula>
    </cfRule>
    <cfRule type="expression" dxfId="928" priority="597">
      <formula>V113&lt;&gt;0</formula>
    </cfRule>
  </conditionalFormatting>
  <conditionalFormatting sqref="E113">
    <cfRule type="cellIs" dxfId="927" priority="594" operator="greaterThan">
      <formula>B113</formula>
    </cfRule>
  </conditionalFormatting>
  <conditionalFormatting sqref="B114">
    <cfRule type="cellIs" dxfId="926" priority="593" operator="greaterThan">
      <formula>E114</formula>
    </cfRule>
  </conditionalFormatting>
  <conditionalFormatting sqref="D114">
    <cfRule type="expression" dxfId="925" priority="589">
      <formula>E114&gt;B114</formula>
    </cfRule>
    <cfRule type="expression" dxfId="924" priority="592">
      <formula>V114&lt;&gt;0</formula>
    </cfRule>
  </conditionalFormatting>
  <conditionalFormatting sqref="C114">
    <cfRule type="expression" dxfId="923" priority="590">
      <formula>B114&gt;E114</formula>
    </cfRule>
    <cfRule type="expression" dxfId="922" priority="591">
      <formula>V114&lt;&gt;0</formula>
    </cfRule>
  </conditionalFormatting>
  <conditionalFormatting sqref="E114">
    <cfRule type="cellIs" dxfId="921" priority="588" operator="greaterThan">
      <formula>B114</formula>
    </cfRule>
  </conditionalFormatting>
  <conditionalFormatting sqref="B115">
    <cfRule type="cellIs" dxfId="920" priority="587" operator="greaterThan">
      <formula>E115</formula>
    </cfRule>
  </conditionalFormatting>
  <conditionalFormatting sqref="D115">
    <cfRule type="expression" dxfId="919" priority="583">
      <formula>E115&gt;B115</formula>
    </cfRule>
    <cfRule type="expression" dxfId="918" priority="586">
      <formula>V115&lt;&gt;0</formula>
    </cfRule>
  </conditionalFormatting>
  <conditionalFormatting sqref="C115">
    <cfRule type="expression" dxfId="917" priority="584">
      <formula>B115&gt;E115</formula>
    </cfRule>
    <cfRule type="expression" dxfId="916" priority="585">
      <formula>V115&lt;&gt;0</formula>
    </cfRule>
  </conditionalFormatting>
  <conditionalFormatting sqref="E115">
    <cfRule type="cellIs" dxfId="915" priority="582" operator="greaterThan">
      <formula>B115</formula>
    </cfRule>
  </conditionalFormatting>
  <conditionalFormatting sqref="B116">
    <cfRule type="cellIs" dxfId="914" priority="581" operator="greaterThan">
      <formula>E116</formula>
    </cfRule>
  </conditionalFormatting>
  <conditionalFormatting sqref="D116">
    <cfRule type="expression" dxfId="913" priority="577">
      <formula>E116&gt;B116</formula>
    </cfRule>
    <cfRule type="expression" dxfId="912" priority="580">
      <formula>V116&lt;&gt;0</formula>
    </cfRule>
  </conditionalFormatting>
  <conditionalFormatting sqref="C116">
    <cfRule type="expression" dxfId="911" priority="578">
      <formula>B116&gt;E116</formula>
    </cfRule>
    <cfRule type="expression" dxfId="910" priority="579">
      <formula>V116&lt;&gt;0</formula>
    </cfRule>
  </conditionalFormatting>
  <conditionalFormatting sqref="E116">
    <cfRule type="cellIs" dxfId="909" priority="576" operator="greaterThan">
      <formula>B116</formula>
    </cfRule>
  </conditionalFormatting>
  <conditionalFormatting sqref="B117">
    <cfRule type="cellIs" dxfId="908" priority="575" operator="greaterThan">
      <formula>E117</formula>
    </cfRule>
  </conditionalFormatting>
  <conditionalFormatting sqref="D117">
    <cfRule type="expression" dxfId="907" priority="571">
      <formula>E117&gt;B117</formula>
    </cfRule>
    <cfRule type="expression" dxfId="906" priority="574">
      <formula>V117&lt;&gt;0</formula>
    </cfRule>
  </conditionalFormatting>
  <conditionalFormatting sqref="C117">
    <cfRule type="expression" dxfId="905" priority="572">
      <formula>B117&gt;E117</formula>
    </cfRule>
    <cfRule type="expression" dxfId="904" priority="573">
      <formula>V117&lt;&gt;0</formula>
    </cfRule>
  </conditionalFormatting>
  <conditionalFormatting sqref="E117">
    <cfRule type="cellIs" dxfId="903" priority="570" operator="greaterThan">
      <formula>B117</formula>
    </cfRule>
  </conditionalFormatting>
  <conditionalFormatting sqref="B118">
    <cfRule type="cellIs" dxfId="902" priority="569" operator="greaterThan">
      <formula>E118</formula>
    </cfRule>
  </conditionalFormatting>
  <conditionalFormatting sqref="D118">
    <cfRule type="expression" dxfId="901" priority="565">
      <formula>E118&gt;B118</formula>
    </cfRule>
    <cfRule type="expression" dxfId="900" priority="568">
      <formula>V118&lt;&gt;0</formula>
    </cfRule>
  </conditionalFormatting>
  <conditionalFormatting sqref="C118">
    <cfRule type="expression" dxfId="899" priority="566">
      <formula>B118&gt;E118</formula>
    </cfRule>
    <cfRule type="expression" dxfId="898" priority="567">
      <formula>V118&lt;&gt;0</formula>
    </cfRule>
  </conditionalFormatting>
  <conditionalFormatting sqref="E118">
    <cfRule type="cellIs" dxfId="897" priority="564" operator="greaterThan">
      <formula>B118</formula>
    </cfRule>
  </conditionalFormatting>
  <conditionalFormatting sqref="B119">
    <cfRule type="cellIs" dxfId="896" priority="563" operator="greaterThan">
      <formula>E119</formula>
    </cfRule>
  </conditionalFormatting>
  <conditionalFormatting sqref="D119">
    <cfRule type="expression" dxfId="895" priority="559">
      <formula>E119&gt;B119</formula>
    </cfRule>
    <cfRule type="expression" dxfId="894" priority="562">
      <formula>V119&lt;&gt;0</formula>
    </cfRule>
  </conditionalFormatting>
  <conditionalFormatting sqref="C119">
    <cfRule type="expression" dxfId="893" priority="560">
      <formula>B119&gt;E119</formula>
    </cfRule>
    <cfRule type="expression" dxfId="892" priority="561">
      <formula>V119&lt;&gt;0</formula>
    </cfRule>
  </conditionalFormatting>
  <conditionalFormatting sqref="E119">
    <cfRule type="cellIs" dxfId="891" priority="558" operator="greaterThan">
      <formula>B119</formula>
    </cfRule>
  </conditionalFormatting>
  <conditionalFormatting sqref="B120">
    <cfRule type="cellIs" dxfId="890" priority="557" operator="greaterThan">
      <formula>E120</formula>
    </cfRule>
  </conditionalFormatting>
  <conditionalFormatting sqref="D120">
    <cfRule type="expression" dxfId="889" priority="553">
      <formula>E120&gt;B120</formula>
    </cfRule>
    <cfRule type="expression" dxfId="888" priority="556">
      <formula>V120&lt;&gt;0</formula>
    </cfRule>
  </conditionalFormatting>
  <conditionalFormatting sqref="C120">
    <cfRule type="expression" dxfId="887" priority="554">
      <formula>B120&gt;E120</formula>
    </cfRule>
    <cfRule type="expression" dxfId="886" priority="555">
      <formula>V120&lt;&gt;0</formula>
    </cfRule>
  </conditionalFormatting>
  <conditionalFormatting sqref="E120">
    <cfRule type="cellIs" dxfId="885" priority="552" operator="greaterThan">
      <formula>B120</formula>
    </cfRule>
  </conditionalFormatting>
  <conditionalFormatting sqref="B121">
    <cfRule type="cellIs" dxfId="884" priority="551" operator="greaterThan">
      <formula>E121</formula>
    </cfRule>
  </conditionalFormatting>
  <conditionalFormatting sqref="D121">
    <cfRule type="expression" dxfId="883" priority="547">
      <formula>E121&gt;B121</formula>
    </cfRule>
    <cfRule type="expression" dxfId="882" priority="550">
      <formula>V121&lt;&gt;0</formula>
    </cfRule>
  </conditionalFormatting>
  <conditionalFormatting sqref="C121">
    <cfRule type="expression" dxfId="881" priority="548">
      <formula>B121&gt;E121</formula>
    </cfRule>
    <cfRule type="expression" dxfId="880" priority="549">
      <formula>V121&lt;&gt;0</formula>
    </cfRule>
  </conditionalFormatting>
  <conditionalFormatting sqref="E121">
    <cfRule type="cellIs" dxfId="879" priority="546" operator="greaterThan">
      <formula>B121</formula>
    </cfRule>
  </conditionalFormatting>
  <conditionalFormatting sqref="B122">
    <cfRule type="cellIs" dxfId="878" priority="545" operator="greaterThan">
      <formula>E122</formula>
    </cfRule>
  </conditionalFormatting>
  <conditionalFormatting sqref="D122">
    <cfRule type="expression" dxfId="877" priority="541">
      <formula>E122&gt;B122</formula>
    </cfRule>
    <cfRule type="expression" dxfId="876" priority="544">
      <formula>V122&lt;&gt;0</formula>
    </cfRule>
  </conditionalFormatting>
  <conditionalFormatting sqref="C122">
    <cfRule type="expression" dxfId="875" priority="542">
      <formula>B122&gt;E122</formula>
    </cfRule>
    <cfRule type="expression" dxfId="874" priority="543">
      <formula>V122&lt;&gt;0</formula>
    </cfRule>
  </conditionalFormatting>
  <conditionalFormatting sqref="E122">
    <cfRule type="cellIs" dxfId="873" priority="540" operator="greaterThan">
      <formula>B122</formula>
    </cfRule>
  </conditionalFormatting>
  <conditionalFormatting sqref="B123">
    <cfRule type="cellIs" dxfId="872" priority="539" operator="greaterThan">
      <formula>E123</formula>
    </cfRule>
  </conditionalFormatting>
  <conditionalFormatting sqref="D123">
    <cfRule type="expression" dxfId="871" priority="535">
      <formula>E123&gt;B123</formula>
    </cfRule>
    <cfRule type="expression" dxfId="870" priority="538">
      <formula>V123&lt;&gt;0</formula>
    </cfRule>
  </conditionalFormatting>
  <conditionalFormatting sqref="C123">
    <cfRule type="expression" dxfId="869" priority="536">
      <formula>B123&gt;E123</formula>
    </cfRule>
    <cfRule type="expression" dxfId="868" priority="537">
      <formula>V123&lt;&gt;0</formula>
    </cfRule>
  </conditionalFormatting>
  <conditionalFormatting sqref="E123">
    <cfRule type="cellIs" dxfId="867" priority="534" operator="greaterThan">
      <formula>B123</formula>
    </cfRule>
  </conditionalFormatting>
  <conditionalFormatting sqref="B124">
    <cfRule type="cellIs" dxfId="866" priority="533" operator="greaterThan">
      <formula>E124</formula>
    </cfRule>
  </conditionalFormatting>
  <conditionalFormatting sqref="D124">
    <cfRule type="expression" dxfId="865" priority="529">
      <formula>E124&gt;B124</formula>
    </cfRule>
    <cfRule type="expression" dxfId="864" priority="532">
      <formula>V124&lt;&gt;0</formula>
    </cfRule>
  </conditionalFormatting>
  <conditionalFormatting sqref="C124">
    <cfRule type="expression" dxfId="863" priority="530">
      <formula>B124&gt;E124</formula>
    </cfRule>
    <cfRule type="expression" dxfId="862" priority="531">
      <formula>V124&lt;&gt;0</formula>
    </cfRule>
  </conditionalFormatting>
  <conditionalFormatting sqref="E124">
    <cfRule type="cellIs" dxfId="861" priority="528" operator="greaterThan">
      <formula>B124</formula>
    </cfRule>
  </conditionalFormatting>
  <conditionalFormatting sqref="B125">
    <cfRule type="cellIs" dxfId="860" priority="527" operator="greaterThan">
      <formula>E125</formula>
    </cfRule>
  </conditionalFormatting>
  <conditionalFormatting sqref="D125">
    <cfRule type="expression" dxfId="859" priority="523">
      <formula>E125&gt;B125</formula>
    </cfRule>
    <cfRule type="expression" dxfId="858" priority="526">
      <formula>V125&lt;&gt;0</formula>
    </cfRule>
  </conditionalFormatting>
  <conditionalFormatting sqref="C125">
    <cfRule type="expression" dxfId="857" priority="524">
      <formula>B125&gt;E125</formula>
    </cfRule>
    <cfRule type="expression" dxfId="856" priority="525">
      <formula>V125&lt;&gt;0</formula>
    </cfRule>
  </conditionalFormatting>
  <conditionalFormatting sqref="E125">
    <cfRule type="cellIs" dxfId="855" priority="522" operator="greaterThan">
      <formula>B125</formula>
    </cfRule>
  </conditionalFormatting>
  <conditionalFormatting sqref="B126">
    <cfRule type="cellIs" dxfId="854" priority="521" operator="greaterThan">
      <formula>E126</formula>
    </cfRule>
  </conditionalFormatting>
  <conditionalFormatting sqref="D126">
    <cfRule type="expression" dxfId="853" priority="517">
      <formula>E126&gt;B126</formula>
    </cfRule>
    <cfRule type="expression" dxfId="852" priority="520">
      <formula>V126&lt;&gt;0</formula>
    </cfRule>
  </conditionalFormatting>
  <conditionalFormatting sqref="C126">
    <cfRule type="expression" dxfId="851" priority="518">
      <formula>B126&gt;E126</formula>
    </cfRule>
    <cfRule type="expression" dxfId="850" priority="519">
      <formula>V126&lt;&gt;0</formula>
    </cfRule>
  </conditionalFormatting>
  <conditionalFormatting sqref="E126">
    <cfRule type="cellIs" dxfId="849" priority="516" operator="greaterThan">
      <formula>B126</formula>
    </cfRule>
  </conditionalFormatting>
  <conditionalFormatting sqref="B127">
    <cfRule type="cellIs" dxfId="848" priority="515" operator="greaterThan">
      <formula>E127</formula>
    </cfRule>
  </conditionalFormatting>
  <conditionalFormatting sqref="D127">
    <cfRule type="expression" dxfId="847" priority="511">
      <formula>E127&gt;B127</formula>
    </cfRule>
    <cfRule type="expression" dxfId="846" priority="514">
      <formula>V127&lt;&gt;0</formula>
    </cfRule>
  </conditionalFormatting>
  <conditionalFormatting sqref="C127">
    <cfRule type="expression" dxfId="845" priority="512">
      <formula>B127&gt;E127</formula>
    </cfRule>
    <cfRule type="expression" dxfId="844" priority="513">
      <formula>V127&lt;&gt;0</formula>
    </cfRule>
  </conditionalFormatting>
  <conditionalFormatting sqref="E127">
    <cfRule type="cellIs" dxfId="843" priority="510" operator="greaterThan">
      <formula>B127</formula>
    </cfRule>
  </conditionalFormatting>
  <conditionalFormatting sqref="B128">
    <cfRule type="cellIs" dxfId="842" priority="509" operator="greaterThan">
      <formula>E128</formula>
    </cfRule>
  </conditionalFormatting>
  <conditionalFormatting sqref="D128">
    <cfRule type="expression" dxfId="841" priority="505">
      <formula>E128&gt;B128</formula>
    </cfRule>
    <cfRule type="expression" dxfId="840" priority="508">
      <formula>V128&lt;&gt;0</formula>
    </cfRule>
  </conditionalFormatting>
  <conditionalFormatting sqref="C128">
    <cfRule type="expression" dxfId="839" priority="506">
      <formula>B128&gt;E128</formula>
    </cfRule>
    <cfRule type="expression" dxfId="838" priority="507">
      <formula>V128&lt;&gt;0</formula>
    </cfRule>
  </conditionalFormatting>
  <conditionalFormatting sqref="E128">
    <cfRule type="cellIs" dxfId="837" priority="504" operator="greaterThan">
      <formula>B128</formula>
    </cfRule>
  </conditionalFormatting>
  <conditionalFormatting sqref="B129">
    <cfRule type="cellIs" dxfId="836" priority="503" operator="greaterThan">
      <formula>E129</formula>
    </cfRule>
  </conditionalFormatting>
  <conditionalFormatting sqref="D129">
    <cfRule type="expression" dxfId="835" priority="499">
      <formula>E129&gt;B129</formula>
    </cfRule>
    <cfRule type="expression" dxfId="834" priority="502">
      <formula>V129&lt;&gt;0</formula>
    </cfRule>
  </conditionalFormatting>
  <conditionalFormatting sqref="C129">
    <cfRule type="expression" dxfId="833" priority="500">
      <formula>B129&gt;E129</formula>
    </cfRule>
    <cfRule type="expression" dxfId="832" priority="501">
      <formula>V129&lt;&gt;0</formula>
    </cfRule>
  </conditionalFormatting>
  <conditionalFormatting sqref="E129">
    <cfRule type="cellIs" dxfId="831" priority="498" operator="greaterThan">
      <formula>B129</formula>
    </cfRule>
  </conditionalFormatting>
  <conditionalFormatting sqref="B130">
    <cfRule type="cellIs" dxfId="830" priority="497" operator="greaterThan">
      <formula>E130</formula>
    </cfRule>
  </conditionalFormatting>
  <conditionalFormatting sqref="D130">
    <cfRule type="expression" dxfId="829" priority="493">
      <formula>E130&gt;B130</formula>
    </cfRule>
    <cfRule type="expression" dxfId="828" priority="496">
      <formula>V130&lt;&gt;0</formula>
    </cfRule>
  </conditionalFormatting>
  <conditionalFormatting sqref="C130">
    <cfRule type="expression" dxfId="827" priority="494">
      <formula>B130&gt;E130</formula>
    </cfRule>
    <cfRule type="expression" dxfId="826" priority="495">
      <formula>V130&lt;&gt;0</formula>
    </cfRule>
  </conditionalFormatting>
  <conditionalFormatting sqref="E130">
    <cfRule type="cellIs" dxfId="825" priority="492" operator="greaterThan">
      <formula>B130</formula>
    </cfRule>
  </conditionalFormatting>
  <conditionalFormatting sqref="B131">
    <cfRule type="cellIs" dxfId="824" priority="491" operator="greaterThan">
      <formula>E131</formula>
    </cfRule>
  </conditionalFormatting>
  <conditionalFormatting sqref="D131">
    <cfRule type="expression" dxfId="823" priority="487">
      <formula>E131&gt;B131</formula>
    </cfRule>
    <cfRule type="expression" dxfId="822" priority="490">
      <formula>V131&lt;&gt;0</formula>
    </cfRule>
  </conditionalFormatting>
  <conditionalFormatting sqref="C131">
    <cfRule type="expression" dxfId="821" priority="488">
      <formula>B131&gt;E131</formula>
    </cfRule>
    <cfRule type="expression" dxfId="820" priority="489">
      <formula>V131&lt;&gt;0</formula>
    </cfRule>
  </conditionalFormatting>
  <conditionalFormatting sqref="E131">
    <cfRule type="cellIs" dxfId="819" priority="486" operator="greaterThan">
      <formula>B131</formula>
    </cfRule>
  </conditionalFormatting>
  <conditionalFormatting sqref="B132">
    <cfRule type="cellIs" dxfId="818" priority="485" operator="greaterThan">
      <formula>E132</formula>
    </cfRule>
  </conditionalFormatting>
  <conditionalFormatting sqref="D132">
    <cfRule type="expression" dxfId="817" priority="481">
      <formula>E132&gt;B132</formula>
    </cfRule>
    <cfRule type="expression" dxfId="816" priority="484">
      <formula>V132&lt;&gt;0</formula>
    </cfRule>
  </conditionalFormatting>
  <conditionalFormatting sqref="C132">
    <cfRule type="expression" dxfId="815" priority="482">
      <formula>B132&gt;E132</formula>
    </cfRule>
    <cfRule type="expression" dxfId="814" priority="483">
      <formula>V132&lt;&gt;0</formula>
    </cfRule>
  </conditionalFormatting>
  <conditionalFormatting sqref="E132">
    <cfRule type="cellIs" dxfId="813" priority="480" operator="greaterThan">
      <formula>B132</formula>
    </cfRule>
  </conditionalFormatting>
  <conditionalFormatting sqref="B133">
    <cfRule type="cellIs" dxfId="812" priority="479" operator="greaterThan">
      <formula>E133</formula>
    </cfRule>
  </conditionalFormatting>
  <conditionalFormatting sqref="D133">
    <cfRule type="expression" dxfId="811" priority="475">
      <formula>E133&gt;B133</formula>
    </cfRule>
    <cfRule type="expression" dxfId="810" priority="478">
      <formula>V133&lt;&gt;0</formula>
    </cfRule>
  </conditionalFormatting>
  <conditionalFormatting sqref="C133">
    <cfRule type="expression" dxfId="809" priority="476">
      <formula>B133&gt;E133</formula>
    </cfRule>
    <cfRule type="expression" dxfId="808" priority="477">
      <formula>V133&lt;&gt;0</formula>
    </cfRule>
  </conditionalFormatting>
  <conditionalFormatting sqref="E133">
    <cfRule type="cellIs" dxfId="807" priority="474" operator="greaterThan">
      <formula>B133</formula>
    </cfRule>
  </conditionalFormatting>
  <conditionalFormatting sqref="B134">
    <cfRule type="cellIs" dxfId="806" priority="473" operator="greaterThan">
      <formula>E134</formula>
    </cfRule>
  </conditionalFormatting>
  <conditionalFormatting sqref="D134">
    <cfRule type="expression" dxfId="805" priority="469">
      <formula>E134&gt;B134</formula>
    </cfRule>
    <cfRule type="expression" dxfId="804" priority="472">
      <formula>V134&lt;&gt;0</formula>
    </cfRule>
  </conditionalFormatting>
  <conditionalFormatting sqref="C134">
    <cfRule type="expression" dxfId="803" priority="470">
      <formula>B134&gt;E134</formula>
    </cfRule>
    <cfRule type="expression" dxfId="802" priority="471">
      <formula>V134&lt;&gt;0</formula>
    </cfRule>
  </conditionalFormatting>
  <conditionalFormatting sqref="E134">
    <cfRule type="cellIs" dxfId="801" priority="468" operator="greaterThan">
      <formula>B134</formula>
    </cfRule>
  </conditionalFormatting>
  <conditionalFormatting sqref="B135">
    <cfRule type="cellIs" dxfId="800" priority="467" operator="greaterThan">
      <formula>E135</formula>
    </cfRule>
  </conditionalFormatting>
  <conditionalFormatting sqref="D135">
    <cfRule type="expression" dxfId="799" priority="463">
      <formula>E135&gt;B135</formula>
    </cfRule>
    <cfRule type="expression" dxfId="798" priority="466">
      <formula>V135&lt;&gt;0</formula>
    </cfRule>
  </conditionalFormatting>
  <conditionalFormatting sqref="C135">
    <cfRule type="expression" dxfId="797" priority="464">
      <formula>B135&gt;E135</formula>
    </cfRule>
    <cfRule type="expression" dxfId="796" priority="465">
      <formula>V135&lt;&gt;0</formula>
    </cfRule>
  </conditionalFormatting>
  <conditionalFormatting sqref="E135">
    <cfRule type="cellIs" dxfId="795" priority="462" operator="greaterThan">
      <formula>B135</formula>
    </cfRule>
  </conditionalFormatting>
  <conditionalFormatting sqref="B136">
    <cfRule type="cellIs" dxfId="794" priority="461" operator="greaterThan">
      <formula>E136</formula>
    </cfRule>
  </conditionalFormatting>
  <conditionalFormatting sqref="D136">
    <cfRule type="expression" dxfId="793" priority="457">
      <formula>E136&gt;B136</formula>
    </cfRule>
    <cfRule type="expression" dxfId="792" priority="460">
      <formula>V136&lt;&gt;0</formula>
    </cfRule>
  </conditionalFormatting>
  <conditionalFormatting sqref="C136">
    <cfRule type="expression" dxfId="791" priority="458">
      <formula>B136&gt;E136</formula>
    </cfRule>
    <cfRule type="expression" dxfId="790" priority="459">
      <formula>V136&lt;&gt;0</formula>
    </cfRule>
  </conditionalFormatting>
  <conditionalFormatting sqref="E136">
    <cfRule type="cellIs" dxfId="789" priority="456" operator="greaterThan">
      <formula>B136</formula>
    </cfRule>
  </conditionalFormatting>
  <conditionalFormatting sqref="B137">
    <cfRule type="cellIs" dxfId="788" priority="455" operator="greaterThan">
      <formula>E137</formula>
    </cfRule>
  </conditionalFormatting>
  <conditionalFormatting sqref="D137">
    <cfRule type="expression" dxfId="787" priority="451">
      <formula>E137&gt;B137</formula>
    </cfRule>
    <cfRule type="expression" dxfId="786" priority="454">
      <formula>V137&lt;&gt;0</formula>
    </cfRule>
  </conditionalFormatting>
  <conditionalFormatting sqref="C137">
    <cfRule type="expression" dxfId="785" priority="452">
      <formula>B137&gt;E137</formula>
    </cfRule>
    <cfRule type="expression" dxfId="784" priority="453">
      <formula>V137&lt;&gt;0</formula>
    </cfRule>
  </conditionalFormatting>
  <conditionalFormatting sqref="E137">
    <cfRule type="cellIs" dxfId="783" priority="450" operator="greaterThan">
      <formula>B137</formula>
    </cfRule>
  </conditionalFormatting>
  <conditionalFormatting sqref="B138">
    <cfRule type="cellIs" dxfId="782" priority="449" operator="greaterThan">
      <formula>E138</formula>
    </cfRule>
  </conditionalFormatting>
  <conditionalFormatting sqref="D138">
    <cfRule type="expression" dxfId="781" priority="445">
      <formula>E138&gt;B138</formula>
    </cfRule>
    <cfRule type="expression" dxfId="780" priority="448">
      <formula>V138&lt;&gt;0</formula>
    </cfRule>
  </conditionalFormatting>
  <conditionalFormatting sqref="C138">
    <cfRule type="expression" dxfId="779" priority="446">
      <formula>B138&gt;E138</formula>
    </cfRule>
    <cfRule type="expression" dxfId="778" priority="447">
      <formula>V138&lt;&gt;0</formula>
    </cfRule>
  </conditionalFormatting>
  <conditionalFormatting sqref="E138">
    <cfRule type="cellIs" dxfId="777" priority="444" operator="greaterThan">
      <formula>B138</formula>
    </cfRule>
  </conditionalFormatting>
  <conditionalFormatting sqref="B139">
    <cfRule type="cellIs" dxfId="776" priority="443" operator="greaterThan">
      <formula>E139</formula>
    </cfRule>
  </conditionalFormatting>
  <conditionalFormatting sqref="D139">
    <cfRule type="expression" dxfId="775" priority="439">
      <formula>E139&gt;B139</formula>
    </cfRule>
    <cfRule type="expression" dxfId="774" priority="442">
      <formula>V139&lt;&gt;0</formula>
    </cfRule>
  </conditionalFormatting>
  <conditionalFormatting sqref="C139">
    <cfRule type="expression" dxfId="773" priority="440">
      <formula>B139&gt;E139</formula>
    </cfRule>
    <cfRule type="expression" dxfId="772" priority="441">
      <formula>V139&lt;&gt;0</formula>
    </cfRule>
  </conditionalFormatting>
  <conditionalFormatting sqref="E139">
    <cfRule type="cellIs" dxfId="771" priority="438" operator="greaterThan">
      <formula>B139</formula>
    </cfRule>
  </conditionalFormatting>
  <conditionalFormatting sqref="B140">
    <cfRule type="cellIs" dxfId="770" priority="437" operator="greaterThan">
      <formula>E140</formula>
    </cfRule>
  </conditionalFormatting>
  <conditionalFormatting sqref="D140">
    <cfRule type="expression" dxfId="769" priority="433">
      <formula>E140&gt;B140</formula>
    </cfRule>
    <cfRule type="expression" dxfId="768" priority="436">
      <formula>V140&lt;&gt;0</formula>
    </cfRule>
  </conditionalFormatting>
  <conditionalFormatting sqref="C140">
    <cfRule type="expression" dxfId="767" priority="434">
      <formula>B140&gt;E140</formula>
    </cfRule>
    <cfRule type="expression" dxfId="766" priority="435">
      <formula>V140&lt;&gt;0</formula>
    </cfRule>
  </conditionalFormatting>
  <conditionalFormatting sqref="E140">
    <cfRule type="cellIs" dxfId="765" priority="432" operator="greaterThan">
      <formula>B140</formula>
    </cfRule>
  </conditionalFormatting>
  <conditionalFormatting sqref="B141">
    <cfRule type="cellIs" dxfId="764" priority="431" operator="greaterThan">
      <formula>E141</formula>
    </cfRule>
  </conditionalFormatting>
  <conditionalFormatting sqref="D141">
    <cfRule type="expression" dxfId="763" priority="427">
      <formula>E141&gt;B141</formula>
    </cfRule>
    <cfRule type="expression" dxfId="762" priority="430">
      <formula>V141&lt;&gt;0</formula>
    </cfRule>
  </conditionalFormatting>
  <conditionalFormatting sqref="C141">
    <cfRule type="expression" dxfId="761" priority="428">
      <formula>B141&gt;E141</formula>
    </cfRule>
    <cfRule type="expression" dxfId="760" priority="429">
      <formula>V141&lt;&gt;0</formula>
    </cfRule>
  </conditionalFormatting>
  <conditionalFormatting sqref="E141">
    <cfRule type="cellIs" dxfId="759" priority="426" operator="greaterThan">
      <formula>B141</formula>
    </cfRule>
  </conditionalFormatting>
  <conditionalFormatting sqref="B142">
    <cfRule type="cellIs" dxfId="758" priority="425" operator="greaterThan">
      <formula>E142</formula>
    </cfRule>
  </conditionalFormatting>
  <conditionalFormatting sqref="D142">
    <cfRule type="expression" dxfId="757" priority="421">
      <formula>E142&gt;B142</formula>
    </cfRule>
    <cfRule type="expression" dxfId="756" priority="424">
      <formula>V142&lt;&gt;0</formula>
    </cfRule>
  </conditionalFormatting>
  <conditionalFormatting sqref="C142">
    <cfRule type="expression" dxfId="755" priority="422">
      <formula>B142&gt;E142</formula>
    </cfRule>
    <cfRule type="expression" dxfId="754" priority="423">
      <formula>V142&lt;&gt;0</formula>
    </cfRule>
  </conditionalFormatting>
  <conditionalFormatting sqref="E142">
    <cfRule type="cellIs" dxfId="753" priority="420" operator="greaterThan">
      <formula>B142</formula>
    </cfRule>
  </conditionalFormatting>
  <conditionalFormatting sqref="B143">
    <cfRule type="cellIs" dxfId="752" priority="419" operator="greaterThan">
      <formula>E143</formula>
    </cfRule>
  </conditionalFormatting>
  <conditionalFormatting sqref="D143">
    <cfRule type="expression" dxfId="751" priority="415">
      <formula>E143&gt;B143</formula>
    </cfRule>
    <cfRule type="expression" dxfId="750" priority="418">
      <formula>V143&lt;&gt;0</formula>
    </cfRule>
  </conditionalFormatting>
  <conditionalFormatting sqref="C143">
    <cfRule type="expression" dxfId="749" priority="416">
      <formula>B143&gt;E143</formula>
    </cfRule>
    <cfRule type="expression" dxfId="748" priority="417">
      <formula>V143&lt;&gt;0</formula>
    </cfRule>
  </conditionalFormatting>
  <conditionalFormatting sqref="E143">
    <cfRule type="cellIs" dxfId="747" priority="414" operator="greaterThan">
      <formula>B143</formula>
    </cfRule>
  </conditionalFormatting>
  <conditionalFormatting sqref="B144">
    <cfRule type="cellIs" dxfId="746" priority="413" operator="greaterThan">
      <formula>E144</formula>
    </cfRule>
  </conditionalFormatting>
  <conditionalFormatting sqref="D144">
    <cfRule type="expression" dxfId="745" priority="409">
      <formula>E144&gt;B144</formula>
    </cfRule>
    <cfRule type="expression" dxfId="744" priority="412">
      <formula>V144&lt;&gt;0</formula>
    </cfRule>
  </conditionalFormatting>
  <conditionalFormatting sqref="C144">
    <cfRule type="expression" dxfId="743" priority="410">
      <formula>B144&gt;E144</formula>
    </cfRule>
    <cfRule type="expression" dxfId="742" priority="411">
      <formula>V144&lt;&gt;0</formula>
    </cfRule>
  </conditionalFormatting>
  <conditionalFormatting sqref="E144">
    <cfRule type="cellIs" dxfId="741" priority="408" operator="greaterThan">
      <formula>B144</formula>
    </cfRule>
  </conditionalFormatting>
  <conditionalFormatting sqref="B145">
    <cfRule type="cellIs" dxfId="740" priority="407" operator="greaterThan">
      <formula>E145</formula>
    </cfRule>
  </conditionalFormatting>
  <conditionalFormatting sqref="D145">
    <cfRule type="expression" dxfId="739" priority="403">
      <formula>E145&gt;B145</formula>
    </cfRule>
    <cfRule type="expression" dxfId="738" priority="406">
      <formula>V145&lt;&gt;0</formula>
    </cfRule>
  </conditionalFormatting>
  <conditionalFormatting sqref="C145">
    <cfRule type="expression" dxfId="737" priority="404">
      <formula>B145&gt;E145</formula>
    </cfRule>
    <cfRule type="expression" dxfId="736" priority="405">
      <formula>V145&lt;&gt;0</formula>
    </cfRule>
  </conditionalFormatting>
  <conditionalFormatting sqref="E145">
    <cfRule type="cellIs" dxfId="735" priority="402" operator="greaterThan">
      <formula>B145</formula>
    </cfRule>
  </conditionalFormatting>
  <conditionalFormatting sqref="B146">
    <cfRule type="cellIs" dxfId="734" priority="401" operator="greaterThan">
      <formula>E146</formula>
    </cfRule>
  </conditionalFormatting>
  <conditionalFormatting sqref="D146">
    <cfRule type="expression" dxfId="733" priority="397">
      <formula>E146&gt;B146</formula>
    </cfRule>
    <cfRule type="expression" dxfId="732" priority="400">
      <formula>V146&lt;&gt;0</formula>
    </cfRule>
  </conditionalFormatting>
  <conditionalFormatting sqref="C146">
    <cfRule type="expression" dxfId="731" priority="398">
      <formula>B146&gt;E146</formula>
    </cfRule>
    <cfRule type="expression" dxfId="730" priority="399">
      <formula>V146&lt;&gt;0</formula>
    </cfRule>
  </conditionalFormatting>
  <conditionalFormatting sqref="E146">
    <cfRule type="cellIs" dxfId="729" priority="396" operator="greaterThan">
      <formula>B146</formula>
    </cfRule>
  </conditionalFormatting>
  <conditionalFormatting sqref="B147">
    <cfRule type="cellIs" dxfId="728" priority="395" operator="greaterThan">
      <formula>E147</formula>
    </cfRule>
  </conditionalFormatting>
  <conditionalFormatting sqref="D147">
    <cfRule type="expression" dxfId="727" priority="391">
      <formula>E147&gt;B147</formula>
    </cfRule>
    <cfRule type="expression" dxfId="726" priority="394">
      <formula>V147&lt;&gt;0</formula>
    </cfRule>
  </conditionalFormatting>
  <conditionalFormatting sqref="C147">
    <cfRule type="expression" dxfId="725" priority="392">
      <formula>B147&gt;E147</formula>
    </cfRule>
    <cfRule type="expression" dxfId="724" priority="393">
      <formula>V147&lt;&gt;0</formula>
    </cfRule>
  </conditionalFormatting>
  <conditionalFormatting sqref="E147">
    <cfRule type="cellIs" dxfId="723" priority="390" operator="greaterThan">
      <formula>B147</formula>
    </cfRule>
  </conditionalFormatting>
  <conditionalFormatting sqref="B148">
    <cfRule type="cellIs" dxfId="722" priority="389" operator="greaterThan">
      <formula>E148</formula>
    </cfRule>
  </conditionalFormatting>
  <conditionalFormatting sqref="D148">
    <cfRule type="expression" dxfId="721" priority="385">
      <formula>E148&gt;B148</formula>
    </cfRule>
    <cfRule type="expression" dxfId="720" priority="388">
      <formula>V148&lt;&gt;0</formula>
    </cfRule>
  </conditionalFormatting>
  <conditionalFormatting sqref="C148">
    <cfRule type="expression" dxfId="719" priority="386">
      <formula>B148&gt;E148</formula>
    </cfRule>
    <cfRule type="expression" dxfId="718" priority="387">
      <formula>V148&lt;&gt;0</formula>
    </cfRule>
  </conditionalFormatting>
  <conditionalFormatting sqref="E148">
    <cfRule type="cellIs" dxfId="717" priority="384" operator="greaterThan">
      <formula>B148</formula>
    </cfRule>
  </conditionalFormatting>
  <conditionalFormatting sqref="B149">
    <cfRule type="cellIs" dxfId="716" priority="383" operator="greaterThan">
      <formula>E149</formula>
    </cfRule>
  </conditionalFormatting>
  <conditionalFormatting sqref="D149">
    <cfRule type="expression" dxfId="715" priority="379">
      <formula>E149&gt;B149</formula>
    </cfRule>
    <cfRule type="expression" dxfId="714" priority="382">
      <formula>V149&lt;&gt;0</formula>
    </cfRule>
  </conditionalFormatting>
  <conditionalFormatting sqref="C149">
    <cfRule type="expression" dxfId="713" priority="380">
      <formula>B149&gt;E149</formula>
    </cfRule>
    <cfRule type="expression" dxfId="712" priority="381">
      <formula>V149&lt;&gt;0</formula>
    </cfRule>
  </conditionalFormatting>
  <conditionalFormatting sqref="E149">
    <cfRule type="cellIs" dxfId="711" priority="378" operator="greaterThan">
      <formula>B149</formula>
    </cfRule>
  </conditionalFormatting>
  <conditionalFormatting sqref="B150">
    <cfRule type="cellIs" dxfId="710" priority="377" operator="greaterThan">
      <formula>E150</formula>
    </cfRule>
  </conditionalFormatting>
  <conditionalFormatting sqref="D150">
    <cfRule type="expression" dxfId="709" priority="373">
      <formula>E150&gt;B150</formula>
    </cfRule>
    <cfRule type="expression" dxfId="708" priority="376">
      <formula>V150&lt;&gt;0</formula>
    </cfRule>
  </conditionalFormatting>
  <conditionalFormatting sqref="C150">
    <cfRule type="expression" dxfId="707" priority="374">
      <formula>B150&gt;E150</formula>
    </cfRule>
    <cfRule type="expression" dxfId="706" priority="375">
      <formula>V150&lt;&gt;0</formula>
    </cfRule>
  </conditionalFormatting>
  <conditionalFormatting sqref="E150">
    <cfRule type="cellIs" dxfId="705" priority="372" operator="greaterThan">
      <formula>B150</formula>
    </cfRule>
  </conditionalFormatting>
  <conditionalFormatting sqref="B151">
    <cfRule type="cellIs" dxfId="704" priority="371" operator="greaterThan">
      <formula>E151</formula>
    </cfRule>
  </conditionalFormatting>
  <conditionalFormatting sqref="D151">
    <cfRule type="expression" dxfId="703" priority="367">
      <formula>E151&gt;B151</formula>
    </cfRule>
    <cfRule type="expression" dxfId="702" priority="370">
      <formula>V151&lt;&gt;0</formula>
    </cfRule>
  </conditionalFormatting>
  <conditionalFormatting sqref="C151">
    <cfRule type="expression" dxfId="701" priority="368">
      <formula>B151&gt;E151</formula>
    </cfRule>
    <cfRule type="expression" dxfId="700" priority="369">
      <formula>V151&lt;&gt;0</formula>
    </cfRule>
  </conditionalFormatting>
  <conditionalFormatting sqref="E151">
    <cfRule type="cellIs" dxfId="699" priority="366" operator="greaterThan">
      <formula>B151</formula>
    </cfRule>
  </conditionalFormatting>
  <conditionalFormatting sqref="B152">
    <cfRule type="cellIs" dxfId="698" priority="365" operator="greaterThan">
      <formula>E152</formula>
    </cfRule>
  </conditionalFormatting>
  <conditionalFormatting sqref="D152">
    <cfRule type="expression" dxfId="697" priority="361">
      <formula>E152&gt;B152</formula>
    </cfRule>
    <cfRule type="expression" dxfId="696" priority="364">
      <formula>V152&lt;&gt;0</formula>
    </cfRule>
  </conditionalFormatting>
  <conditionalFormatting sqref="C152">
    <cfRule type="expression" dxfId="695" priority="362">
      <formula>B152&gt;E152</formula>
    </cfRule>
    <cfRule type="expression" dxfId="694" priority="363">
      <formula>V152&lt;&gt;0</formula>
    </cfRule>
  </conditionalFormatting>
  <conditionalFormatting sqref="E152">
    <cfRule type="cellIs" dxfId="693" priority="360" operator="greaterThan">
      <formula>B152</formula>
    </cfRule>
  </conditionalFormatting>
  <conditionalFormatting sqref="B153">
    <cfRule type="cellIs" dxfId="692" priority="359" operator="greaterThan">
      <formula>E153</formula>
    </cfRule>
  </conditionalFormatting>
  <conditionalFormatting sqref="D153">
    <cfRule type="expression" dxfId="691" priority="355">
      <formula>E153&gt;B153</formula>
    </cfRule>
    <cfRule type="expression" dxfId="690" priority="358">
      <formula>V153&lt;&gt;0</formula>
    </cfRule>
  </conditionalFormatting>
  <conditionalFormatting sqref="C153">
    <cfRule type="expression" dxfId="689" priority="356">
      <formula>B153&gt;E153</formula>
    </cfRule>
    <cfRule type="expression" dxfId="688" priority="357">
      <formula>V153&lt;&gt;0</formula>
    </cfRule>
  </conditionalFormatting>
  <conditionalFormatting sqref="E153">
    <cfRule type="cellIs" dxfId="687" priority="354" operator="greaterThan">
      <formula>B153</formula>
    </cfRule>
  </conditionalFormatting>
  <conditionalFormatting sqref="B154">
    <cfRule type="cellIs" dxfId="686" priority="353" operator="greaterThan">
      <formula>E154</formula>
    </cfRule>
  </conditionalFormatting>
  <conditionalFormatting sqref="D154">
    <cfRule type="expression" dxfId="685" priority="349">
      <formula>E154&gt;B154</formula>
    </cfRule>
    <cfRule type="expression" dxfId="684" priority="352">
      <formula>V154&lt;&gt;0</formula>
    </cfRule>
  </conditionalFormatting>
  <conditionalFormatting sqref="C154">
    <cfRule type="expression" dxfId="683" priority="350">
      <formula>B154&gt;E154</formula>
    </cfRule>
    <cfRule type="expression" dxfId="682" priority="351">
      <formula>V154&lt;&gt;0</formula>
    </cfRule>
  </conditionalFormatting>
  <conditionalFormatting sqref="E154">
    <cfRule type="cellIs" dxfId="681" priority="348" operator="greaterThan">
      <formula>B154</formula>
    </cfRule>
  </conditionalFormatting>
  <conditionalFormatting sqref="B155">
    <cfRule type="cellIs" dxfId="680" priority="347" operator="greaterThan">
      <formula>E155</formula>
    </cfRule>
  </conditionalFormatting>
  <conditionalFormatting sqref="D155">
    <cfRule type="expression" dxfId="679" priority="343">
      <formula>E155&gt;B155</formula>
    </cfRule>
    <cfRule type="expression" dxfId="678" priority="346">
      <formula>V155&lt;&gt;0</formula>
    </cfRule>
  </conditionalFormatting>
  <conditionalFormatting sqref="C155">
    <cfRule type="expression" dxfId="677" priority="344">
      <formula>B155&gt;E155</formula>
    </cfRule>
    <cfRule type="expression" dxfId="676" priority="345">
      <formula>V155&lt;&gt;0</formula>
    </cfRule>
  </conditionalFormatting>
  <conditionalFormatting sqref="E155">
    <cfRule type="cellIs" dxfId="675" priority="342" operator="greaterThan">
      <formula>B155</formula>
    </cfRule>
  </conditionalFormatting>
  <conditionalFormatting sqref="B156">
    <cfRule type="cellIs" dxfId="674" priority="341" operator="greaterThan">
      <formula>E156</formula>
    </cfRule>
  </conditionalFormatting>
  <conditionalFormatting sqref="D156">
    <cfRule type="expression" dxfId="673" priority="337">
      <formula>E156&gt;B156</formula>
    </cfRule>
    <cfRule type="expression" dxfId="672" priority="340">
      <formula>V156&lt;&gt;0</formula>
    </cfRule>
  </conditionalFormatting>
  <conditionalFormatting sqref="C156">
    <cfRule type="expression" dxfId="671" priority="338">
      <formula>B156&gt;E156</formula>
    </cfRule>
    <cfRule type="expression" dxfId="670" priority="339">
      <formula>V156&lt;&gt;0</formula>
    </cfRule>
  </conditionalFormatting>
  <conditionalFormatting sqref="E156">
    <cfRule type="cellIs" dxfId="669" priority="336" operator="greaterThan">
      <formula>B156</formula>
    </cfRule>
  </conditionalFormatting>
  <conditionalFormatting sqref="B157">
    <cfRule type="cellIs" dxfId="668" priority="335" operator="greaterThan">
      <formula>E157</formula>
    </cfRule>
  </conditionalFormatting>
  <conditionalFormatting sqref="D157">
    <cfRule type="expression" dxfId="667" priority="331">
      <formula>E157&gt;B157</formula>
    </cfRule>
    <cfRule type="expression" dxfId="666" priority="334">
      <formula>V157&lt;&gt;0</formula>
    </cfRule>
  </conditionalFormatting>
  <conditionalFormatting sqref="C157">
    <cfRule type="expression" dxfId="665" priority="332">
      <formula>B157&gt;E157</formula>
    </cfRule>
    <cfRule type="expression" dxfId="664" priority="333">
      <formula>V157&lt;&gt;0</formula>
    </cfRule>
  </conditionalFormatting>
  <conditionalFormatting sqref="E157">
    <cfRule type="cellIs" dxfId="663" priority="330" operator="greaterThan">
      <formula>B157</formula>
    </cfRule>
  </conditionalFormatting>
  <conditionalFormatting sqref="B158">
    <cfRule type="cellIs" dxfId="662" priority="329" operator="greaterThan">
      <formula>E158</formula>
    </cfRule>
  </conditionalFormatting>
  <conditionalFormatting sqref="D158">
    <cfRule type="expression" dxfId="661" priority="325">
      <formula>E158&gt;B158</formula>
    </cfRule>
    <cfRule type="expression" dxfId="660" priority="328">
      <formula>V158&lt;&gt;0</formula>
    </cfRule>
  </conditionalFormatting>
  <conditionalFormatting sqref="C158">
    <cfRule type="expression" dxfId="659" priority="326">
      <formula>B158&gt;E158</formula>
    </cfRule>
    <cfRule type="expression" dxfId="658" priority="327">
      <formula>V158&lt;&gt;0</formula>
    </cfRule>
  </conditionalFormatting>
  <conditionalFormatting sqref="E158">
    <cfRule type="cellIs" dxfId="657" priority="324" operator="greaterThan">
      <formula>B158</formula>
    </cfRule>
  </conditionalFormatting>
  <conditionalFormatting sqref="B159">
    <cfRule type="cellIs" dxfId="656" priority="323" operator="greaterThan">
      <formula>E159</formula>
    </cfRule>
  </conditionalFormatting>
  <conditionalFormatting sqref="D159">
    <cfRule type="expression" dxfId="655" priority="319">
      <formula>E159&gt;B159</formula>
    </cfRule>
    <cfRule type="expression" dxfId="654" priority="322">
      <formula>V159&lt;&gt;0</formula>
    </cfRule>
  </conditionalFormatting>
  <conditionalFormatting sqref="C159">
    <cfRule type="expression" dxfId="653" priority="320">
      <formula>B159&gt;E159</formula>
    </cfRule>
    <cfRule type="expression" dxfId="652" priority="321">
      <formula>V159&lt;&gt;0</formula>
    </cfRule>
  </conditionalFormatting>
  <conditionalFormatting sqref="E159">
    <cfRule type="cellIs" dxfId="651" priority="318" operator="greaterThan">
      <formula>B159</formula>
    </cfRule>
  </conditionalFormatting>
  <conditionalFormatting sqref="B160">
    <cfRule type="cellIs" dxfId="650" priority="317" operator="greaterThan">
      <formula>E160</formula>
    </cfRule>
  </conditionalFormatting>
  <conditionalFormatting sqref="D160">
    <cfRule type="expression" dxfId="649" priority="313">
      <formula>E160&gt;B160</formula>
    </cfRule>
    <cfRule type="expression" dxfId="648" priority="316">
      <formula>V160&lt;&gt;0</formula>
    </cfRule>
  </conditionalFormatting>
  <conditionalFormatting sqref="C160">
    <cfRule type="expression" dxfId="647" priority="314">
      <formula>B160&gt;E160</formula>
    </cfRule>
    <cfRule type="expression" dxfId="646" priority="315">
      <formula>V160&lt;&gt;0</formula>
    </cfRule>
  </conditionalFormatting>
  <conditionalFormatting sqref="E160">
    <cfRule type="cellIs" dxfId="645" priority="312" operator="greaterThan">
      <formula>B160</formula>
    </cfRule>
  </conditionalFormatting>
  <conditionalFormatting sqref="B161">
    <cfRule type="cellIs" dxfId="644" priority="311" operator="greaterThan">
      <formula>E161</formula>
    </cfRule>
  </conditionalFormatting>
  <conditionalFormatting sqref="D161">
    <cfRule type="expression" dxfId="643" priority="307">
      <formula>E161&gt;B161</formula>
    </cfRule>
    <cfRule type="expression" dxfId="642" priority="310">
      <formula>V161&lt;&gt;0</formula>
    </cfRule>
  </conditionalFormatting>
  <conditionalFormatting sqref="C161">
    <cfRule type="expression" dxfId="641" priority="308">
      <formula>B161&gt;E161</formula>
    </cfRule>
    <cfRule type="expression" dxfId="640" priority="309">
      <formula>V161&lt;&gt;0</formula>
    </cfRule>
  </conditionalFormatting>
  <conditionalFormatting sqref="E161">
    <cfRule type="cellIs" dxfId="639" priority="306" operator="greaterThan">
      <formula>B161</formula>
    </cfRule>
  </conditionalFormatting>
  <conditionalFormatting sqref="B162">
    <cfRule type="cellIs" dxfId="638" priority="305" operator="greaterThan">
      <formula>E162</formula>
    </cfRule>
  </conditionalFormatting>
  <conditionalFormatting sqref="D162">
    <cfRule type="expression" dxfId="637" priority="301">
      <formula>E162&gt;B162</formula>
    </cfRule>
    <cfRule type="expression" dxfId="636" priority="304">
      <formula>V162&lt;&gt;0</formula>
    </cfRule>
  </conditionalFormatting>
  <conditionalFormatting sqref="C162">
    <cfRule type="expression" dxfId="635" priority="302">
      <formula>B162&gt;E162</formula>
    </cfRule>
    <cfRule type="expression" dxfId="634" priority="303">
      <formula>V162&lt;&gt;0</formula>
    </cfRule>
  </conditionalFormatting>
  <conditionalFormatting sqref="E162">
    <cfRule type="cellIs" dxfId="633" priority="300" operator="greaterThan">
      <formula>B162</formula>
    </cfRule>
  </conditionalFormatting>
  <conditionalFormatting sqref="B163">
    <cfRule type="cellIs" dxfId="632" priority="299" operator="greaterThan">
      <formula>E163</formula>
    </cfRule>
  </conditionalFormatting>
  <conditionalFormatting sqref="D163">
    <cfRule type="expression" dxfId="631" priority="295">
      <formula>E163&gt;B163</formula>
    </cfRule>
    <cfRule type="expression" dxfId="630" priority="298">
      <formula>V163&lt;&gt;0</formula>
    </cfRule>
  </conditionalFormatting>
  <conditionalFormatting sqref="C163">
    <cfRule type="expression" dxfId="629" priority="296">
      <formula>B163&gt;E163</formula>
    </cfRule>
    <cfRule type="expression" dxfId="628" priority="297">
      <formula>V163&lt;&gt;0</formula>
    </cfRule>
  </conditionalFormatting>
  <conditionalFormatting sqref="E163">
    <cfRule type="cellIs" dxfId="627" priority="294" operator="greaterThan">
      <formula>B163</formula>
    </cfRule>
  </conditionalFormatting>
  <conditionalFormatting sqref="B164">
    <cfRule type="cellIs" dxfId="626" priority="293" operator="greaterThan">
      <formula>E164</formula>
    </cfRule>
  </conditionalFormatting>
  <conditionalFormatting sqref="D164">
    <cfRule type="expression" dxfId="625" priority="289">
      <formula>E164&gt;B164</formula>
    </cfRule>
    <cfRule type="expression" dxfId="624" priority="292">
      <formula>V164&lt;&gt;0</formula>
    </cfRule>
  </conditionalFormatting>
  <conditionalFormatting sqref="C164">
    <cfRule type="expression" dxfId="623" priority="290">
      <formula>B164&gt;E164</formula>
    </cfRule>
    <cfRule type="expression" dxfId="622" priority="291">
      <formula>V164&lt;&gt;0</formula>
    </cfRule>
  </conditionalFormatting>
  <conditionalFormatting sqref="E164">
    <cfRule type="cellIs" dxfId="621" priority="288" operator="greaterThan">
      <formula>B164</formula>
    </cfRule>
  </conditionalFormatting>
  <conditionalFormatting sqref="B165">
    <cfRule type="cellIs" dxfId="620" priority="287" operator="greaterThan">
      <formula>E165</formula>
    </cfRule>
  </conditionalFormatting>
  <conditionalFormatting sqref="D165">
    <cfRule type="expression" dxfId="619" priority="283">
      <formula>E165&gt;B165</formula>
    </cfRule>
    <cfRule type="expression" dxfId="618" priority="286">
      <formula>V165&lt;&gt;0</formula>
    </cfRule>
  </conditionalFormatting>
  <conditionalFormatting sqref="C165">
    <cfRule type="expression" dxfId="617" priority="284">
      <formula>B165&gt;E165</formula>
    </cfRule>
    <cfRule type="expression" dxfId="616" priority="285">
      <formula>V165&lt;&gt;0</formula>
    </cfRule>
  </conditionalFormatting>
  <conditionalFormatting sqref="E165">
    <cfRule type="cellIs" dxfId="615" priority="282" operator="greaterThan">
      <formula>B165</formula>
    </cfRule>
  </conditionalFormatting>
  <conditionalFormatting sqref="Q42:T53">
    <cfRule type="cellIs" dxfId="614" priority="275" operator="equal">
      <formula>0</formula>
    </cfRule>
  </conditionalFormatting>
  <conditionalFormatting sqref="V42:V53">
    <cfRule type="cellIs" dxfId="613" priority="277" operator="lessThan">
      <formula>0</formula>
    </cfRule>
    <cfRule type="cellIs" dxfId="612" priority="278" operator="equal">
      <formula>0</formula>
    </cfRule>
  </conditionalFormatting>
  <conditionalFormatting sqref="Y42:Z53">
    <cfRule type="cellIs" dxfId="611" priority="279" operator="equal">
      <formula>0</formula>
    </cfRule>
  </conditionalFormatting>
  <conditionalFormatting sqref="A30">
    <cfRule type="expression" dxfId="610" priority="260">
      <formula>V30&lt;&gt;0</formula>
    </cfRule>
  </conditionalFormatting>
  <conditionalFormatting sqref="B30">
    <cfRule type="cellIs" dxfId="609" priority="15540" operator="greaterThan">
      <formula>E30</formula>
    </cfRule>
  </conditionalFormatting>
  <conditionalFormatting sqref="G30">
    <cfRule type="cellIs" dxfId="608" priority="258" operator="lessThan">
      <formula>0</formula>
    </cfRule>
  </conditionalFormatting>
  <conditionalFormatting sqref="D30">
    <cfRule type="expression" dxfId="607" priority="256">
      <formula>E30&gt;B30</formula>
    </cfRule>
  </conditionalFormatting>
  <conditionalFormatting sqref="C30">
    <cfRule type="expression" dxfId="606" priority="255">
      <formula>B30&gt;E30</formula>
    </cfRule>
  </conditionalFormatting>
  <conditionalFormatting sqref="E30">
    <cfRule type="cellIs" dxfId="605" priority="253" operator="greaterThan">
      <formula>B30</formula>
    </cfRule>
  </conditionalFormatting>
  <conditionalFormatting sqref="G31">
    <cfRule type="cellIs" dxfId="604" priority="249" operator="lessThan">
      <formula>0</formula>
    </cfRule>
  </conditionalFormatting>
  <conditionalFormatting sqref="E31">
    <cfRule type="cellIs" dxfId="603" priority="245" operator="greaterThan">
      <formula>B31</formula>
    </cfRule>
  </conditionalFormatting>
  <conditionalFormatting sqref="B32">
    <cfRule type="cellIs" dxfId="602" priority="195" operator="greaterThan">
      <formula>E32</formula>
    </cfRule>
  </conditionalFormatting>
  <conditionalFormatting sqref="G32">
    <cfRule type="cellIs" dxfId="601" priority="193" operator="lessThan">
      <formula>0</formula>
    </cfRule>
  </conditionalFormatting>
  <conditionalFormatting sqref="E32">
    <cfRule type="cellIs" dxfId="600" priority="189" operator="greaterThan">
      <formula>B32</formula>
    </cfRule>
  </conditionalFormatting>
  <conditionalFormatting sqref="G33">
    <cfRule type="cellIs" dxfId="599" priority="187" operator="lessThan">
      <formula>0</formula>
    </cfRule>
  </conditionalFormatting>
  <conditionalFormatting sqref="E33">
    <cfRule type="cellIs" dxfId="598" priority="183" operator="greaterThan">
      <formula>B33</formula>
    </cfRule>
  </conditionalFormatting>
  <conditionalFormatting sqref="B34 B36 B38 B40 B42 B44 B46 B48 B50 B52">
    <cfRule type="cellIs" dxfId="597" priority="181" operator="greaterThan">
      <formula>E34</formula>
    </cfRule>
  </conditionalFormatting>
  <conditionalFormatting sqref="G34 G36 G38 G40 G42 G44 G46 G48 G50 G52">
    <cfRule type="cellIs" dxfId="596" priority="179" operator="lessThan">
      <formula>0</formula>
    </cfRule>
  </conditionalFormatting>
  <conditionalFormatting sqref="E34 E36 E38 E40 E42 E44 E46 E48 E50 E52">
    <cfRule type="cellIs" dxfId="595" priority="175" operator="greaterThan">
      <formula>B34</formula>
    </cfRule>
  </conditionalFormatting>
  <conditionalFormatting sqref="G35 G37 G39 G41 G43 G45 G47 G49 G51 G53">
    <cfRule type="cellIs" dxfId="594" priority="173" operator="lessThan">
      <formula>0</formula>
    </cfRule>
  </conditionalFormatting>
  <conditionalFormatting sqref="E35 E37 E39 E41 E43 E45 E47 E49 E51 E53">
    <cfRule type="cellIs" dxfId="593" priority="169" operator="greaterThan">
      <formula>B35</formula>
    </cfRule>
  </conditionalFormatting>
  <conditionalFormatting sqref="W30:W53">
    <cfRule type="cellIs" dxfId="592" priority="161" operator="equal">
      <formula>0</formula>
    </cfRule>
  </conditionalFormatting>
  <conditionalFormatting sqref="A42">
    <cfRule type="expression" dxfId="591" priority="152">
      <formula>V42&lt;&gt;0</formula>
    </cfRule>
  </conditionalFormatting>
  <conditionalFormatting sqref="B54">
    <cfRule type="cellIs" dxfId="590" priority="145" operator="greaterThan">
      <formula>E54</formula>
    </cfRule>
  </conditionalFormatting>
  <conditionalFormatting sqref="D54">
    <cfRule type="expression" dxfId="589" priority="141">
      <formula>E54&gt;B54</formula>
    </cfRule>
    <cfRule type="expression" dxfId="588" priority="144">
      <formula>V54&lt;&gt;0</formula>
    </cfRule>
  </conditionalFormatting>
  <conditionalFormatting sqref="C54">
    <cfRule type="expression" dxfId="587" priority="142">
      <formula>B54&gt;E54</formula>
    </cfRule>
    <cfRule type="expression" dxfId="586" priority="143">
      <formula>V54&lt;&gt;0</formula>
    </cfRule>
  </conditionalFormatting>
  <conditionalFormatting sqref="E54">
    <cfRule type="cellIs" dxfId="585" priority="140" operator="greaterThan">
      <formula>B54</formula>
    </cfRule>
  </conditionalFormatting>
  <conditionalFormatting sqref="B55">
    <cfRule type="cellIs" dxfId="584" priority="139" operator="greaterThan">
      <formula>E55</formula>
    </cfRule>
  </conditionalFormatting>
  <conditionalFormatting sqref="D55">
    <cfRule type="expression" dxfId="583" priority="135">
      <formula>E55&gt;B55</formula>
    </cfRule>
    <cfRule type="expression" dxfId="582" priority="138">
      <formula>V55&lt;&gt;0</formula>
    </cfRule>
  </conditionalFormatting>
  <conditionalFormatting sqref="C55">
    <cfRule type="expression" dxfId="581" priority="136">
      <formula>B55&gt;E55</formula>
    </cfRule>
    <cfRule type="expression" dxfId="580" priority="137">
      <formula>V55&lt;&gt;0</formula>
    </cfRule>
  </conditionalFormatting>
  <conditionalFormatting sqref="E55">
    <cfRule type="cellIs" dxfId="579" priority="134" operator="greaterThan">
      <formula>B55</formula>
    </cfRule>
  </conditionalFormatting>
  <conditionalFormatting sqref="X30">
    <cfRule type="expression" dxfId="578" priority="128">
      <formula>F30*100&lt;X30</formula>
    </cfRule>
    <cfRule type="expression" dxfId="577" priority="129">
      <formula>X30&lt;F30*100</formula>
    </cfRule>
    <cfRule type="cellIs" dxfId="576" priority="125" operator="equal">
      <formula>0</formula>
    </cfRule>
  </conditionalFormatting>
  <conditionalFormatting sqref="X31">
    <cfRule type="cellIs" dxfId="575" priority="122" operator="equal">
      <formula>0</formula>
    </cfRule>
    <cfRule type="expression" dxfId="574" priority="123">
      <formula>F31*100&lt;X31</formula>
    </cfRule>
    <cfRule type="expression" dxfId="573" priority="124">
      <formula>X31&lt;F31*100</formula>
    </cfRule>
  </conditionalFormatting>
  <conditionalFormatting sqref="X32">
    <cfRule type="cellIs" dxfId="572" priority="113" operator="equal">
      <formula>0</formula>
    </cfRule>
    <cfRule type="expression" dxfId="571" priority="114">
      <formula>F32*100&lt;X32</formula>
    </cfRule>
    <cfRule type="expression" dxfId="570" priority="115">
      <formula>X32&lt;F32*100</formula>
    </cfRule>
  </conditionalFormatting>
  <conditionalFormatting sqref="X33">
    <cfRule type="cellIs" dxfId="569" priority="110" operator="equal">
      <formula>0</formula>
    </cfRule>
    <cfRule type="expression" dxfId="568" priority="111">
      <formula>F33*100&lt;X33</formula>
    </cfRule>
    <cfRule type="expression" dxfId="567" priority="112">
      <formula>X33&lt;F33*100</formula>
    </cfRule>
  </conditionalFormatting>
  <conditionalFormatting sqref="X34">
    <cfRule type="cellIs" dxfId="566" priority="107" operator="equal">
      <formula>0</formula>
    </cfRule>
    <cfRule type="expression" dxfId="565" priority="108">
      <formula>F34*100&lt;X34</formula>
    </cfRule>
    <cfRule type="expression" dxfId="564" priority="109">
      <formula>X34&lt;F34*100</formula>
    </cfRule>
  </conditionalFormatting>
  <conditionalFormatting sqref="X35">
    <cfRule type="cellIs" dxfId="563" priority="104" operator="equal">
      <formula>0</formula>
    </cfRule>
    <cfRule type="expression" dxfId="562" priority="105">
      <formula>F35*100&lt;X35</formula>
    </cfRule>
    <cfRule type="expression" dxfId="561" priority="106">
      <formula>X35&lt;F35*100</formula>
    </cfRule>
  </conditionalFormatting>
  <conditionalFormatting sqref="X36">
    <cfRule type="cellIs" dxfId="560" priority="101" operator="equal">
      <formula>0</formula>
    </cfRule>
    <cfRule type="expression" dxfId="559" priority="102">
      <formula>F36*100&lt;X36</formula>
    </cfRule>
    <cfRule type="expression" dxfId="558" priority="103">
      <formula>X36&lt;F36*100</formula>
    </cfRule>
  </conditionalFormatting>
  <conditionalFormatting sqref="X37">
    <cfRule type="cellIs" dxfId="557" priority="98" operator="equal">
      <formula>0</formula>
    </cfRule>
    <cfRule type="expression" dxfId="556" priority="99">
      <formula>F37*100&lt;X37</formula>
    </cfRule>
    <cfRule type="expression" dxfId="555" priority="100">
      <formula>X37&lt;F37*100</formula>
    </cfRule>
  </conditionalFormatting>
  <conditionalFormatting sqref="X38">
    <cfRule type="cellIs" dxfId="554" priority="95" operator="equal">
      <formula>0</formula>
    </cfRule>
    <cfRule type="expression" dxfId="553" priority="96">
      <formula>F38*100&lt;X38</formula>
    </cfRule>
    <cfRule type="expression" dxfId="552" priority="97">
      <formula>X38&lt;F38*100</formula>
    </cfRule>
  </conditionalFormatting>
  <conditionalFormatting sqref="X39">
    <cfRule type="cellIs" dxfId="551" priority="92" operator="equal">
      <formula>0</formula>
    </cfRule>
    <cfRule type="expression" dxfId="550" priority="93">
      <formula>F39*100&lt;X39</formula>
    </cfRule>
    <cfRule type="expression" dxfId="549" priority="94">
      <formula>X39&lt;F39*100</formula>
    </cfRule>
  </conditionalFormatting>
  <conditionalFormatting sqref="X40">
    <cfRule type="cellIs" dxfId="548" priority="89" operator="equal">
      <formula>0</formula>
    </cfRule>
    <cfRule type="expression" dxfId="547" priority="90">
      <formula>F40*100&lt;X40</formula>
    </cfRule>
    <cfRule type="expression" dxfId="546" priority="91">
      <formula>X40&lt;F40*100</formula>
    </cfRule>
  </conditionalFormatting>
  <conditionalFormatting sqref="X41">
    <cfRule type="cellIs" dxfId="545" priority="86" operator="equal">
      <formula>0</formula>
    </cfRule>
    <cfRule type="expression" dxfId="544" priority="87">
      <formula>F41*100&lt;X41</formula>
    </cfRule>
    <cfRule type="expression" dxfId="543" priority="88">
      <formula>X41&lt;F41*100</formula>
    </cfRule>
  </conditionalFormatting>
  <conditionalFormatting sqref="X42">
    <cfRule type="cellIs" dxfId="542" priority="83" operator="equal">
      <formula>0</formula>
    </cfRule>
    <cfRule type="expression" dxfId="541" priority="84">
      <formula>F42*100&lt;X42</formula>
    </cfRule>
    <cfRule type="expression" dxfId="540" priority="85">
      <formula>X42&lt;F42*100</formula>
    </cfRule>
  </conditionalFormatting>
  <conditionalFormatting sqref="X43">
    <cfRule type="cellIs" dxfId="539" priority="80" operator="equal">
      <formula>0</formula>
    </cfRule>
    <cfRule type="expression" dxfId="538" priority="81">
      <formula>F43*100&lt;X43</formula>
    </cfRule>
    <cfRule type="expression" dxfId="537" priority="82">
      <formula>X43&lt;F43*100</formula>
    </cfRule>
  </conditionalFormatting>
  <conditionalFormatting sqref="X44">
    <cfRule type="cellIs" dxfId="536" priority="77" operator="equal">
      <formula>0</formula>
    </cfRule>
    <cfRule type="expression" dxfId="535" priority="78">
      <formula>F44*100&lt;X44</formula>
    </cfRule>
    <cfRule type="expression" dxfId="534" priority="79">
      <formula>X44&lt;F44*100</formula>
    </cfRule>
  </conditionalFormatting>
  <conditionalFormatting sqref="X45">
    <cfRule type="cellIs" dxfId="533" priority="74" operator="equal">
      <formula>0</formula>
    </cfRule>
    <cfRule type="expression" dxfId="532" priority="75">
      <formula>F45*100&lt;X45</formula>
    </cfRule>
    <cfRule type="expression" dxfId="531" priority="76">
      <formula>X45&lt;F45*100</formula>
    </cfRule>
  </conditionalFormatting>
  <conditionalFormatting sqref="X46">
    <cfRule type="cellIs" dxfId="530" priority="71" operator="equal">
      <formula>0</formula>
    </cfRule>
    <cfRule type="expression" dxfId="529" priority="72">
      <formula>F46*100&lt;X46</formula>
    </cfRule>
    <cfRule type="expression" dxfId="528" priority="73">
      <formula>X46&lt;F46*100</formula>
    </cfRule>
  </conditionalFormatting>
  <conditionalFormatting sqref="X47">
    <cfRule type="cellIs" dxfId="527" priority="68" operator="equal">
      <formula>0</formula>
    </cfRule>
    <cfRule type="expression" dxfId="526" priority="69">
      <formula>F47*100&lt;X47</formula>
    </cfRule>
    <cfRule type="expression" dxfId="525" priority="70">
      <formula>X47&lt;F47*100</formula>
    </cfRule>
  </conditionalFormatting>
  <conditionalFormatting sqref="X48">
    <cfRule type="cellIs" dxfId="524" priority="65" operator="equal">
      <formula>0</formula>
    </cfRule>
    <cfRule type="expression" dxfId="523" priority="66">
      <formula>F48*100&lt;X48</formula>
    </cfRule>
    <cfRule type="expression" dxfId="522" priority="67">
      <formula>X48&lt;F48*100</formula>
    </cfRule>
  </conditionalFormatting>
  <conditionalFormatting sqref="X49">
    <cfRule type="cellIs" dxfId="521" priority="62" operator="equal">
      <formula>0</formula>
    </cfRule>
    <cfRule type="expression" dxfId="520" priority="63">
      <formula>F49*100&lt;X49</formula>
    </cfRule>
    <cfRule type="expression" dxfId="519" priority="64">
      <formula>X49&lt;F49*100</formula>
    </cfRule>
  </conditionalFormatting>
  <conditionalFormatting sqref="X50">
    <cfRule type="cellIs" dxfId="518" priority="59" operator="equal">
      <formula>0</formula>
    </cfRule>
    <cfRule type="expression" dxfId="517" priority="60">
      <formula>F50*100&lt;X50</formula>
    </cfRule>
    <cfRule type="expression" dxfId="516" priority="61">
      <formula>X50&lt;F50*100</formula>
    </cfRule>
  </conditionalFormatting>
  <conditionalFormatting sqref="X51">
    <cfRule type="cellIs" dxfId="515" priority="56" operator="equal">
      <formula>0</formula>
    </cfRule>
    <cfRule type="expression" dxfId="514" priority="57">
      <formula>F51*100&lt;X51</formula>
    </cfRule>
    <cfRule type="expression" dxfId="513" priority="58">
      <formula>X51&lt;F51*100</formula>
    </cfRule>
  </conditionalFormatting>
  <conditionalFormatting sqref="X52">
    <cfRule type="cellIs" dxfId="512" priority="53" operator="equal">
      <formula>0</formula>
    </cfRule>
    <cfRule type="expression" dxfId="511" priority="54">
      <formula>F52*100&lt;X52</formula>
    </cfRule>
    <cfRule type="expression" dxfId="510" priority="55">
      <formula>X52&lt;F52*100</formula>
    </cfRule>
  </conditionalFormatting>
  <conditionalFormatting sqref="X53">
    <cfRule type="cellIs" dxfId="509" priority="50" operator="equal">
      <formula>0</formula>
    </cfRule>
    <cfRule type="expression" dxfId="508" priority="51">
      <formula>F53*100&lt;X53</formula>
    </cfRule>
    <cfRule type="expression" dxfId="507" priority="52">
      <formula>X53&lt;F53*100</formula>
    </cfRule>
  </conditionalFormatting>
  <conditionalFormatting sqref="D31">
    <cfRule type="expression" dxfId="506" priority="49">
      <formula>E31&gt;B31</formula>
    </cfRule>
  </conditionalFormatting>
  <conditionalFormatting sqref="C31">
    <cfRule type="expression" dxfId="505" priority="48">
      <formula>B31&gt;E31</formula>
    </cfRule>
  </conditionalFormatting>
  <conditionalFormatting sqref="D32 D34 D36 D38 D40 D42 D44 D46 D48 D50 D52">
    <cfRule type="expression" dxfId="504" priority="47">
      <formula>E32&gt;B32</formula>
    </cfRule>
  </conditionalFormatting>
  <conditionalFormatting sqref="C32 C34 C36 C38 C40 C42 C44 C46 C48 C50 C52">
    <cfRule type="expression" dxfId="503" priority="46">
      <formula>B32&gt;E32</formula>
    </cfRule>
  </conditionalFormatting>
  <conditionalFormatting sqref="D33 D35 D37 D39 D41 D43 D45 D47 D49 D51 D53">
    <cfRule type="expression" dxfId="502" priority="45">
      <formula>E33&gt;B33</formula>
    </cfRule>
  </conditionalFormatting>
  <conditionalFormatting sqref="C33 C35 C37 C39 C41 C43 C45 C47 C49 C51 C53">
    <cfRule type="expression" dxfId="501" priority="44">
      <formula>B33&gt;E33</formula>
    </cfRule>
  </conditionalFormatting>
  <conditionalFormatting sqref="A43">
    <cfRule type="expression" dxfId="500" priority="43">
      <formula>V43&lt;&gt;0</formula>
    </cfRule>
  </conditionalFormatting>
  <conditionalFormatting sqref="A44 A46 A48 A50 A52">
    <cfRule type="expression" dxfId="499" priority="42">
      <formula>V44&lt;&gt;0</formula>
    </cfRule>
  </conditionalFormatting>
  <conditionalFormatting sqref="A45 A47 A49 A51 A53">
    <cfRule type="expression" dxfId="498" priority="41">
      <formula>V45&lt;&gt;0</formula>
    </cfRule>
  </conditionalFormatting>
  <conditionalFormatting sqref="A31">
    <cfRule type="expression" dxfId="497" priority="40">
      <formula>V31&lt;&gt;0</formula>
    </cfRule>
  </conditionalFormatting>
  <conditionalFormatting sqref="A32 A34 A36 A38 A40">
    <cfRule type="expression" dxfId="496" priority="39">
      <formula>V32&lt;&gt;0</formula>
    </cfRule>
  </conditionalFormatting>
  <conditionalFormatting sqref="A33 A35 A37 A39 A41">
    <cfRule type="expression" dxfId="495" priority="38">
      <formula>V33&lt;&gt;0</formula>
    </cfRule>
  </conditionalFormatting>
  <conditionalFormatting sqref="Y30:Y41">
    <cfRule type="cellIs" dxfId="49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T13" sqref="T1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8">
        <f>I76</f>
        <v>0</v>
      </c>
      <c r="M2" s="799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2" t="s">
        <v>340</v>
      </c>
      <c r="U2" s="292" t="s">
        <v>341</v>
      </c>
      <c r="V2" s="292" t="s">
        <v>355</v>
      </c>
      <c r="W2" s="292"/>
      <c r="X2" s="292" t="s">
        <v>356</v>
      </c>
      <c r="Y2" s="326" t="s">
        <v>357</v>
      </c>
      <c r="Z2" s="326" t="s">
        <v>358</v>
      </c>
      <c r="AA2" s="326" t="s">
        <v>359</v>
      </c>
      <c r="AB2" s="326" t="s">
        <v>360</v>
      </c>
      <c r="AC2" s="326" t="s">
        <v>361</v>
      </c>
      <c r="AD2" s="327" t="s">
        <v>362</v>
      </c>
      <c r="AE2" s="236" t="s">
        <v>363</v>
      </c>
      <c r="AF2" s="293" t="s">
        <v>340</v>
      </c>
      <c r="AG2" s="294" t="s">
        <v>341</v>
      </c>
      <c r="AH2" s="293" t="s">
        <v>364</v>
      </c>
      <c r="AI2" s="293"/>
      <c r="AJ2" s="293" t="s">
        <v>356</v>
      </c>
      <c r="AK2" s="326" t="s">
        <v>357</v>
      </c>
      <c r="AL2" s="326" t="s">
        <v>358</v>
      </c>
      <c r="AM2" s="326" t="s">
        <v>359</v>
      </c>
      <c r="AN2" s="326" t="s">
        <v>360</v>
      </c>
      <c r="AO2" s="326" t="s">
        <v>361</v>
      </c>
      <c r="AP2" s="326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9"/>
      <c r="K3" s="69"/>
      <c r="L3" s="69"/>
      <c r="M3" s="69"/>
      <c r="N3" s="107"/>
      <c r="O3" s="276">
        <f t="shared" ref="O3:O17" si="3">+O4*(1-$Q$42)</f>
        <v>1079.4685662722245</v>
      </c>
      <c r="P3" s="108">
        <f t="shared" ref="P3:P34" si="4">EW3</f>
        <v>0</v>
      </c>
      <c r="Q3" s="108">
        <f t="shared" ref="Q3:Q34" ca="1" si="5">GN3</f>
        <v>0</v>
      </c>
      <c r="R3" s="62"/>
      <c r="S3" s="240">
        <f t="shared" ref="S3:S9" si="6">IF(AA3&gt;0,ABS((U3+AA3)),"")</f>
        <v>2440.5</v>
      </c>
      <c r="T3" s="672">
        <f t="shared" ref="T3:T8" si="7">SUMIFS(B$3:B$37,C$3:C$37,U3)</f>
        <v>0</v>
      </c>
      <c r="U3" s="235">
        <v>2400</v>
      </c>
      <c r="V3" s="673">
        <f ca="1">IFERROR((NORMSDIST(((LN($O$18/$U3)+($Q$48+($Q$46^2)/2)*$Q$51)/($Q$46*SQRT($Q$51))))*$O$18-NORMSDIST((((LN($O$18/$U3)+($Q$48+($Q$46^2)/2)*$Q$51)/($Q$46*SQRT($Q$51)))-$Q$46*SQRT(($Q$51))))*$U3*EXP(-$Q$48*$Q$51)),0)</f>
        <v>89.546201450686226</v>
      </c>
      <c r="W3" s="505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GFGC2400FE - 24hs</v>
      </c>
      <c r="X3" s="505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GFGC2400FE</v>
      </c>
      <c r="Y3" s="503">
        <f>IFERROR(VLOOKUP($X3,HomeBroker!$A$22:$F$115,2,0),0)</f>
        <v>58</v>
      </c>
      <c r="Z3" s="503">
        <f>IFERROR(VLOOKUP($X3,HomeBroker!$A$22:$F$115,3,0),0)</f>
        <v>40</v>
      </c>
      <c r="AA3" s="237">
        <f>IFERROR(VLOOKUP($X3,HomeBroker!$A$22:$F$115,6,0),0)</f>
        <v>40.5</v>
      </c>
      <c r="AB3" s="503">
        <f>IFERROR(VLOOKUP($X3,HomeBroker!$A$22:$F$115,4,0),0)</f>
        <v>40.5</v>
      </c>
      <c r="AC3" s="503">
        <f>IFERROR(VLOOKUP($X3,HomeBroker!$A$22:$F$115,5,0),0)</f>
        <v>100</v>
      </c>
      <c r="AD3" s="506">
        <f>IFERROR(VLOOKUP($X3,HomeBroker!$A$22:$N$115,14,0),0)</f>
        <v>3063</v>
      </c>
      <c r="AE3" s="241">
        <f>IF(AM3&gt;0,ABS((AG3+AM3)),"")</f>
        <v>1400.02</v>
      </c>
      <c r="AF3" s="110">
        <f>SUMIFS(B$38:B$72,C$38:C$72,AG3)</f>
        <v>0</v>
      </c>
      <c r="AG3" s="235">
        <v>1400</v>
      </c>
      <c r="AH3" s="504">
        <f ca="1">IFERROR((NORMSDIST(-(((LN($O$18/$AG3)+($Q$48+($Q$47^2)/2)*$Q$51)/($Q$47*SQRT($Q$51)))-$Q$47*SQRT($Q$51)))*$AG3*EXP(-$Q$48*$Q$51)-NORMSDIST(-((LN($O$18/$AG3)+($Q$48+($Q$47^2)/2)*$Q$51)/($Q$47*SQRT($Q$51))))*$O$18),0)</f>
        <v>7.986913766844933E-5</v>
      </c>
      <c r="AI3" s="505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05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675">
        <f>IFERROR(VLOOKUP($AJ3,HomeBroker!$A$22:$F$115,2,0),0)</f>
        <v>67</v>
      </c>
      <c r="AL3" s="675">
        <f>IFERROR(VLOOKUP($AJ3,HomeBroker!$A$22:$F$115,3,0),0)</f>
        <v>0.02</v>
      </c>
      <c r="AM3" s="676">
        <f>IFERROR(VLOOKUP($AJ3,HomeBroker!$A$22:$F$115,6,0),0)</f>
        <v>0.02</v>
      </c>
      <c r="AN3" s="675">
        <f>IFERROR(VLOOKUP($AJ3,HomeBroker!$A$22:$F$115,4,0),0)</f>
        <v>0.05</v>
      </c>
      <c r="AO3" s="675">
        <f>IFERROR(VLOOKUP($AJ3,HomeBroker!$A$22:$F$115,5,0),0)</f>
        <v>37</v>
      </c>
      <c r="AP3" s="675">
        <f>IFERROR(VLOOKUP($AJ3,HomeBroker!$A$22:$N$115,14,0),0)</f>
        <v>7</v>
      </c>
      <c r="AQ3" s="62"/>
      <c r="AR3" s="240">
        <f>IF(OR(U3="",AA3=0,AM3=0),"-",U3+AA3-AM3-$O$18)</f>
        <v>110.48000000000002</v>
      </c>
      <c r="AS3" s="240">
        <f>IF(AND($O$18&gt;U3,AA3&gt;0),AA3-AT3,IF(AND($O$18&lt;U3,AM3&gt;0),AM3-AT3,"-"))</f>
        <v>-69.98</v>
      </c>
      <c r="AT3" s="240">
        <f>IF(U3="","-",ABS(U3-$O$18))</f>
        <v>70</v>
      </c>
      <c r="AU3" s="62"/>
      <c r="AV3" s="112"/>
      <c r="AW3" s="113" t="s">
        <v>354</v>
      </c>
      <c r="AX3" s="114"/>
      <c r="AY3" s="106"/>
      <c r="AZ3" s="115"/>
      <c r="BA3" s="283">
        <f t="shared" ref="BA3:BA76" si="10">+AX3*AZ3*-100</f>
        <v>0</v>
      </c>
      <c r="BB3" s="284">
        <f t="shared" ref="BB3:BB76" si="11">IF(AX3&gt;0,+AX3*AZ3*(1+($Q$53+0.002)*1.21)*-100,AX3*AZ3*(1-($Q$53+0.002)*1.21)*-100)</f>
        <v>0</v>
      </c>
      <c r="BC3" s="116" t="s">
        <v>408</v>
      </c>
      <c r="BD3" s="114"/>
      <c r="BE3" s="106"/>
      <c r="BF3" s="117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8" t="s">
        <v>409</v>
      </c>
      <c r="BJ3" s="114"/>
      <c r="BK3" s="117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9">
        <f t="shared" ref="DH3:DH34" si="16">O3</f>
        <v>1079.4685662722245</v>
      </c>
      <c r="DI3" s="120">
        <f t="shared" ref="DI3:DI34" si="17">IF($DH3&gt;$C$3,$B$3*100*($DH3-$C$3),0)</f>
        <v>0</v>
      </c>
      <c r="DJ3" s="120">
        <f t="shared" ref="DJ3:DJ34" si="18">IF($DH3&gt;$C$4,$B$4*100*($DH3-$C$4),0)</f>
        <v>0</v>
      </c>
      <c r="DK3" s="120">
        <f t="shared" ref="DK3:DK34" si="19">IF($DH3&gt;$C$5,$B$5*100*($DH3-$C$5),0)</f>
        <v>0</v>
      </c>
      <c r="DL3" s="120">
        <f t="shared" ref="DL3:DL34" si="20">IF($DH3&gt;$C$6,$B$6*100*($DH3-$C$6),0)</f>
        <v>0</v>
      </c>
      <c r="DM3" s="120">
        <f t="shared" ref="DM3:DM34" si="21">IF($DH3&gt;$C$7,$B$7*100*($DH3-$C$7),0)</f>
        <v>0</v>
      </c>
      <c r="DN3" s="120">
        <f t="shared" ref="DN3:DN34" si="22">IF($DH3&gt;$C$8,$B$8*100*($DH3-$C$8),0)</f>
        <v>0</v>
      </c>
      <c r="DO3" s="120">
        <f t="shared" ref="DO3:DO34" si="23">IF($DH3&gt;$C$9,$B$9*100*($DH3-$C$9),0)</f>
        <v>0</v>
      </c>
      <c r="DP3" s="120">
        <f t="shared" ref="DP3:DP34" si="24">IF($DH3&gt;$C$10,$B$10*100*($DH3-$C$10),0)</f>
        <v>0</v>
      </c>
      <c r="DQ3" s="120">
        <f t="shared" ref="DQ3:DQ34" si="25">IF($DH3&gt;$C$11,$B$11*100*($DH3-$C$11),0)</f>
        <v>0</v>
      </c>
      <c r="DR3" s="120">
        <f t="shared" ref="DR3:DR34" si="26">IF($DH3&gt;$C$12,$B$12*100*($DH3-$C$12),0)</f>
        <v>0</v>
      </c>
      <c r="DS3" s="120">
        <f t="shared" ref="DS3:DS34" si="27">IF($DH3&gt;$C$13,$B$13*100*($DH3-$C$13),0)</f>
        <v>0</v>
      </c>
      <c r="DT3" s="120">
        <f t="shared" ref="DT3:DT34" si="28">IF($DH3&gt;$C$14,$B$14*100*($DH3-$C$14),0)</f>
        <v>0</v>
      </c>
      <c r="DU3" s="120">
        <f t="shared" ref="DU3:DU34" si="29">IF($DH3&gt;$C$15,$B$15*100*($DH3-$C$15),0)</f>
        <v>0</v>
      </c>
      <c r="DV3" s="120">
        <f t="shared" ref="DV3:DV34" si="30">IF($DH3&gt;$C$16,$B$16*100*($DH3-$C$16),0)</f>
        <v>0</v>
      </c>
      <c r="DW3" s="120">
        <f t="shared" ref="DW3:DW34" si="31">IF($DH3&gt;$C$17,$B$17*100*($DH3-$C$17),0)</f>
        <v>0</v>
      </c>
      <c r="DX3" s="120">
        <f t="shared" ref="DX3:DX34" si="32">IF($DH3&gt;$C$18,$B$18*100*($DH3-$C$18),0)</f>
        <v>0</v>
      </c>
      <c r="DY3" s="120">
        <f t="shared" ref="DY3:DY34" si="33">IF($DH3&gt;$C$19,$B$19*100*($DH3-$C$19),0)</f>
        <v>0</v>
      </c>
      <c r="DZ3" s="120">
        <f t="shared" ref="DZ3:DZ34" si="34">IF($DH3&gt;$C$20,$B$20*100*($DH3-$C$20),0)</f>
        <v>0</v>
      </c>
      <c r="EA3" s="120">
        <f t="shared" ref="EA3:EA34" si="35">IF($DH3&gt;$C$21,$B$21*100*($DH3-$C$21),0)</f>
        <v>0</v>
      </c>
      <c r="EB3" s="120">
        <f t="shared" ref="EB3:EB34" si="36">IF($DH3&gt;$C$22,$B$22*100*($DH3-$C$22),0)</f>
        <v>0</v>
      </c>
      <c r="EC3" s="120">
        <f t="shared" ref="EC3:EC34" si="37">IF($DH3&gt;$C$23,$B$23*100*($DH3-$C$23),0)</f>
        <v>0</v>
      </c>
      <c r="ED3" s="120">
        <f t="shared" ref="ED3:ED34" si="38">IF($DH3&gt;$C$24,$B$24*100*($DH3-$C$24),0)</f>
        <v>0</v>
      </c>
      <c r="EE3" s="120">
        <f t="shared" ref="EE3:EE34" si="39">IF($DH3&gt;$C$25,$B$25*100*($DH3-$C$25),0)</f>
        <v>0</v>
      </c>
      <c r="EF3" s="120">
        <f t="shared" ref="EF3:EF34" si="40">IF($DH3&gt;$C$26,$B$26*100*($DH3-$C$26),0)</f>
        <v>0</v>
      </c>
      <c r="EG3" s="120">
        <f t="shared" ref="EG3:EG34" si="41">IF($DH3&gt;$C$27,$B$27*100*($DH3-$C$27),0)</f>
        <v>0</v>
      </c>
      <c r="EH3" s="120">
        <f t="shared" ref="EH3:EH34" si="42">IF($DH3&gt;$C$28,$B$28*100*($DH3-$C$28),0)</f>
        <v>0</v>
      </c>
      <c r="EI3" s="120">
        <f t="shared" ref="EI3:EI34" si="43">IF($DH3&gt;$C$29,$B$29*100*($DH3-$C$29),0)</f>
        <v>0</v>
      </c>
      <c r="EJ3" s="120">
        <f t="shared" ref="EJ3:EJ34" si="44">IF($DH3&gt;$C$30,$B$30*100*($DH3-$C$30),0)</f>
        <v>0</v>
      </c>
      <c r="EK3" s="120">
        <f t="shared" ref="EK3:EK34" si="45">IF($DH3&gt;$C$31,$B$31*100*($DH3-$C$31),0)</f>
        <v>0</v>
      </c>
      <c r="EL3" s="120">
        <f t="shared" ref="EL3:EL34" si="46">IF($DH3&gt;$C$32,$B$32*100*($DH3-$C$32),0)</f>
        <v>0</v>
      </c>
      <c r="EM3" s="120">
        <f t="shared" ref="EM3:EM34" si="47">IF($DH3&gt;$C$33,$B$33*100*($DH3-$C$33),0)</f>
        <v>0</v>
      </c>
      <c r="EN3" s="120">
        <f t="shared" ref="EN3:EN34" si="48">IF($DH3&gt;$C$34,$B$34*100*($DH3-$C$34),0)</f>
        <v>0</v>
      </c>
      <c r="EO3" s="120">
        <f t="shared" ref="EO3:EO34" si="49">IF($DH3&gt;$C$35,$B$35*100*($DH3-$C$35),0)</f>
        <v>0</v>
      </c>
      <c r="EP3" s="120">
        <f t="shared" ref="EP3:EP34" si="50">IF($DH3&gt;$C$36,$B$36*100*($DH3-$C$36),0)</f>
        <v>0</v>
      </c>
      <c r="EQ3" s="120">
        <f t="shared" ref="EQ3:EQ34" si="51">IF($DH3&gt;$C$37,$B$37*100*($DH3-$C$37),0)</f>
        <v>0</v>
      </c>
      <c r="ER3" s="121"/>
      <c r="ES3" s="122">
        <f t="shared" ref="ES3:ES34" si="52">SUM(DI3:EQ3)</f>
        <v>0</v>
      </c>
      <c r="ET3" s="121"/>
      <c r="EU3" s="123">
        <f>Q36</f>
        <v>0</v>
      </c>
      <c r="EV3" s="124"/>
      <c r="EW3" s="125">
        <f t="shared" ref="EW3:EW34" si="53">ROUND($EU$3+ES3+EW36+EW70+EW103,2)</f>
        <v>0</v>
      </c>
      <c r="EX3" s="72"/>
      <c r="EY3" s="119">
        <f t="shared" ref="EY3:EY34" si="54">$O3</f>
        <v>1079.4685662722245</v>
      </c>
      <c r="EZ3" s="120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0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0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0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0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0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0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0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0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0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0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0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0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0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0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0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0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0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0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0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0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0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0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0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0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0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0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0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0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0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0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0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0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0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0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1"/>
      <c r="GJ3" s="122">
        <f t="shared" ref="GJ3:GJ34" ca="1" si="55">SUM(EZ3:GH3)</f>
        <v>0</v>
      </c>
      <c r="GK3" s="121"/>
      <c r="GL3" s="123">
        <f>Q36</f>
        <v>0</v>
      </c>
      <c r="GM3" s="124"/>
      <c r="GN3" s="125">
        <f t="shared" ref="GN3:GN34" ca="1" si="56">ROUND($GL$3+GJ3+GN36+GN70+GN103,2)</f>
        <v>0</v>
      </c>
    </row>
    <row r="4" spans="1:196" ht="15">
      <c r="A4" s="126" t="s">
        <v>410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7" t="str">
        <f>IFERROR(D3/D4,"")</f>
        <v/>
      </c>
      <c r="K4" s="128" t="str">
        <f>IFERROR(G3/G4,"")</f>
        <v/>
      </c>
      <c r="L4" s="129" t="str">
        <f>IFERROR(K4/J4-1,"")</f>
        <v/>
      </c>
      <c r="M4" s="130">
        <f>I3+I4</f>
        <v>0</v>
      </c>
      <c r="N4" s="140"/>
      <c r="O4" s="277">
        <f t="shared" si="3"/>
        <v>1136.2827013391839</v>
      </c>
      <c r="P4" s="131">
        <f t="shared" si="4"/>
        <v>0</v>
      </c>
      <c r="Q4" s="131">
        <f t="shared" ca="1" si="5"/>
        <v>0</v>
      </c>
      <c r="R4" s="62"/>
      <c r="S4" s="240">
        <f t="shared" si="6"/>
        <v>2519</v>
      </c>
      <c r="T4" s="672">
        <f t="shared" si="7"/>
        <v>0</v>
      </c>
      <c r="U4" s="235">
        <v>2500</v>
      </c>
      <c r="V4" s="673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54.428660913096223</v>
      </c>
      <c r="W4" s="505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GFGC2500FE - 24hs</v>
      </c>
      <c r="X4" s="505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GFGC2500FE</v>
      </c>
      <c r="Y4" s="503">
        <f>IFERROR(VLOOKUP($X4,HomeBroker!$A$22:$F$115,2,0),0)</f>
        <v>32</v>
      </c>
      <c r="Z4" s="503">
        <f>IFERROR(VLOOKUP($X4,HomeBroker!$A$22:$F$115,3,0),0)</f>
        <v>19</v>
      </c>
      <c r="AA4" s="237">
        <f>IFERROR(VLOOKUP($X4,HomeBroker!$A$22:$F$115,6,0),0)</f>
        <v>19</v>
      </c>
      <c r="AB4" s="503">
        <f>IFERROR(VLOOKUP($X4,HomeBroker!$A$22:$F$115,4,0),0)</f>
        <v>23</v>
      </c>
      <c r="AC4" s="503">
        <f>IFERROR(VLOOKUP($X4,HomeBroker!$A$22:$F$115,5,0),0)</f>
        <v>200</v>
      </c>
      <c r="AD4" s="506">
        <f>IFERROR(VLOOKUP($X4,HomeBroker!$A$22:$N$115,14,0),0)</f>
        <v>2044</v>
      </c>
      <c r="AE4" s="241" t="str">
        <f t="shared" ref="AE4:AE42" si="62">IF(AM4&gt;0,ABS((AG4+AM4)),"")</f>
        <v/>
      </c>
      <c r="AF4" s="110">
        <f t="shared" ref="AF4:AF17" si="63">SUMIFS(B$38:B$72,C$38:C$72,AG4)</f>
        <v>0</v>
      </c>
      <c r="AG4" s="235">
        <v>1450</v>
      </c>
      <c r="AH4" s="504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3.6481485961040172E-4</v>
      </c>
      <c r="AI4" s="505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05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675">
        <f>IFERROR(VLOOKUP($AJ4,HomeBroker!$A$22:$F$115,2,0),0)</f>
        <v>0</v>
      </c>
      <c r="AL4" s="675">
        <f>IFERROR(VLOOKUP($AJ4,HomeBroker!$A$22:$F$115,3,0),0)</f>
        <v>0</v>
      </c>
      <c r="AM4" s="676">
        <f>IFERROR(VLOOKUP($AJ4,HomeBroker!$A$22:$F$115,6,0),0)</f>
        <v>0</v>
      </c>
      <c r="AN4" s="675">
        <f>IFERROR(VLOOKUP($AJ4,HomeBroker!$A$22:$F$115,4,0),0)</f>
        <v>0.04</v>
      </c>
      <c r="AO4" s="675">
        <f>IFERROR(VLOOKUP($AJ4,HomeBroker!$A$22:$F$115,5,0),0)</f>
        <v>1</v>
      </c>
      <c r="AP4" s="675">
        <f>IFERROR(VLOOKUP($AJ4,HomeBroker!$A$22:$N$115,14,0),0)</f>
        <v>0</v>
      </c>
      <c r="AQ4" s="62"/>
      <c r="AR4" s="240" t="str">
        <f t="shared" ref="AR4:AR42" si="67">IF(OR(U4="",AA4=0,AM4=0),"-",U4+AA4-AM4-$O$18)</f>
        <v>-</v>
      </c>
      <c r="AS4" s="240" t="str">
        <f t="shared" ref="AS4:AS42" si="68">IF(AND($O$18&gt;U4,AA4&gt;0),AA4-AT4,IF(AND($O$18&lt;U4,AM4&gt;0),AM4-AT4,"-"))</f>
        <v>-</v>
      </c>
      <c r="AT4" s="240">
        <f t="shared" ref="AT4:AT42" si="69">IF(U4="","-",ABS(U4-$O$18))</f>
        <v>170</v>
      </c>
      <c r="AU4" s="62"/>
      <c r="AV4" s="112"/>
      <c r="AW4" s="132" t="s">
        <v>354</v>
      </c>
      <c r="AX4" s="114"/>
      <c r="AY4" s="133"/>
      <c r="AZ4" s="115"/>
      <c r="BA4" s="285">
        <f t="shared" si="10"/>
        <v>0</v>
      </c>
      <c r="BB4" s="286">
        <f t="shared" si="11"/>
        <v>0</v>
      </c>
      <c r="BC4" s="116" t="s">
        <v>408</v>
      </c>
      <c r="BD4" s="114"/>
      <c r="BE4" s="106"/>
      <c r="BF4" s="117"/>
      <c r="BG4" s="287">
        <f t="shared" si="12"/>
        <v>0</v>
      </c>
      <c r="BH4" s="289">
        <f t="shared" si="13"/>
        <v>0</v>
      </c>
      <c r="BI4" s="118" t="s">
        <v>409</v>
      </c>
      <c r="BJ4" s="114"/>
      <c r="BK4" s="117"/>
      <c r="BL4" s="290">
        <f t="shared" si="14"/>
        <v>0</v>
      </c>
      <c r="BM4" s="291">
        <f t="shared" si="15"/>
        <v>0</v>
      </c>
      <c r="DH4" s="119">
        <f t="shared" si="16"/>
        <v>1136.2827013391839</v>
      </c>
      <c r="DI4" s="120">
        <f t="shared" si="17"/>
        <v>0</v>
      </c>
      <c r="DJ4" s="120">
        <f t="shared" si="18"/>
        <v>0</v>
      </c>
      <c r="DK4" s="120">
        <f t="shared" si="19"/>
        <v>0</v>
      </c>
      <c r="DL4" s="120">
        <f t="shared" si="20"/>
        <v>0</v>
      </c>
      <c r="DM4" s="120">
        <f t="shared" si="21"/>
        <v>0</v>
      </c>
      <c r="DN4" s="120">
        <f t="shared" si="22"/>
        <v>0</v>
      </c>
      <c r="DO4" s="120">
        <f t="shared" si="23"/>
        <v>0</v>
      </c>
      <c r="DP4" s="120">
        <f t="shared" si="24"/>
        <v>0</v>
      </c>
      <c r="DQ4" s="120">
        <f t="shared" si="25"/>
        <v>0</v>
      </c>
      <c r="DR4" s="120">
        <f t="shared" si="26"/>
        <v>0</v>
      </c>
      <c r="DS4" s="120">
        <f t="shared" si="27"/>
        <v>0</v>
      </c>
      <c r="DT4" s="120">
        <f t="shared" si="28"/>
        <v>0</v>
      </c>
      <c r="DU4" s="120">
        <f t="shared" si="29"/>
        <v>0</v>
      </c>
      <c r="DV4" s="120">
        <f t="shared" si="30"/>
        <v>0</v>
      </c>
      <c r="DW4" s="120">
        <f t="shared" si="31"/>
        <v>0</v>
      </c>
      <c r="DX4" s="120">
        <f t="shared" si="32"/>
        <v>0</v>
      </c>
      <c r="DY4" s="120">
        <f t="shared" si="33"/>
        <v>0</v>
      </c>
      <c r="DZ4" s="120">
        <f t="shared" si="34"/>
        <v>0</v>
      </c>
      <c r="EA4" s="120">
        <f t="shared" si="35"/>
        <v>0</v>
      </c>
      <c r="EB4" s="120">
        <f t="shared" si="36"/>
        <v>0</v>
      </c>
      <c r="EC4" s="120">
        <f t="shared" si="37"/>
        <v>0</v>
      </c>
      <c r="ED4" s="120">
        <f t="shared" si="38"/>
        <v>0</v>
      </c>
      <c r="EE4" s="120">
        <f t="shared" si="39"/>
        <v>0</v>
      </c>
      <c r="EF4" s="120">
        <f t="shared" si="40"/>
        <v>0</v>
      </c>
      <c r="EG4" s="120">
        <f t="shared" si="41"/>
        <v>0</v>
      </c>
      <c r="EH4" s="120">
        <f t="shared" si="42"/>
        <v>0</v>
      </c>
      <c r="EI4" s="120">
        <f t="shared" si="43"/>
        <v>0</v>
      </c>
      <c r="EJ4" s="120">
        <f t="shared" si="44"/>
        <v>0</v>
      </c>
      <c r="EK4" s="120">
        <f t="shared" si="45"/>
        <v>0</v>
      </c>
      <c r="EL4" s="120">
        <f t="shared" si="46"/>
        <v>0</v>
      </c>
      <c r="EM4" s="120">
        <f t="shared" si="47"/>
        <v>0</v>
      </c>
      <c r="EN4" s="120">
        <f t="shared" si="48"/>
        <v>0</v>
      </c>
      <c r="EO4" s="120">
        <f t="shared" si="49"/>
        <v>0</v>
      </c>
      <c r="EP4" s="120">
        <f t="shared" si="50"/>
        <v>0</v>
      </c>
      <c r="EQ4" s="120">
        <f t="shared" si="51"/>
        <v>0</v>
      </c>
      <c r="ER4" s="121"/>
      <c r="ES4" s="122">
        <f t="shared" si="52"/>
        <v>0</v>
      </c>
      <c r="ET4" s="121"/>
      <c r="EU4" s="134"/>
      <c r="EV4" s="124"/>
      <c r="EW4" s="125">
        <f t="shared" si="53"/>
        <v>0</v>
      </c>
      <c r="EX4" s="72"/>
      <c r="EY4" s="119">
        <f t="shared" si="54"/>
        <v>1136.2827013391839</v>
      </c>
      <c r="EZ4" s="120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0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0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0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0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0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0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0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0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0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0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0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0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0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0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0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0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0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0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0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0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0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0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0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0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0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0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0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0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0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0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0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0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0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0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1"/>
      <c r="GJ4" s="122">
        <f t="shared" ca="1" si="55"/>
        <v>0</v>
      </c>
      <c r="GK4" s="121"/>
      <c r="GL4" s="134"/>
      <c r="GM4" s="124"/>
      <c r="GN4" s="125">
        <f t="shared" ca="1" si="56"/>
        <v>0</v>
      </c>
    </row>
    <row r="5" spans="1:196" ht="15">
      <c r="A5" s="135" t="s">
        <v>411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9"/>
      <c r="K5" s="69"/>
      <c r="L5" s="69"/>
      <c r="M5" s="69"/>
      <c r="N5" s="140"/>
      <c r="O5" s="277">
        <f t="shared" si="3"/>
        <v>1196.0870540412461</v>
      </c>
      <c r="P5" s="131">
        <f t="shared" si="4"/>
        <v>0</v>
      </c>
      <c r="Q5" s="131">
        <f t="shared" ca="1" si="5"/>
        <v>0</v>
      </c>
      <c r="R5" s="62"/>
      <c r="S5" s="240">
        <f t="shared" si="6"/>
        <v>2609</v>
      </c>
      <c r="T5" s="672">
        <f t="shared" si="7"/>
        <v>0</v>
      </c>
      <c r="U5" s="235">
        <v>2600</v>
      </c>
      <c r="V5" s="673">
        <f t="shared" ca="1" si="59"/>
        <v>31.166593044210799</v>
      </c>
      <c r="W5" s="505" t="str">
        <f t="shared" si="60"/>
        <v>MERV - XMEV - GFGC2600FE - 24hs</v>
      </c>
      <c r="X5" s="505" t="str">
        <f t="shared" si="61"/>
        <v>GFGC2600FE</v>
      </c>
      <c r="Y5" s="503">
        <f>IFERROR(VLOOKUP($X5,HomeBroker!$A$22:$F$115,2,0),0)</f>
        <v>3</v>
      </c>
      <c r="Z5" s="503">
        <f>IFERROR(VLOOKUP($X5,HomeBroker!$A$22:$F$115,3,0),0)</f>
        <v>8.1199999999999992</v>
      </c>
      <c r="AA5" s="237">
        <f>IFERROR(VLOOKUP($X5,HomeBroker!$A$22:$F$115,6,0),0)</f>
        <v>9</v>
      </c>
      <c r="AB5" s="503">
        <f>IFERROR(VLOOKUP($X5,HomeBroker!$A$22:$F$115,4,0),0)</f>
        <v>10</v>
      </c>
      <c r="AC5" s="503">
        <f>IFERROR(VLOOKUP($X5,HomeBroker!$A$22:$F$115,5,0),0)</f>
        <v>55</v>
      </c>
      <c r="AD5" s="506">
        <f>IFERROR(VLOOKUP($X5,HomeBroker!$A$22:$N$115,14,0),0)</f>
        <v>1418</v>
      </c>
      <c r="AE5" s="241">
        <f t="shared" si="62"/>
        <v>1491.58</v>
      </c>
      <c r="AF5" s="110">
        <f t="shared" si="63"/>
        <v>0</v>
      </c>
      <c r="AG5" s="235">
        <v>1491.5</v>
      </c>
      <c r="AH5" s="504">
        <f t="shared" ca="1" si="64"/>
        <v>1.1606739833237636E-3</v>
      </c>
      <c r="AI5" s="505" t="str">
        <f t="shared" si="65"/>
        <v>MERV - XMEV - GFGV14915F - 24hs</v>
      </c>
      <c r="AJ5" s="505" t="str">
        <f t="shared" si="66"/>
        <v>GFGV14915F</v>
      </c>
      <c r="AK5" s="675">
        <f>IFERROR(VLOOKUP($AJ5,HomeBroker!$A$22:$F$115,2,0),0)</f>
        <v>150</v>
      </c>
      <c r="AL5" s="675">
        <f>IFERROR(VLOOKUP($AJ5,HomeBroker!$A$22:$F$115,3,0),0)</f>
        <v>0.04</v>
      </c>
      <c r="AM5" s="676">
        <f>IFERROR(VLOOKUP($AJ5,HomeBroker!$A$22:$F$115,6,0),0)</f>
        <v>0.08</v>
      </c>
      <c r="AN5" s="675">
        <f>IFERROR(VLOOKUP($AJ5,HomeBroker!$A$22:$F$115,4,0),0)</f>
        <v>7.9000000000000001E-2</v>
      </c>
      <c r="AO5" s="675">
        <f>IFERROR(VLOOKUP($AJ5,HomeBroker!$A$22:$F$115,5,0),0)</f>
        <v>4</v>
      </c>
      <c r="AP5" s="675">
        <f>IFERROR(VLOOKUP($AJ5,HomeBroker!$A$22:$N$115,14,0),0)</f>
        <v>14</v>
      </c>
      <c r="AQ5" s="62"/>
      <c r="AR5" s="240">
        <f t="shared" si="67"/>
        <v>278.92000000000007</v>
      </c>
      <c r="AS5" s="240">
        <f t="shared" si="68"/>
        <v>-269.92</v>
      </c>
      <c r="AT5" s="240">
        <f t="shared" si="69"/>
        <v>270</v>
      </c>
      <c r="AU5" s="62"/>
      <c r="AV5" s="112"/>
      <c r="AW5" s="132" t="s">
        <v>354</v>
      </c>
      <c r="AX5" s="114"/>
      <c r="AY5" s="136"/>
      <c r="AZ5" s="137"/>
      <c r="BA5" s="285">
        <f t="shared" si="10"/>
        <v>0</v>
      </c>
      <c r="BB5" s="286">
        <f t="shared" si="11"/>
        <v>0</v>
      </c>
      <c r="BC5" s="116" t="s">
        <v>408</v>
      </c>
      <c r="BD5" s="114"/>
      <c r="BE5" s="106"/>
      <c r="BF5" s="117"/>
      <c r="BG5" s="287">
        <f t="shared" si="12"/>
        <v>0</v>
      </c>
      <c r="BH5" s="289">
        <f t="shared" si="13"/>
        <v>0</v>
      </c>
      <c r="BI5" s="118" t="s">
        <v>409</v>
      </c>
      <c r="BJ5" s="114"/>
      <c r="BK5" s="117"/>
      <c r="BL5" s="290">
        <f t="shared" si="14"/>
        <v>0</v>
      </c>
      <c r="BM5" s="291">
        <f t="shared" si="15"/>
        <v>0</v>
      </c>
      <c r="DH5" s="119">
        <f t="shared" si="16"/>
        <v>1196.0870540412461</v>
      </c>
      <c r="DI5" s="120">
        <f t="shared" si="17"/>
        <v>0</v>
      </c>
      <c r="DJ5" s="120">
        <f t="shared" si="18"/>
        <v>0</v>
      </c>
      <c r="DK5" s="120">
        <f t="shared" si="19"/>
        <v>0</v>
      </c>
      <c r="DL5" s="120">
        <f t="shared" si="20"/>
        <v>0</v>
      </c>
      <c r="DM5" s="120">
        <f t="shared" si="21"/>
        <v>0</v>
      </c>
      <c r="DN5" s="120">
        <f t="shared" si="22"/>
        <v>0</v>
      </c>
      <c r="DO5" s="120">
        <f t="shared" si="23"/>
        <v>0</v>
      </c>
      <c r="DP5" s="120">
        <f t="shared" si="24"/>
        <v>0</v>
      </c>
      <c r="DQ5" s="120">
        <f t="shared" si="25"/>
        <v>0</v>
      </c>
      <c r="DR5" s="120">
        <f t="shared" si="26"/>
        <v>0</v>
      </c>
      <c r="DS5" s="120">
        <f t="shared" si="27"/>
        <v>0</v>
      </c>
      <c r="DT5" s="120">
        <f t="shared" si="28"/>
        <v>0</v>
      </c>
      <c r="DU5" s="120">
        <f t="shared" si="29"/>
        <v>0</v>
      </c>
      <c r="DV5" s="120">
        <f t="shared" si="30"/>
        <v>0</v>
      </c>
      <c r="DW5" s="120">
        <f t="shared" si="31"/>
        <v>0</v>
      </c>
      <c r="DX5" s="120">
        <f t="shared" si="32"/>
        <v>0</v>
      </c>
      <c r="DY5" s="120">
        <f t="shared" si="33"/>
        <v>0</v>
      </c>
      <c r="DZ5" s="120">
        <f t="shared" si="34"/>
        <v>0</v>
      </c>
      <c r="EA5" s="120">
        <f t="shared" si="35"/>
        <v>0</v>
      </c>
      <c r="EB5" s="120">
        <f t="shared" si="36"/>
        <v>0</v>
      </c>
      <c r="EC5" s="120">
        <f t="shared" si="37"/>
        <v>0</v>
      </c>
      <c r="ED5" s="120">
        <f t="shared" si="38"/>
        <v>0</v>
      </c>
      <c r="EE5" s="120">
        <f t="shared" si="39"/>
        <v>0</v>
      </c>
      <c r="EF5" s="120">
        <f t="shared" si="40"/>
        <v>0</v>
      </c>
      <c r="EG5" s="120">
        <f t="shared" si="41"/>
        <v>0</v>
      </c>
      <c r="EH5" s="120">
        <f t="shared" si="42"/>
        <v>0</v>
      </c>
      <c r="EI5" s="120">
        <f t="shared" si="43"/>
        <v>0</v>
      </c>
      <c r="EJ5" s="120">
        <f t="shared" si="44"/>
        <v>0</v>
      </c>
      <c r="EK5" s="120">
        <f t="shared" si="45"/>
        <v>0</v>
      </c>
      <c r="EL5" s="120">
        <f t="shared" si="46"/>
        <v>0</v>
      </c>
      <c r="EM5" s="120">
        <f t="shared" si="47"/>
        <v>0</v>
      </c>
      <c r="EN5" s="120">
        <f t="shared" si="48"/>
        <v>0</v>
      </c>
      <c r="EO5" s="120">
        <f t="shared" si="49"/>
        <v>0</v>
      </c>
      <c r="EP5" s="120">
        <f t="shared" si="50"/>
        <v>0</v>
      </c>
      <c r="EQ5" s="120">
        <f t="shared" si="51"/>
        <v>0</v>
      </c>
      <c r="ER5" s="121"/>
      <c r="ES5" s="122">
        <f t="shared" si="52"/>
        <v>0</v>
      </c>
      <c r="ET5" s="121"/>
      <c r="EU5" s="134"/>
      <c r="EV5" s="124"/>
      <c r="EW5" s="125">
        <f t="shared" si="53"/>
        <v>0</v>
      </c>
      <c r="EX5" s="72"/>
      <c r="EY5" s="119">
        <f t="shared" si="54"/>
        <v>1196.0870540412461</v>
      </c>
      <c r="EZ5" s="120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0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0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0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0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0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0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0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0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0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0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0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0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0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0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0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0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0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0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0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0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0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0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0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0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0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0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0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0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0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0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0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0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0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0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1"/>
      <c r="GJ5" s="122">
        <f t="shared" ca="1" si="55"/>
        <v>0</v>
      </c>
      <c r="GK5" s="121"/>
      <c r="GL5" s="134"/>
      <c r="GM5" s="124"/>
      <c r="GN5" s="125">
        <f t="shared" ca="1" si="56"/>
        <v>0</v>
      </c>
    </row>
    <row r="6" spans="1:196" ht="15">
      <c r="A6" s="105" t="s">
        <v>407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9"/>
      <c r="K6" s="69"/>
      <c r="L6" s="69"/>
      <c r="M6" s="69"/>
      <c r="N6" s="140"/>
      <c r="O6" s="277">
        <f t="shared" si="3"/>
        <v>1259.0390042539434</v>
      </c>
      <c r="P6" s="138">
        <f t="shared" si="4"/>
        <v>0</v>
      </c>
      <c r="Q6" s="138">
        <f t="shared" ca="1" si="5"/>
        <v>0</v>
      </c>
      <c r="R6" s="62"/>
      <c r="S6" s="240">
        <f t="shared" si="6"/>
        <v>2704.1</v>
      </c>
      <c r="T6" s="672">
        <f t="shared" si="7"/>
        <v>0</v>
      </c>
      <c r="U6" s="235">
        <v>2700</v>
      </c>
      <c r="V6" s="673">
        <f t="shared" ca="1" si="59"/>
        <v>16.844061897584027</v>
      </c>
      <c r="W6" s="505" t="str">
        <f t="shared" si="60"/>
        <v>MERV - XMEV - GFGC2700FE - 24hs</v>
      </c>
      <c r="X6" s="505" t="str">
        <f t="shared" si="61"/>
        <v>GFGC2700FE</v>
      </c>
      <c r="Y6" s="503">
        <f>IFERROR(VLOOKUP($X6,HomeBroker!$A$22:$F$115,2,0),0)</f>
        <v>21</v>
      </c>
      <c r="Z6" s="503">
        <f>IFERROR(VLOOKUP($X6,HomeBroker!$A$22:$F$115,3,0),0)</f>
        <v>4.0999999999999996</v>
      </c>
      <c r="AA6" s="237">
        <f>IFERROR(VLOOKUP($X6,HomeBroker!$A$22:$F$115,6,0),0)</f>
        <v>4.0999999999999996</v>
      </c>
      <c r="AB6" s="503">
        <f>IFERROR(VLOOKUP($X6,HomeBroker!$A$22:$F$115,4,0),0)</f>
        <v>5</v>
      </c>
      <c r="AC6" s="503">
        <f>IFERROR(VLOOKUP($X6,HomeBroker!$A$22:$F$115,5,0),0)</f>
        <v>10</v>
      </c>
      <c r="AD6" s="506">
        <f>IFERROR(VLOOKUP($X6,HomeBroker!$A$22:$N$115,14,0),0)</f>
        <v>1168</v>
      </c>
      <c r="AE6" s="241">
        <f t="shared" si="62"/>
        <v>1570.05</v>
      </c>
      <c r="AF6" s="110">
        <f t="shared" si="63"/>
        <v>0</v>
      </c>
      <c r="AG6" s="235">
        <v>1570</v>
      </c>
      <c r="AH6" s="504">
        <f t="shared" ca="1" si="64"/>
        <v>8.2296837690183366E-3</v>
      </c>
      <c r="AI6" s="505" t="str">
        <f t="shared" si="65"/>
        <v>MERV - XMEV - GFGV1570FE - 24hs</v>
      </c>
      <c r="AJ6" s="505" t="str">
        <f t="shared" si="66"/>
        <v>GFGV1570FE</v>
      </c>
      <c r="AK6" s="675">
        <f>IFERROR(VLOOKUP($AJ6,HomeBroker!$A$22:$F$115,2,0),0)</f>
        <v>19</v>
      </c>
      <c r="AL6" s="675">
        <f>IFERROR(VLOOKUP($AJ6,HomeBroker!$A$22:$F$115,3,0),0)</f>
        <v>0.05</v>
      </c>
      <c r="AM6" s="676">
        <f>IFERROR(VLOOKUP($AJ6,HomeBroker!$A$22:$F$115,6,0),0)</f>
        <v>0.05</v>
      </c>
      <c r="AN6" s="675">
        <f>IFERROR(VLOOKUP($AJ6,HomeBroker!$A$22:$F$115,4,0),0)</f>
        <v>0.09</v>
      </c>
      <c r="AO6" s="675">
        <f>IFERROR(VLOOKUP($AJ6,HomeBroker!$A$22:$F$115,5,0),0)</f>
        <v>50</v>
      </c>
      <c r="AP6" s="675">
        <f>IFERROR(VLOOKUP($AJ6,HomeBroker!$A$22:$N$115,14,0),0)</f>
        <v>12</v>
      </c>
      <c r="AQ6" s="62"/>
      <c r="AR6" s="240">
        <f t="shared" si="67"/>
        <v>374.04999999999973</v>
      </c>
      <c r="AS6" s="240">
        <f t="shared" si="68"/>
        <v>-369.95</v>
      </c>
      <c r="AT6" s="240">
        <f t="shared" si="69"/>
        <v>370</v>
      </c>
      <c r="AU6" s="62"/>
      <c r="AV6" s="112"/>
      <c r="AW6" s="132" t="s">
        <v>354</v>
      </c>
      <c r="AX6" s="114"/>
      <c r="AY6" s="136"/>
      <c r="AZ6" s="137"/>
      <c r="BA6" s="285">
        <f t="shared" si="10"/>
        <v>0</v>
      </c>
      <c r="BB6" s="286">
        <f t="shared" si="11"/>
        <v>0</v>
      </c>
      <c r="BC6" s="116" t="s">
        <v>408</v>
      </c>
      <c r="BD6" s="114"/>
      <c r="BE6" s="139"/>
      <c r="BF6" s="117"/>
      <c r="BG6" s="287">
        <f t="shared" si="12"/>
        <v>0</v>
      </c>
      <c r="BH6" s="289">
        <f t="shared" si="13"/>
        <v>0</v>
      </c>
      <c r="BI6" s="118" t="s">
        <v>409</v>
      </c>
      <c r="BJ6" s="114"/>
      <c r="BK6" s="117"/>
      <c r="BL6" s="290">
        <f t="shared" si="14"/>
        <v>0</v>
      </c>
      <c r="BM6" s="291">
        <f t="shared" si="15"/>
        <v>0</v>
      </c>
      <c r="DH6" s="119">
        <f t="shared" si="16"/>
        <v>1259.0390042539434</v>
      </c>
      <c r="DI6" s="120">
        <f t="shared" si="17"/>
        <v>0</v>
      </c>
      <c r="DJ6" s="120">
        <f t="shared" si="18"/>
        <v>0</v>
      </c>
      <c r="DK6" s="120">
        <f t="shared" si="19"/>
        <v>0</v>
      </c>
      <c r="DL6" s="120">
        <f t="shared" si="20"/>
        <v>0</v>
      </c>
      <c r="DM6" s="120">
        <f t="shared" si="21"/>
        <v>0</v>
      </c>
      <c r="DN6" s="120">
        <f t="shared" si="22"/>
        <v>0</v>
      </c>
      <c r="DO6" s="120">
        <f t="shared" si="23"/>
        <v>0</v>
      </c>
      <c r="DP6" s="120">
        <f t="shared" si="24"/>
        <v>0</v>
      </c>
      <c r="DQ6" s="120">
        <f t="shared" si="25"/>
        <v>0</v>
      </c>
      <c r="DR6" s="120">
        <f t="shared" si="26"/>
        <v>0</v>
      </c>
      <c r="DS6" s="120">
        <f t="shared" si="27"/>
        <v>0</v>
      </c>
      <c r="DT6" s="120">
        <f t="shared" si="28"/>
        <v>0</v>
      </c>
      <c r="DU6" s="120">
        <f t="shared" si="29"/>
        <v>0</v>
      </c>
      <c r="DV6" s="120">
        <f t="shared" si="30"/>
        <v>0</v>
      </c>
      <c r="DW6" s="120">
        <f t="shared" si="31"/>
        <v>0</v>
      </c>
      <c r="DX6" s="120">
        <f t="shared" si="32"/>
        <v>0</v>
      </c>
      <c r="DY6" s="120">
        <f t="shared" si="33"/>
        <v>0</v>
      </c>
      <c r="DZ6" s="120">
        <f t="shared" si="34"/>
        <v>0</v>
      </c>
      <c r="EA6" s="120">
        <f t="shared" si="35"/>
        <v>0</v>
      </c>
      <c r="EB6" s="120">
        <f t="shared" si="36"/>
        <v>0</v>
      </c>
      <c r="EC6" s="120">
        <f t="shared" si="37"/>
        <v>0</v>
      </c>
      <c r="ED6" s="120">
        <f t="shared" si="38"/>
        <v>0</v>
      </c>
      <c r="EE6" s="120">
        <f t="shared" si="39"/>
        <v>0</v>
      </c>
      <c r="EF6" s="120">
        <f t="shared" si="40"/>
        <v>0</v>
      </c>
      <c r="EG6" s="120">
        <f t="shared" si="41"/>
        <v>0</v>
      </c>
      <c r="EH6" s="120">
        <f t="shared" si="42"/>
        <v>0</v>
      </c>
      <c r="EI6" s="120">
        <f t="shared" si="43"/>
        <v>0</v>
      </c>
      <c r="EJ6" s="120">
        <f t="shared" si="44"/>
        <v>0</v>
      </c>
      <c r="EK6" s="120">
        <f t="shared" si="45"/>
        <v>0</v>
      </c>
      <c r="EL6" s="120">
        <f t="shared" si="46"/>
        <v>0</v>
      </c>
      <c r="EM6" s="120">
        <f t="shared" si="47"/>
        <v>0</v>
      </c>
      <c r="EN6" s="120">
        <f t="shared" si="48"/>
        <v>0</v>
      </c>
      <c r="EO6" s="120">
        <f t="shared" si="49"/>
        <v>0</v>
      </c>
      <c r="EP6" s="120">
        <f t="shared" si="50"/>
        <v>0</v>
      </c>
      <c r="EQ6" s="120">
        <f t="shared" si="51"/>
        <v>0</v>
      </c>
      <c r="ER6" s="121"/>
      <c r="ES6" s="122">
        <f t="shared" si="52"/>
        <v>0</v>
      </c>
      <c r="ET6" s="121"/>
      <c r="EU6" s="134"/>
      <c r="EV6" s="124"/>
      <c r="EW6" s="125">
        <f t="shared" si="53"/>
        <v>0</v>
      </c>
      <c r="EX6" s="72"/>
      <c r="EY6" s="119">
        <f t="shared" si="54"/>
        <v>1259.0390042539434</v>
      </c>
      <c r="EZ6" s="120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0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0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0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0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0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0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0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0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0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0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0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0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0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0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0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0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0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0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0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0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0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0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0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0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0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0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0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0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0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0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0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0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0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0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1"/>
      <c r="GJ6" s="122">
        <f t="shared" ca="1" si="55"/>
        <v>0</v>
      </c>
      <c r="GK6" s="121"/>
      <c r="GL6" s="134"/>
      <c r="GM6" s="124"/>
      <c r="GN6" s="125">
        <f t="shared" ca="1" si="56"/>
        <v>0</v>
      </c>
    </row>
    <row r="7" spans="1:196" ht="15">
      <c r="A7" s="126" t="s">
        <v>410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7" t="str">
        <f>IFERROR(D6/D7,"")</f>
        <v/>
      </c>
      <c r="K7" s="128" t="str">
        <f>IFERROR(G6/G7,"")</f>
        <v/>
      </c>
      <c r="L7" s="129" t="str">
        <f>IFERROR(K7/J7-1,"")</f>
        <v/>
      </c>
      <c r="M7" s="130">
        <f>I6+I7</f>
        <v>0</v>
      </c>
      <c r="N7" s="140">
        <f>IFERROR(-1+(O7/$O$18),"")</f>
        <v>-0.43119990772354033</v>
      </c>
      <c r="O7" s="277">
        <f t="shared" si="3"/>
        <v>1325.304215004151</v>
      </c>
      <c r="P7" s="131">
        <f t="shared" si="4"/>
        <v>0</v>
      </c>
      <c r="Q7" s="131">
        <f t="shared" ca="1" si="5"/>
        <v>0</v>
      </c>
      <c r="R7" s="62"/>
      <c r="S7" s="240">
        <f t="shared" si="6"/>
        <v>2801.35</v>
      </c>
      <c r="T7" s="672">
        <f t="shared" si="7"/>
        <v>0</v>
      </c>
      <c r="U7" s="235">
        <v>2800</v>
      </c>
      <c r="V7" s="673">
        <f t="shared" ca="1" si="59"/>
        <v>8.6154491972746428</v>
      </c>
      <c r="W7" s="505" t="str">
        <f t="shared" si="60"/>
        <v>MERV - XMEV - GFGC2800FE - 24hs</v>
      </c>
      <c r="X7" s="505" t="str">
        <f t="shared" si="61"/>
        <v>GFGC2800FE</v>
      </c>
      <c r="Y7" s="503">
        <f>IFERROR(VLOOKUP($X7,HomeBroker!$A$22:$F$115,2,0),0)</f>
        <v>797</v>
      </c>
      <c r="Z7" s="503">
        <f>IFERROR(VLOOKUP($X7,HomeBroker!$A$22:$F$115,3,0),0)</f>
        <v>1.35</v>
      </c>
      <c r="AA7" s="237">
        <f>IFERROR(VLOOKUP($X7,HomeBroker!$A$22:$F$115,6,0),0)</f>
        <v>1.35</v>
      </c>
      <c r="AB7" s="503">
        <f>IFERROR(VLOOKUP($X7,HomeBroker!$A$22:$F$115,4,0),0)</f>
        <v>1.95</v>
      </c>
      <c r="AC7" s="503">
        <f>IFERROR(VLOOKUP($X7,HomeBroker!$A$22:$F$115,5,0),0)</f>
        <v>1</v>
      </c>
      <c r="AD7" s="506">
        <f>IFERROR(VLOOKUP($X7,HomeBroker!$A$22:$N$115,14,0),0)</f>
        <v>919</v>
      </c>
      <c r="AE7" s="241">
        <f t="shared" si="62"/>
        <v>1640.105</v>
      </c>
      <c r="AF7" s="110">
        <f t="shared" si="63"/>
        <v>0</v>
      </c>
      <c r="AG7" s="235">
        <v>1640</v>
      </c>
      <c r="AH7" s="504">
        <f t="shared" ca="1" si="64"/>
        <v>3.7642522093388919E-2</v>
      </c>
      <c r="AI7" s="505" t="str">
        <f t="shared" si="65"/>
        <v>MERV - XMEV - GFGV1640FE - 24hs</v>
      </c>
      <c r="AJ7" s="505" t="str">
        <f t="shared" si="66"/>
        <v>GFGV1640FE</v>
      </c>
      <c r="AK7" s="675">
        <f>IFERROR(VLOOKUP($AJ7,HomeBroker!$A$22:$F$115,2,0),0)</f>
        <v>20</v>
      </c>
      <c r="AL7" s="675">
        <f>IFERROR(VLOOKUP($AJ7,HomeBroker!$A$22:$F$115,3,0),0)</f>
        <v>0.05</v>
      </c>
      <c r="AM7" s="676">
        <f>IFERROR(VLOOKUP($AJ7,HomeBroker!$A$22:$F$115,6,0),0)</f>
        <v>0.105</v>
      </c>
      <c r="AN7" s="675">
        <f>IFERROR(VLOOKUP($AJ7,HomeBroker!$A$22:$F$115,4,0),0)</f>
        <v>0.105</v>
      </c>
      <c r="AO7" s="675">
        <f>IFERROR(VLOOKUP($AJ7,HomeBroker!$A$22:$F$115,5,0),0)</f>
        <v>174</v>
      </c>
      <c r="AP7" s="675">
        <f>IFERROR(VLOOKUP($AJ7,HomeBroker!$A$22:$N$115,14,0),0)</f>
        <v>42</v>
      </c>
      <c r="AQ7" s="62"/>
      <c r="AR7" s="240">
        <f t="shared" si="67"/>
        <v>471.24499999999989</v>
      </c>
      <c r="AS7" s="240">
        <f t="shared" si="68"/>
        <v>-469.89499999999998</v>
      </c>
      <c r="AT7" s="240">
        <f t="shared" si="69"/>
        <v>470</v>
      </c>
      <c r="AU7" s="62"/>
      <c r="AV7" s="112"/>
      <c r="AW7" s="132" t="s">
        <v>354</v>
      </c>
      <c r="AX7" s="114"/>
      <c r="AY7" s="136"/>
      <c r="AZ7" s="137"/>
      <c r="BA7" s="285">
        <f t="shared" si="10"/>
        <v>0</v>
      </c>
      <c r="BB7" s="286">
        <f t="shared" si="11"/>
        <v>0</v>
      </c>
      <c r="BC7" s="116" t="s">
        <v>408</v>
      </c>
      <c r="BD7" s="114"/>
      <c r="BE7" s="139"/>
      <c r="BF7" s="117"/>
      <c r="BG7" s="287">
        <f t="shared" si="12"/>
        <v>0</v>
      </c>
      <c r="BH7" s="289">
        <f t="shared" si="13"/>
        <v>0</v>
      </c>
      <c r="BI7" s="118" t="s">
        <v>409</v>
      </c>
      <c r="BJ7" s="114"/>
      <c r="BK7" s="117"/>
      <c r="BL7" s="290">
        <f t="shared" si="14"/>
        <v>0</v>
      </c>
      <c r="BM7" s="291">
        <f t="shared" si="15"/>
        <v>0</v>
      </c>
      <c r="DH7" s="119">
        <f t="shared" si="16"/>
        <v>1325.304215004151</v>
      </c>
      <c r="DI7" s="120">
        <f t="shared" si="17"/>
        <v>0</v>
      </c>
      <c r="DJ7" s="120">
        <f t="shared" si="18"/>
        <v>0</v>
      </c>
      <c r="DK7" s="120">
        <f t="shared" si="19"/>
        <v>0</v>
      </c>
      <c r="DL7" s="120">
        <f t="shared" si="20"/>
        <v>0</v>
      </c>
      <c r="DM7" s="120">
        <f t="shared" si="21"/>
        <v>0</v>
      </c>
      <c r="DN7" s="120">
        <f t="shared" si="22"/>
        <v>0</v>
      </c>
      <c r="DO7" s="120">
        <f t="shared" si="23"/>
        <v>0</v>
      </c>
      <c r="DP7" s="120">
        <f t="shared" si="24"/>
        <v>0</v>
      </c>
      <c r="DQ7" s="120">
        <f t="shared" si="25"/>
        <v>0</v>
      </c>
      <c r="DR7" s="120">
        <f t="shared" si="26"/>
        <v>0</v>
      </c>
      <c r="DS7" s="120">
        <f t="shared" si="27"/>
        <v>0</v>
      </c>
      <c r="DT7" s="120">
        <f t="shared" si="28"/>
        <v>0</v>
      </c>
      <c r="DU7" s="120">
        <f t="shared" si="29"/>
        <v>0</v>
      </c>
      <c r="DV7" s="120">
        <f t="shared" si="30"/>
        <v>0</v>
      </c>
      <c r="DW7" s="120">
        <f t="shared" si="31"/>
        <v>0</v>
      </c>
      <c r="DX7" s="120">
        <f t="shared" si="32"/>
        <v>0</v>
      </c>
      <c r="DY7" s="120">
        <f t="shared" si="33"/>
        <v>0</v>
      </c>
      <c r="DZ7" s="120">
        <f t="shared" si="34"/>
        <v>0</v>
      </c>
      <c r="EA7" s="120">
        <f t="shared" si="35"/>
        <v>0</v>
      </c>
      <c r="EB7" s="120">
        <f t="shared" si="36"/>
        <v>0</v>
      </c>
      <c r="EC7" s="120">
        <f t="shared" si="37"/>
        <v>0</v>
      </c>
      <c r="ED7" s="120">
        <f t="shared" si="38"/>
        <v>0</v>
      </c>
      <c r="EE7" s="120">
        <f t="shared" si="39"/>
        <v>0</v>
      </c>
      <c r="EF7" s="120">
        <f t="shared" si="40"/>
        <v>0</v>
      </c>
      <c r="EG7" s="120">
        <f t="shared" si="41"/>
        <v>0</v>
      </c>
      <c r="EH7" s="120">
        <f t="shared" si="42"/>
        <v>0</v>
      </c>
      <c r="EI7" s="120">
        <f t="shared" si="43"/>
        <v>0</v>
      </c>
      <c r="EJ7" s="120">
        <f t="shared" si="44"/>
        <v>0</v>
      </c>
      <c r="EK7" s="120">
        <f t="shared" si="45"/>
        <v>0</v>
      </c>
      <c r="EL7" s="120">
        <f t="shared" si="46"/>
        <v>0</v>
      </c>
      <c r="EM7" s="120">
        <f t="shared" si="47"/>
        <v>0</v>
      </c>
      <c r="EN7" s="120">
        <f t="shared" si="48"/>
        <v>0</v>
      </c>
      <c r="EO7" s="120">
        <f t="shared" si="49"/>
        <v>0</v>
      </c>
      <c r="EP7" s="120">
        <f t="shared" si="50"/>
        <v>0</v>
      </c>
      <c r="EQ7" s="120">
        <f t="shared" si="51"/>
        <v>0</v>
      </c>
      <c r="ER7" s="121"/>
      <c r="ES7" s="122">
        <f t="shared" si="52"/>
        <v>0</v>
      </c>
      <c r="ET7" s="121"/>
      <c r="EU7" s="134"/>
      <c r="EV7" s="124"/>
      <c r="EW7" s="125">
        <f t="shared" si="53"/>
        <v>0</v>
      </c>
      <c r="EX7" s="72"/>
      <c r="EY7" s="119">
        <f t="shared" si="54"/>
        <v>1325.304215004151</v>
      </c>
      <c r="EZ7" s="120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0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0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0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0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0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0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0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0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0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0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0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0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0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0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0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0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0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0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0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0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0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0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0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0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0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0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0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0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0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0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0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0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0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0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1"/>
      <c r="GJ7" s="122">
        <f t="shared" ca="1" si="55"/>
        <v>0</v>
      </c>
      <c r="GK7" s="121"/>
      <c r="GL7" s="134"/>
      <c r="GM7" s="124"/>
      <c r="GN7" s="125">
        <f t="shared" ca="1" si="56"/>
        <v>0</v>
      </c>
    </row>
    <row r="8" spans="1:196" ht="15">
      <c r="A8" s="135" t="s">
        <v>411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9"/>
      <c r="K8" s="69"/>
      <c r="L8" s="69"/>
      <c r="M8" s="69"/>
      <c r="N8" s="141"/>
      <c r="O8" s="278">
        <f t="shared" si="3"/>
        <v>1395.0570684254221</v>
      </c>
      <c r="P8" s="131">
        <f t="shared" si="4"/>
        <v>0</v>
      </c>
      <c r="Q8" s="131">
        <f t="shared" ca="1" si="5"/>
        <v>0</v>
      </c>
      <c r="R8" s="62"/>
      <c r="S8" s="240">
        <f t="shared" si="6"/>
        <v>2901.05</v>
      </c>
      <c r="T8" s="672">
        <f t="shared" si="7"/>
        <v>0</v>
      </c>
      <c r="U8" s="235">
        <v>2900</v>
      </c>
      <c r="V8" s="673">
        <f t="shared" ca="1" si="59"/>
        <v>4.1838640503286513</v>
      </c>
      <c r="W8" s="505" t="str">
        <f t="shared" si="60"/>
        <v>MERV - XMEV - GFGC2900FE - 24hs</v>
      </c>
      <c r="X8" s="505" t="str">
        <f t="shared" si="61"/>
        <v>GFGC2900FE</v>
      </c>
      <c r="Y8" s="503">
        <f>IFERROR(VLOOKUP($X8,HomeBroker!$A$22:$F$115,2,0),0)</f>
        <v>7</v>
      </c>
      <c r="Z8" s="503">
        <f>IFERROR(VLOOKUP($X8,HomeBroker!$A$22:$F$115,3,0),0)</f>
        <v>1</v>
      </c>
      <c r="AA8" s="237">
        <f>IFERROR(VLOOKUP($X8,HomeBroker!$A$22:$F$115,6,0),0)</f>
        <v>1.05</v>
      </c>
      <c r="AB8" s="503">
        <f>IFERROR(VLOOKUP($X8,HomeBroker!$A$22:$F$115,4,0),0)</f>
        <v>1.22</v>
      </c>
      <c r="AC8" s="503">
        <f>IFERROR(VLOOKUP($X8,HomeBroker!$A$22:$F$115,5,0),0)</f>
        <v>55</v>
      </c>
      <c r="AD8" s="506">
        <f>IFERROR(VLOOKUP($X8,HomeBroker!$A$22:$N$115,14,0),0)</f>
        <v>842</v>
      </c>
      <c r="AE8" s="241">
        <f t="shared" si="62"/>
        <v>1701.73</v>
      </c>
      <c r="AF8" s="110">
        <f t="shared" si="63"/>
        <v>0</v>
      </c>
      <c r="AG8" s="235">
        <v>1701.5</v>
      </c>
      <c r="AH8" s="504">
        <f t="shared" ca="1" si="64"/>
        <v>0.12260550093399214</v>
      </c>
      <c r="AI8" s="505" t="str">
        <f t="shared" si="65"/>
        <v>MERV - XMEV - GFGV17015F - 24hs</v>
      </c>
      <c r="AJ8" s="505" t="str">
        <f t="shared" si="66"/>
        <v>GFGV17015F</v>
      </c>
      <c r="AK8" s="675">
        <f>IFERROR(VLOOKUP($AJ8,HomeBroker!$A$22:$F$115,2,0),0)</f>
        <v>10</v>
      </c>
      <c r="AL8" s="675">
        <f>IFERROR(VLOOKUP($AJ8,HomeBroker!$A$22:$F$115,3,0),0)</f>
        <v>0.1</v>
      </c>
      <c r="AM8" s="676">
        <f>IFERROR(VLOOKUP($AJ8,HomeBroker!$A$22:$F$115,6,0),0)</f>
        <v>0.23</v>
      </c>
      <c r="AN8" s="675">
        <f>IFERROR(VLOOKUP($AJ8,HomeBroker!$A$22:$F$115,4,0),0)</f>
        <v>0.23</v>
      </c>
      <c r="AO8" s="675">
        <f>IFERROR(VLOOKUP($AJ8,HomeBroker!$A$22:$F$115,5,0),0)</f>
        <v>255</v>
      </c>
      <c r="AP8" s="675">
        <f>IFERROR(VLOOKUP($AJ8,HomeBroker!$A$22:$N$115,14,0),0)</f>
        <v>91</v>
      </c>
      <c r="AQ8" s="62"/>
      <c r="AR8" s="240">
        <f t="shared" si="67"/>
        <v>570.82000000000016</v>
      </c>
      <c r="AS8" s="240">
        <f t="shared" si="68"/>
        <v>-569.77</v>
      </c>
      <c r="AT8" s="240">
        <f t="shared" si="69"/>
        <v>570</v>
      </c>
      <c r="AU8" s="62"/>
      <c r="AV8" s="112"/>
      <c r="AW8" s="132" t="s">
        <v>354</v>
      </c>
      <c r="AX8" s="114"/>
      <c r="AY8" s="136"/>
      <c r="AZ8" s="137"/>
      <c r="BA8" s="285">
        <f t="shared" si="10"/>
        <v>0</v>
      </c>
      <c r="BB8" s="286">
        <f t="shared" si="11"/>
        <v>0</v>
      </c>
      <c r="BC8" s="116" t="s">
        <v>408</v>
      </c>
      <c r="BD8" s="114"/>
      <c r="BE8" s="139"/>
      <c r="BF8" s="117"/>
      <c r="BG8" s="287">
        <f t="shared" si="12"/>
        <v>0</v>
      </c>
      <c r="BH8" s="289">
        <f t="shared" si="13"/>
        <v>0</v>
      </c>
      <c r="BI8" s="118" t="s">
        <v>409</v>
      </c>
      <c r="BJ8" s="114"/>
      <c r="BK8" s="117"/>
      <c r="BL8" s="290">
        <f t="shared" si="14"/>
        <v>0</v>
      </c>
      <c r="BM8" s="291">
        <f t="shared" si="15"/>
        <v>0</v>
      </c>
      <c r="DH8" s="119">
        <f t="shared" si="16"/>
        <v>1395.0570684254221</v>
      </c>
      <c r="DI8" s="120">
        <f t="shared" si="17"/>
        <v>0</v>
      </c>
      <c r="DJ8" s="120">
        <f t="shared" si="18"/>
        <v>0</v>
      </c>
      <c r="DK8" s="120">
        <f t="shared" si="19"/>
        <v>0</v>
      </c>
      <c r="DL8" s="120">
        <f t="shared" si="20"/>
        <v>0</v>
      </c>
      <c r="DM8" s="120">
        <f t="shared" si="21"/>
        <v>0</v>
      </c>
      <c r="DN8" s="120">
        <f t="shared" si="22"/>
        <v>0</v>
      </c>
      <c r="DO8" s="120">
        <f t="shared" si="23"/>
        <v>0</v>
      </c>
      <c r="DP8" s="120">
        <f t="shared" si="24"/>
        <v>0</v>
      </c>
      <c r="DQ8" s="120">
        <f t="shared" si="25"/>
        <v>0</v>
      </c>
      <c r="DR8" s="120">
        <f t="shared" si="26"/>
        <v>0</v>
      </c>
      <c r="DS8" s="120">
        <f t="shared" si="27"/>
        <v>0</v>
      </c>
      <c r="DT8" s="120">
        <f t="shared" si="28"/>
        <v>0</v>
      </c>
      <c r="DU8" s="120">
        <f t="shared" si="29"/>
        <v>0</v>
      </c>
      <c r="DV8" s="120">
        <f t="shared" si="30"/>
        <v>0</v>
      </c>
      <c r="DW8" s="120">
        <f t="shared" si="31"/>
        <v>0</v>
      </c>
      <c r="DX8" s="120">
        <f t="shared" si="32"/>
        <v>0</v>
      </c>
      <c r="DY8" s="120">
        <f t="shared" si="33"/>
        <v>0</v>
      </c>
      <c r="DZ8" s="120">
        <f t="shared" si="34"/>
        <v>0</v>
      </c>
      <c r="EA8" s="120">
        <f t="shared" si="35"/>
        <v>0</v>
      </c>
      <c r="EB8" s="120">
        <f t="shared" si="36"/>
        <v>0</v>
      </c>
      <c r="EC8" s="120">
        <f t="shared" si="37"/>
        <v>0</v>
      </c>
      <c r="ED8" s="120">
        <f t="shared" si="38"/>
        <v>0</v>
      </c>
      <c r="EE8" s="120">
        <f t="shared" si="39"/>
        <v>0</v>
      </c>
      <c r="EF8" s="120">
        <f t="shared" si="40"/>
        <v>0</v>
      </c>
      <c r="EG8" s="120">
        <f t="shared" si="41"/>
        <v>0</v>
      </c>
      <c r="EH8" s="120">
        <f t="shared" si="42"/>
        <v>0</v>
      </c>
      <c r="EI8" s="120">
        <f t="shared" si="43"/>
        <v>0</v>
      </c>
      <c r="EJ8" s="120">
        <f t="shared" si="44"/>
        <v>0</v>
      </c>
      <c r="EK8" s="120">
        <f t="shared" si="45"/>
        <v>0</v>
      </c>
      <c r="EL8" s="120">
        <f t="shared" si="46"/>
        <v>0</v>
      </c>
      <c r="EM8" s="120">
        <f t="shared" si="47"/>
        <v>0</v>
      </c>
      <c r="EN8" s="120">
        <f t="shared" si="48"/>
        <v>0</v>
      </c>
      <c r="EO8" s="120">
        <f t="shared" si="49"/>
        <v>0</v>
      </c>
      <c r="EP8" s="120">
        <f t="shared" si="50"/>
        <v>0</v>
      </c>
      <c r="EQ8" s="120">
        <f t="shared" si="51"/>
        <v>0</v>
      </c>
      <c r="ER8" s="121"/>
      <c r="ES8" s="122">
        <f t="shared" si="52"/>
        <v>0</v>
      </c>
      <c r="ET8" s="121"/>
      <c r="EU8" s="134"/>
      <c r="EV8" s="124"/>
      <c r="EW8" s="125">
        <f t="shared" si="53"/>
        <v>0</v>
      </c>
      <c r="EX8" s="72"/>
      <c r="EY8" s="119">
        <f t="shared" si="54"/>
        <v>1395.0570684254221</v>
      </c>
      <c r="EZ8" s="120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0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0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0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0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0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0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0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0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0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0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0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0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0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0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0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0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0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0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0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0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0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0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0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0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0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0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0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0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0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0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0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0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0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0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1"/>
      <c r="GJ8" s="122">
        <f t="shared" ca="1" si="55"/>
        <v>0</v>
      </c>
      <c r="GK8" s="121"/>
      <c r="GL8" s="134"/>
      <c r="GM8" s="124"/>
      <c r="GN8" s="125">
        <f t="shared" ca="1" si="56"/>
        <v>0</v>
      </c>
    </row>
    <row r="9" spans="1:196" ht="15">
      <c r="A9" s="105" t="s">
        <v>407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9"/>
      <c r="K9" s="69"/>
      <c r="L9" s="69"/>
      <c r="M9" s="69"/>
      <c r="N9" s="142"/>
      <c r="O9" s="278">
        <f t="shared" si="3"/>
        <v>1468.4811246583392</v>
      </c>
      <c r="P9" s="138">
        <f t="shared" si="4"/>
        <v>0</v>
      </c>
      <c r="Q9" s="138">
        <f t="shared" ca="1" si="5"/>
        <v>0</v>
      </c>
      <c r="R9" s="62"/>
      <c r="S9" s="240">
        <f t="shared" si="6"/>
        <v>3001</v>
      </c>
      <c r="T9" s="672">
        <f>SUMIFS(B$3:B$37,C$3:C$37,U9)</f>
        <v>0</v>
      </c>
      <c r="U9" s="235">
        <v>3000</v>
      </c>
      <c r="V9" s="673">
        <f t="shared" ca="1" si="59"/>
        <v>1.9357463282258465</v>
      </c>
      <c r="W9" s="505" t="str">
        <f t="shared" si="60"/>
        <v>MERV - XMEV - GFGC3000FE - 24hs</v>
      </c>
      <c r="X9" s="505" t="str">
        <f t="shared" si="61"/>
        <v>GFGC3000FE</v>
      </c>
      <c r="Y9" s="503">
        <f>IFERROR(VLOOKUP($X9,HomeBroker!$A$22:$F$115,2,0),0)</f>
        <v>75</v>
      </c>
      <c r="Z9" s="503">
        <f>IFERROR(VLOOKUP($X9,HomeBroker!$A$22:$F$115,3,0),0)</f>
        <v>0.76100000000000001</v>
      </c>
      <c r="AA9" s="237">
        <f>IFERROR(VLOOKUP($X9,HomeBroker!$A$22:$F$115,6,0),0)</f>
        <v>1</v>
      </c>
      <c r="AB9" s="503">
        <f>IFERROR(VLOOKUP($X9,HomeBroker!$A$22:$F$115,4,0),0)</f>
        <v>1</v>
      </c>
      <c r="AC9" s="503">
        <f>IFERROR(VLOOKUP($X9,HomeBroker!$A$22:$F$115,5,0),0)</f>
        <v>40</v>
      </c>
      <c r="AD9" s="506">
        <f>IFERROR(VLOOKUP($X9,HomeBroker!$A$22:$N$115,14,0),0)</f>
        <v>1427</v>
      </c>
      <c r="AE9" s="241">
        <f t="shared" si="62"/>
        <v>1771.6410000000001</v>
      </c>
      <c r="AF9" s="110">
        <f t="shared" si="63"/>
        <v>0</v>
      </c>
      <c r="AG9" s="235">
        <v>1771.5</v>
      </c>
      <c r="AH9" s="504">
        <f t="shared" ca="1" si="64"/>
        <v>0.40207497611672949</v>
      </c>
      <c r="AI9" s="505" t="str">
        <f t="shared" si="65"/>
        <v>MERV - XMEV - GFGV17715F - 24hs</v>
      </c>
      <c r="AJ9" s="505" t="str">
        <f t="shared" si="66"/>
        <v>GFGV17715F</v>
      </c>
      <c r="AK9" s="675">
        <f>IFERROR(VLOOKUP($AJ9,HomeBroker!$A$22:$F$115,2,0),0)</f>
        <v>213</v>
      </c>
      <c r="AL9" s="675">
        <f>IFERROR(VLOOKUP($AJ9,HomeBroker!$A$22:$F$115,3,0),0)</f>
        <v>0.13</v>
      </c>
      <c r="AM9" s="676">
        <f>IFERROR(VLOOKUP($AJ9,HomeBroker!$A$22:$F$115,6,0),0)</f>
        <v>0.14099999999999999</v>
      </c>
      <c r="AN9" s="675">
        <f>IFERROR(VLOOKUP($AJ9,HomeBroker!$A$22:$F$115,4,0),0)</f>
        <v>0.249</v>
      </c>
      <c r="AO9" s="675">
        <f>IFERROR(VLOOKUP($AJ9,HomeBroker!$A$22:$F$115,5,0),0)</f>
        <v>16</v>
      </c>
      <c r="AP9" s="675">
        <f>IFERROR(VLOOKUP($AJ9,HomeBroker!$A$22:$N$115,14,0),0)</f>
        <v>117</v>
      </c>
      <c r="AQ9" s="62"/>
      <c r="AR9" s="240">
        <f t="shared" si="67"/>
        <v>670.85899999999992</v>
      </c>
      <c r="AS9" s="240">
        <f t="shared" si="68"/>
        <v>-669.85900000000004</v>
      </c>
      <c r="AT9" s="240">
        <f t="shared" si="69"/>
        <v>670</v>
      </c>
      <c r="AU9" s="62"/>
      <c r="AV9" s="112"/>
      <c r="AW9" s="132" t="s">
        <v>354</v>
      </c>
      <c r="AX9" s="114"/>
      <c r="AY9" s="136"/>
      <c r="AZ9" s="137"/>
      <c r="BA9" s="285">
        <f t="shared" si="10"/>
        <v>0</v>
      </c>
      <c r="BB9" s="286">
        <f t="shared" si="11"/>
        <v>0</v>
      </c>
      <c r="BC9" s="116" t="s">
        <v>408</v>
      </c>
      <c r="BD9" s="114"/>
      <c r="BE9" s="139"/>
      <c r="BF9" s="117"/>
      <c r="BG9" s="287">
        <f t="shared" si="12"/>
        <v>0</v>
      </c>
      <c r="BH9" s="289">
        <f t="shared" si="13"/>
        <v>0</v>
      </c>
      <c r="BI9" s="118" t="s">
        <v>409</v>
      </c>
      <c r="BJ9" s="114"/>
      <c r="BK9" s="117"/>
      <c r="BL9" s="290">
        <f t="shared" si="14"/>
        <v>0</v>
      </c>
      <c r="BM9" s="291">
        <f t="shared" si="15"/>
        <v>0</v>
      </c>
      <c r="DH9" s="119">
        <f t="shared" si="16"/>
        <v>1468.4811246583392</v>
      </c>
      <c r="DI9" s="120">
        <f t="shared" si="17"/>
        <v>0</v>
      </c>
      <c r="DJ9" s="120">
        <f t="shared" si="18"/>
        <v>0</v>
      </c>
      <c r="DK9" s="120">
        <f t="shared" si="19"/>
        <v>0</v>
      </c>
      <c r="DL9" s="120">
        <f t="shared" si="20"/>
        <v>0</v>
      </c>
      <c r="DM9" s="120">
        <f t="shared" si="21"/>
        <v>0</v>
      </c>
      <c r="DN9" s="120">
        <f t="shared" si="22"/>
        <v>0</v>
      </c>
      <c r="DO9" s="120">
        <f t="shared" si="23"/>
        <v>0</v>
      </c>
      <c r="DP9" s="120">
        <f t="shared" si="24"/>
        <v>0</v>
      </c>
      <c r="DQ9" s="120">
        <f t="shared" si="25"/>
        <v>0</v>
      </c>
      <c r="DR9" s="120">
        <f t="shared" si="26"/>
        <v>0</v>
      </c>
      <c r="DS9" s="120">
        <f t="shared" si="27"/>
        <v>0</v>
      </c>
      <c r="DT9" s="120">
        <f t="shared" si="28"/>
        <v>0</v>
      </c>
      <c r="DU9" s="120">
        <f t="shared" si="29"/>
        <v>0</v>
      </c>
      <c r="DV9" s="120">
        <f t="shared" si="30"/>
        <v>0</v>
      </c>
      <c r="DW9" s="120">
        <f t="shared" si="31"/>
        <v>0</v>
      </c>
      <c r="DX9" s="120">
        <f t="shared" si="32"/>
        <v>0</v>
      </c>
      <c r="DY9" s="120">
        <f t="shared" si="33"/>
        <v>0</v>
      </c>
      <c r="DZ9" s="120">
        <f t="shared" si="34"/>
        <v>0</v>
      </c>
      <c r="EA9" s="120">
        <f t="shared" si="35"/>
        <v>0</v>
      </c>
      <c r="EB9" s="120">
        <f t="shared" si="36"/>
        <v>0</v>
      </c>
      <c r="EC9" s="120">
        <f t="shared" si="37"/>
        <v>0</v>
      </c>
      <c r="ED9" s="120">
        <f t="shared" si="38"/>
        <v>0</v>
      </c>
      <c r="EE9" s="120">
        <f t="shared" si="39"/>
        <v>0</v>
      </c>
      <c r="EF9" s="120">
        <f t="shared" si="40"/>
        <v>0</v>
      </c>
      <c r="EG9" s="120">
        <f t="shared" si="41"/>
        <v>0</v>
      </c>
      <c r="EH9" s="120">
        <f t="shared" si="42"/>
        <v>0</v>
      </c>
      <c r="EI9" s="120">
        <f t="shared" si="43"/>
        <v>0</v>
      </c>
      <c r="EJ9" s="120">
        <f t="shared" si="44"/>
        <v>0</v>
      </c>
      <c r="EK9" s="120">
        <f t="shared" si="45"/>
        <v>0</v>
      </c>
      <c r="EL9" s="120">
        <f t="shared" si="46"/>
        <v>0</v>
      </c>
      <c r="EM9" s="120">
        <f t="shared" si="47"/>
        <v>0</v>
      </c>
      <c r="EN9" s="120">
        <f t="shared" si="48"/>
        <v>0</v>
      </c>
      <c r="EO9" s="120">
        <f t="shared" si="49"/>
        <v>0</v>
      </c>
      <c r="EP9" s="120">
        <f t="shared" si="50"/>
        <v>0</v>
      </c>
      <c r="EQ9" s="120">
        <f t="shared" si="51"/>
        <v>0</v>
      </c>
      <c r="ER9" s="121"/>
      <c r="ES9" s="122">
        <f t="shared" si="52"/>
        <v>0</v>
      </c>
      <c r="ET9" s="121"/>
      <c r="EU9" s="134"/>
      <c r="EV9" s="124"/>
      <c r="EW9" s="125">
        <f t="shared" si="53"/>
        <v>0</v>
      </c>
      <c r="EX9" s="72"/>
      <c r="EY9" s="119">
        <f t="shared" si="54"/>
        <v>1468.4811246583392</v>
      </c>
      <c r="EZ9" s="120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0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0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0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0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0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0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0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0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0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0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0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0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0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0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0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0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0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0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0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0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0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0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0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0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0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0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0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0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0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0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0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0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0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0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1"/>
      <c r="GJ9" s="122">
        <f t="shared" ca="1" si="55"/>
        <v>0</v>
      </c>
      <c r="GK9" s="121"/>
      <c r="GL9" s="134"/>
      <c r="GM9" s="124"/>
      <c r="GN9" s="125">
        <f t="shared" ca="1" si="56"/>
        <v>0</v>
      </c>
    </row>
    <row r="10" spans="1:196" ht="15">
      <c r="A10" s="126" t="s">
        <v>410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7" t="str">
        <f>IFERROR(D9/D10,"")</f>
        <v/>
      </c>
      <c r="K10" s="128" t="str">
        <f>IFERROR(G9/G10,"")</f>
        <v/>
      </c>
      <c r="L10" s="129" t="str">
        <f>IFERROR(K10/J10-1,"")</f>
        <v/>
      </c>
      <c r="M10" s="130">
        <f>I9+I10</f>
        <v>0</v>
      </c>
      <c r="N10" s="142"/>
      <c r="O10" s="278">
        <f t="shared" si="3"/>
        <v>1545.7696049035151</v>
      </c>
      <c r="P10" s="131">
        <f t="shared" si="4"/>
        <v>0</v>
      </c>
      <c r="Q10" s="131">
        <f t="shared" ca="1" si="5"/>
        <v>0</v>
      </c>
      <c r="R10" s="62"/>
      <c r="S10" s="240">
        <f>IF(AA10&gt;0,ABS((U10+AA10)),"")</f>
        <v>3150.6</v>
      </c>
      <c r="T10" s="672">
        <f t="shared" ref="T10:T17" si="70">SUMIFS(B$3:B$37,C$3:C$37,U10)</f>
        <v>0</v>
      </c>
      <c r="U10" s="235">
        <v>3150</v>
      </c>
      <c r="V10" s="673">
        <f t="shared" ca="1" si="59"/>
        <v>0.56062880533933601</v>
      </c>
      <c r="W10" s="505" t="str">
        <f t="shared" si="60"/>
        <v>MERV - XMEV - GFGC3150FE - 24hs</v>
      </c>
      <c r="X10" s="505" t="str">
        <f t="shared" si="61"/>
        <v>GFGC3150FE</v>
      </c>
      <c r="Y10" s="503">
        <f>IFERROR(VLOOKUP($X10,HomeBroker!$A$22:$F$115,2,0),0)</f>
        <v>30</v>
      </c>
      <c r="Z10" s="503">
        <f>IFERROR(VLOOKUP($X10,HomeBroker!$A$22:$F$115,3,0),0)</f>
        <v>0.56000000000000005</v>
      </c>
      <c r="AA10" s="237">
        <f>IFERROR(VLOOKUP($X10,HomeBroker!$A$22:$F$115,6,0),0)</f>
        <v>0.6</v>
      </c>
      <c r="AB10" s="503">
        <f>IFERROR(VLOOKUP($X10,HomeBroker!$A$22:$F$115,4,0),0)</f>
        <v>1.1990000000000001</v>
      </c>
      <c r="AC10" s="503">
        <f>IFERROR(VLOOKUP($X10,HomeBroker!$A$22:$F$115,5,0),0)</f>
        <v>30</v>
      </c>
      <c r="AD10" s="506">
        <f>IFERROR(VLOOKUP($X10,HomeBroker!$A$22:$N$115,14,0),0)</f>
        <v>800</v>
      </c>
      <c r="AE10" s="241">
        <f t="shared" si="62"/>
        <v>1851.72</v>
      </c>
      <c r="AF10" s="110">
        <f t="shared" si="63"/>
        <v>0</v>
      </c>
      <c r="AG10" s="235">
        <v>1851.5</v>
      </c>
      <c r="AH10" s="504">
        <f t="shared" ca="1" si="64"/>
        <v>1.3050050733325484</v>
      </c>
      <c r="AI10" s="505" t="str">
        <f t="shared" si="65"/>
        <v>MERV - XMEV - GFGV18515F - 24hs</v>
      </c>
      <c r="AJ10" s="505" t="str">
        <f t="shared" si="66"/>
        <v>GFGV18515F</v>
      </c>
      <c r="AK10" s="675">
        <f>IFERROR(VLOOKUP($AJ10,HomeBroker!$A$22:$F$115,2,0),0)</f>
        <v>15</v>
      </c>
      <c r="AL10" s="675">
        <f>IFERROR(VLOOKUP($AJ10,HomeBroker!$A$22:$F$115,3,0),0)</f>
        <v>0.20499999999999999</v>
      </c>
      <c r="AM10" s="676">
        <f>IFERROR(VLOOKUP($AJ10,HomeBroker!$A$22:$F$115,6,0),0)</f>
        <v>0.22</v>
      </c>
      <c r="AN10" s="675">
        <f>IFERROR(VLOOKUP($AJ10,HomeBroker!$A$22:$F$115,4,0),0)</f>
        <v>0.39</v>
      </c>
      <c r="AO10" s="675">
        <f>IFERROR(VLOOKUP($AJ10,HomeBroker!$A$22:$F$115,5,0),0)</f>
        <v>28</v>
      </c>
      <c r="AP10" s="675">
        <f>IFERROR(VLOOKUP($AJ10,HomeBroker!$A$22:$N$115,14,0),0)</f>
        <v>383</v>
      </c>
      <c r="AQ10" s="62"/>
      <c r="AR10" s="240">
        <f t="shared" si="67"/>
        <v>820.38000000000011</v>
      </c>
      <c r="AS10" s="240">
        <f t="shared" si="68"/>
        <v>-819.78</v>
      </c>
      <c r="AT10" s="240">
        <f t="shared" si="69"/>
        <v>820</v>
      </c>
      <c r="AU10" s="62"/>
      <c r="AV10" s="112"/>
      <c r="AW10" s="132" t="s">
        <v>354</v>
      </c>
      <c r="AX10" s="114"/>
      <c r="AY10" s="136"/>
      <c r="AZ10" s="137"/>
      <c r="BA10" s="285">
        <f t="shared" si="10"/>
        <v>0</v>
      </c>
      <c r="BB10" s="286">
        <f t="shared" si="11"/>
        <v>0</v>
      </c>
      <c r="BC10" s="116" t="s">
        <v>408</v>
      </c>
      <c r="BD10" s="114"/>
      <c r="BE10" s="139"/>
      <c r="BF10" s="117"/>
      <c r="BG10" s="287">
        <f t="shared" si="12"/>
        <v>0</v>
      </c>
      <c r="BH10" s="289">
        <f t="shared" si="13"/>
        <v>0</v>
      </c>
      <c r="BI10" s="118" t="s">
        <v>409</v>
      </c>
      <c r="BJ10" s="114"/>
      <c r="BK10" s="117"/>
      <c r="BL10" s="290">
        <f t="shared" si="14"/>
        <v>0</v>
      </c>
      <c r="BM10" s="291">
        <f t="shared" si="15"/>
        <v>0</v>
      </c>
      <c r="DH10" s="119">
        <f t="shared" si="16"/>
        <v>1545.7696049035151</v>
      </c>
      <c r="DI10" s="120">
        <f t="shared" si="17"/>
        <v>0</v>
      </c>
      <c r="DJ10" s="120">
        <f t="shared" si="18"/>
        <v>0</v>
      </c>
      <c r="DK10" s="120">
        <f t="shared" si="19"/>
        <v>0</v>
      </c>
      <c r="DL10" s="120">
        <f t="shared" si="20"/>
        <v>0</v>
      </c>
      <c r="DM10" s="120">
        <f t="shared" si="21"/>
        <v>0</v>
      </c>
      <c r="DN10" s="120">
        <f t="shared" si="22"/>
        <v>0</v>
      </c>
      <c r="DO10" s="120">
        <f t="shared" si="23"/>
        <v>0</v>
      </c>
      <c r="DP10" s="120">
        <f t="shared" si="24"/>
        <v>0</v>
      </c>
      <c r="DQ10" s="120">
        <f t="shared" si="25"/>
        <v>0</v>
      </c>
      <c r="DR10" s="120">
        <f t="shared" si="26"/>
        <v>0</v>
      </c>
      <c r="DS10" s="120">
        <f t="shared" si="27"/>
        <v>0</v>
      </c>
      <c r="DT10" s="120">
        <f t="shared" si="28"/>
        <v>0</v>
      </c>
      <c r="DU10" s="120">
        <f t="shared" si="29"/>
        <v>0</v>
      </c>
      <c r="DV10" s="120">
        <f t="shared" si="30"/>
        <v>0</v>
      </c>
      <c r="DW10" s="120">
        <f t="shared" si="31"/>
        <v>0</v>
      </c>
      <c r="DX10" s="120">
        <f t="shared" si="32"/>
        <v>0</v>
      </c>
      <c r="DY10" s="120">
        <f t="shared" si="33"/>
        <v>0</v>
      </c>
      <c r="DZ10" s="120">
        <f t="shared" si="34"/>
        <v>0</v>
      </c>
      <c r="EA10" s="120">
        <f t="shared" si="35"/>
        <v>0</v>
      </c>
      <c r="EB10" s="120">
        <f t="shared" si="36"/>
        <v>0</v>
      </c>
      <c r="EC10" s="120">
        <f t="shared" si="37"/>
        <v>0</v>
      </c>
      <c r="ED10" s="120">
        <f t="shared" si="38"/>
        <v>0</v>
      </c>
      <c r="EE10" s="120">
        <f t="shared" si="39"/>
        <v>0</v>
      </c>
      <c r="EF10" s="120">
        <f t="shared" si="40"/>
        <v>0</v>
      </c>
      <c r="EG10" s="120">
        <f t="shared" si="41"/>
        <v>0</v>
      </c>
      <c r="EH10" s="120">
        <f t="shared" si="42"/>
        <v>0</v>
      </c>
      <c r="EI10" s="120">
        <f t="shared" si="43"/>
        <v>0</v>
      </c>
      <c r="EJ10" s="120">
        <f t="shared" si="44"/>
        <v>0</v>
      </c>
      <c r="EK10" s="120">
        <f t="shared" si="45"/>
        <v>0</v>
      </c>
      <c r="EL10" s="120">
        <f t="shared" si="46"/>
        <v>0</v>
      </c>
      <c r="EM10" s="120">
        <f t="shared" si="47"/>
        <v>0</v>
      </c>
      <c r="EN10" s="120">
        <f t="shared" si="48"/>
        <v>0</v>
      </c>
      <c r="EO10" s="120">
        <f t="shared" si="49"/>
        <v>0</v>
      </c>
      <c r="EP10" s="120">
        <f t="shared" si="50"/>
        <v>0</v>
      </c>
      <c r="EQ10" s="120">
        <f t="shared" si="51"/>
        <v>0</v>
      </c>
      <c r="ER10" s="121"/>
      <c r="ES10" s="122">
        <f t="shared" si="52"/>
        <v>0</v>
      </c>
      <c r="ET10" s="121"/>
      <c r="EU10" s="134"/>
      <c r="EV10" s="124"/>
      <c r="EW10" s="125">
        <f t="shared" si="53"/>
        <v>0</v>
      </c>
      <c r="EX10" s="72"/>
      <c r="EY10" s="119">
        <f t="shared" si="54"/>
        <v>1545.7696049035151</v>
      </c>
      <c r="EZ10" s="120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0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0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0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0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0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0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0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0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0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0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0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0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0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0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0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0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0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0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0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0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0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0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0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0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0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0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0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0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0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0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0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0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0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0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1"/>
      <c r="GJ10" s="122">
        <f t="shared" ca="1" si="55"/>
        <v>0</v>
      </c>
      <c r="GK10" s="121"/>
      <c r="GL10" s="134"/>
      <c r="GM10" s="124"/>
      <c r="GN10" s="125">
        <f t="shared" ca="1" si="56"/>
        <v>0</v>
      </c>
    </row>
    <row r="11" spans="1:196" ht="15">
      <c r="A11" s="135" t="s">
        <v>411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9"/>
      <c r="K11" s="69"/>
      <c r="L11" s="69"/>
      <c r="M11" s="69"/>
      <c r="N11" s="142"/>
      <c r="O11" s="278">
        <f t="shared" si="3"/>
        <v>1627.125899898437</v>
      </c>
      <c r="P11" s="131">
        <f t="shared" si="4"/>
        <v>0</v>
      </c>
      <c r="Q11" s="131">
        <f t="shared" ca="1" si="5"/>
        <v>0</v>
      </c>
      <c r="R11" s="62"/>
      <c r="S11" s="240">
        <f t="shared" ref="S11:S42" si="71">IF(AA11&gt;0,ABS((U11+AA11)),"")</f>
        <v>3300.35</v>
      </c>
      <c r="T11" s="672">
        <f t="shared" si="70"/>
        <v>0</v>
      </c>
      <c r="U11" s="235">
        <v>3300</v>
      </c>
      <c r="V11" s="673">
        <f t="shared" ca="1" si="59"/>
        <v>0.14848590080676427</v>
      </c>
      <c r="W11" s="505" t="str">
        <f t="shared" si="60"/>
        <v>MERV - XMEV - GFGC3300FE - 24hs</v>
      </c>
      <c r="X11" s="505" t="str">
        <f t="shared" si="61"/>
        <v>GFGC3300FE</v>
      </c>
      <c r="Y11" s="503">
        <f>IFERROR(VLOOKUP($X11,HomeBroker!$A$22:$F$115,2,0),0)</f>
        <v>36</v>
      </c>
      <c r="Z11" s="503">
        <f>IFERROR(VLOOKUP($X11,HomeBroker!$A$22:$F$115,3,0),0)</f>
        <v>0.35</v>
      </c>
      <c r="AA11" s="237">
        <f>IFERROR(VLOOKUP($X11,HomeBroker!$A$22:$F$115,6,0),0)</f>
        <v>0.35</v>
      </c>
      <c r="AB11" s="503">
        <f>IFERROR(VLOOKUP($X11,HomeBroker!$A$22:$F$115,4,0),0)</f>
        <v>0.78400000000000003</v>
      </c>
      <c r="AC11" s="503">
        <f>IFERROR(VLOOKUP($X11,HomeBroker!$A$22:$F$115,5,0),0)</f>
        <v>16</v>
      </c>
      <c r="AD11" s="506">
        <f>IFERROR(VLOOKUP($X11,HomeBroker!$A$22:$N$115,14,0),0)</f>
        <v>309</v>
      </c>
      <c r="AE11" s="241">
        <f t="shared" si="62"/>
        <v>1931.89</v>
      </c>
      <c r="AF11" s="110">
        <f t="shared" si="63"/>
        <v>0</v>
      </c>
      <c r="AG11" s="235">
        <v>1931.5</v>
      </c>
      <c r="AH11" s="504">
        <f t="shared" ca="1" si="64"/>
        <v>3.5813343778225288</v>
      </c>
      <c r="AI11" s="505" t="str">
        <f t="shared" si="65"/>
        <v>MERV - XMEV - GFGV19315F - 24hs</v>
      </c>
      <c r="AJ11" s="505" t="str">
        <f t="shared" si="66"/>
        <v>GFGV19315F</v>
      </c>
      <c r="AK11" s="675">
        <f>IFERROR(VLOOKUP($AJ11,HomeBroker!$A$22:$F$115,2,0),0)</f>
        <v>49</v>
      </c>
      <c r="AL11" s="675">
        <f>IFERROR(VLOOKUP($AJ11,HomeBroker!$A$22:$F$115,3,0),0)</f>
        <v>0.39</v>
      </c>
      <c r="AM11" s="676">
        <f>IFERROR(VLOOKUP($AJ11,HomeBroker!$A$22:$F$115,6,0),0)</f>
        <v>0.39</v>
      </c>
      <c r="AN11" s="675">
        <f>IFERROR(VLOOKUP($AJ11,HomeBroker!$A$22:$F$115,4,0),0)</f>
        <v>0.75</v>
      </c>
      <c r="AO11" s="675">
        <f>IFERROR(VLOOKUP($AJ11,HomeBroker!$A$22:$F$115,5,0),0)</f>
        <v>5</v>
      </c>
      <c r="AP11" s="675">
        <f>IFERROR(VLOOKUP($AJ11,HomeBroker!$A$22:$N$115,14,0),0)</f>
        <v>348</v>
      </c>
      <c r="AQ11" s="62"/>
      <c r="AR11" s="240">
        <f t="shared" si="67"/>
        <v>969.96</v>
      </c>
      <c r="AS11" s="240">
        <f t="shared" si="68"/>
        <v>-969.61</v>
      </c>
      <c r="AT11" s="240">
        <f t="shared" si="69"/>
        <v>970</v>
      </c>
      <c r="AU11" s="62"/>
      <c r="AV11" s="112"/>
      <c r="AW11" s="132" t="s">
        <v>354</v>
      </c>
      <c r="AX11" s="114"/>
      <c r="AY11" s="136"/>
      <c r="AZ11" s="137"/>
      <c r="BA11" s="285">
        <f t="shared" si="10"/>
        <v>0</v>
      </c>
      <c r="BB11" s="286">
        <f t="shared" si="11"/>
        <v>0</v>
      </c>
      <c r="BC11" s="116" t="s">
        <v>408</v>
      </c>
      <c r="BD11" s="114"/>
      <c r="BE11" s="139"/>
      <c r="BF11" s="117"/>
      <c r="BG11" s="287">
        <f t="shared" si="12"/>
        <v>0</v>
      </c>
      <c r="BH11" s="289">
        <f t="shared" si="13"/>
        <v>0</v>
      </c>
      <c r="BI11" s="118" t="s">
        <v>409</v>
      </c>
      <c r="BJ11" s="114"/>
      <c r="BK11" s="117"/>
      <c r="BL11" s="290">
        <f t="shared" si="14"/>
        <v>0</v>
      </c>
      <c r="BM11" s="291">
        <f t="shared" si="15"/>
        <v>0</v>
      </c>
      <c r="DH11" s="119">
        <f t="shared" si="16"/>
        <v>1627.125899898437</v>
      </c>
      <c r="DI11" s="120">
        <f t="shared" si="17"/>
        <v>0</v>
      </c>
      <c r="DJ11" s="120">
        <f t="shared" si="18"/>
        <v>0</v>
      </c>
      <c r="DK11" s="120">
        <f t="shared" si="19"/>
        <v>0</v>
      </c>
      <c r="DL11" s="120">
        <f t="shared" si="20"/>
        <v>0</v>
      </c>
      <c r="DM11" s="120">
        <f t="shared" si="21"/>
        <v>0</v>
      </c>
      <c r="DN11" s="120">
        <f t="shared" si="22"/>
        <v>0</v>
      </c>
      <c r="DO11" s="120">
        <f t="shared" si="23"/>
        <v>0</v>
      </c>
      <c r="DP11" s="120">
        <f t="shared" si="24"/>
        <v>0</v>
      </c>
      <c r="DQ11" s="120">
        <f t="shared" si="25"/>
        <v>0</v>
      </c>
      <c r="DR11" s="120">
        <f t="shared" si="26"/>
        <v>0</v>
      </c>
      <c r="DS11" s="120">
        <f t="shared" si="27"/>
        <v>0</v>
      </c>
      <c r="DT11" s="120">
        <f t="shared" si="28"/>
        <v>0</v>
      </c>
      <c r="DU11" s="120">
        <f t="shared" si="29"/>
        <v>0</v>
      </c>
      <c r="DV11" s="120">
        <f t="shared" si="30"/>
        <v>0</v>
      </c>
      <c r="DW11" s="120">
        <f t="shared" si="31"/>
        <v>0</v>
      </c>
      <c r="DX11" s="120">
        <f t="shared" si="32"/>
        <v>0</v>
      </c>
      <c r="DY11" s="120">
        <f t="shared" si="33"/>
        <v>0</v>
      </c>
      <c r="DZ11" s="120">
        <f t="shared" si="34"/>
        <v>0</v>
      </c>
      <c r="EA11" s="120">
        <f t="shared" si="35"/>
        <v>0</v>
      </c>
      <c r="EB11" s="120">
        <f t="shared" si="36"/>
        <v>0</v>
      </c>
      <c r="EC11" s="120">
        <f t="shared" si="37"/>
        <v>0</v>
      </c>
      <c r="ED11" s="120">
        <f t="shared" si="38"/>
        <v>0</v>
      </c>
      <c r="EE11" s="120">
        <f t="shared" si="39"/>
        <v>0</v>
      </c>
      <c r="EF11" s="120">
        <f t="shared" si="40"/>
        <v>0</v>
      </c>
      <c r="EG11" s="120">
        <f t="shared" si="41"/>
        <v>0</v>
      </c>
      <c r="EH11" s="120">
        <f t="shared" si="42"/>
        <v>0</v>
      </c>
      <c r="EI11" s="120">
        <f t="shared" si="43"/>
        <v>0</v>
      </c>
      <c r="EJ11" s="120">
        <f t="shared" si="44"/>
        <v>0</v>
      </c>
      <c r="EK11" s="120">
        <f t="shared" si="45"/>
        <v>0</v>
      </c>
      <c r="EL11" s="120">
        <f t="shared" si="46"/>
        <v>0</v>
      </c>
      <c r="EM11" s="120">
        <f t="shared" si="47"/>
        <v>0</v>
      </c>
      <c r="EN11" s="120">
        <f t="shared" si="48"/>
        <v>0</v>
      </c>
      <c r="EO11" s="120">
        <f t="shared" si="49"/>
        <v>0</v>
      </c>
      <c r="EP11" s="120">
        <f t="shared" si="50"/>
        <v>0</v>
      </c>
      <c r="EQ11" s="120">
        <f t="shared" si="51"/>
        <v>0</v>
      </c>
      <c r="ER11" s="121"/>
      <c r="ES11" s="122">
        <f t="shared" si="52"/>
        <v>0</v>
      </c>
      <c r="ET11" s="121"/>
      <c r="EU11" s="134"/>
      <c r="EV11" s="124"/>
      <c r="EW11" s="125">
        <f t="shared" si="53"/>
        <v>0</v>
      </c>
      <c r="EX11" s="72"/>
      <c r="EY11" s="119">
        <f t="shared" si="54"/>
        <v>1627.125899898437</v>
      </c>
      <c r="EZ11" s="120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0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0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0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0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0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0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0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0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0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0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0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0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0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0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0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0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0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0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0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0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0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0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0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0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0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0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0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0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0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0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0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0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0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0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1"/>
      <c r="GJ11" s="122">
        <f t="shared" ca="1" si="55"/>
        <v>0</v>
      </c>
      <c r="GK11" s="121"/>
      <c r="GL11" s="134"/>
      <c r="GM11" s="124"/>
      <c r="GN11" s="125">
        <f t="shared" ca="1" si="56"/>
        <v>0</v>
      </c>
    </row>
    <row r="12" spans="1:196" ht="15">
      <c r="A12" s="105" t="s">
        <v>407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9"/>
      <c r="K12" s="69"/>
      <c r="L12" s="69"/>
      <c r="M12" s="69"/>
      <c r="N12" s="142">
        <f>IFERROR(-1+(O12/$O$18),"")</f>
        <v>-0.2649081093750002</v>
      </c>
      <c r="O12" s="278">
        <f t="shared" si="3"/>
        <v>1712.7641051562496</v>
      </c>
      <c r="P12" s="138">
        <f t="shared" si="4"/>
        <v>0</v>
      </c>
      <c r="Q12" s="138">
        <f t="shared" ca="1" si="5"/>
        <v>0</v>
      </c>
      <c r="R12" s="62"/>
      <c r="S12" s="240">
        <f t="shared" si="71"/>
        <v>3450.799</v>
      </c>
      <c r="T12" s="672">
        <f t="shared" si="70"/>
        <v>0</v>
      </c>
      <c r="U12" s="235">
        <v>3450</v>
      </c>
      <c r="V12" s="673">
        <f t="shared" ca="1" si="59"/>
        <v>3.6359232694066046E-2</v>
      </c>
      <c r="W12" s="505" t="str">
        <f t="shared" si="60"/>
        <v>MERV - XMEV - GFGC3450FE - 24hs</v>
      </c>
      <c r="X12" s="505" t="str">
        <f t="shared" si="61"/>
        <v>GFGC3450FE</v>
      </c>
      <c r="Y12" s="503">
        <f>IFERROR(VLOOKUP($X12,HomeBroker!$A$22:$F$115,2,0),0)</f>
        <v>5</v>
      </c>
      <c r="Z12" s="503">
        <f>IFERROR(VLOOKUP($X12,HomeBroker!$A$22:$F$115,3,0),0)</f>
        <v>0.35</v>
      </c>
      <c r="AA12" s="237">
        <f>IFERROR(VLOOKUP($X12,HomeBroker!$A$22:$F$115,6,0),0)</f>
        <v>0.79900000000000004</v>
      </c>
      <c r="AB12" s="503">
        <f>IFERROR(VLOOKUP($X12,HomeBroker!$A$22:$F$115,4,0),0)</f>
        <v>0.79900000000000004</v>
      </c>
      <c r="AC12" s="503">
        <f>IFERROR(VLOOKUP($X12,HomeBroker!$A$22:$F$115,5,0),0)</f>
        <v>13</v>
      </c>
      <c r="AD12" s="506">
        <f>IFERROR(VLOOKUP($X12,HomeBroker!$A$22:$N$115,14,0),0)</f>
        <v>159</v>
      </c>
      <c r="AE12" s="241">
        <f t="shared" si="62"/>
        <v>2021.7</v>
      </c>
      <c r="AF12" s="110">
        <f t="shared" si="63"/>
        <v>0</v>
      </c>
      <c r="AG12" s="235">
        <v>2020</v>
      </c>
      <c r="AH12" s="504">
        <f t="shared" ca="1" si="64"/>
        <v>9.240609465712339</v>
      </c>
      <c r="AI12" s="505" t="str">
        <f t="shared" si="65"/>
        <v>MERV - XMEV - GFGV2020FE - 24hs</v>
      </c>
      <c r="AJ12" s="505" t="str">
        <f t="shared" si="66"/>
        <v>GFGV2020FE</v>
      </c>
      <c r="AK12" s="675">
        <f>IFERROR(VLOOKUP($AJ12,HomeBroker!$A$22:$F$115,2,0),0)</f>
        <v>15</v>
      </c>
      <c r="AL12" s="675">
        <f>IFERROR(VLOOKUP($AJ12,HomeBroker!$A$22:$F$115,3,0),0)</f>
        <v>1.71</v>
      </c>
      <c r="AM12" s="676">
        <f>IFERROR(VLOOKUP($AJ12,HomeBroker!$A$22:$F$115,6,0),0)</f>
        <v>1.7</v>
      </c>
      <c r="AN12" s="675">
        <f>IFERROR(VLOOKUP($AJ12,HomeBroker!$A$22:$F$115,4,0),0)</f>
        <v>2</v>
      </c>
      <c r="AO12" s="675">
        <f>IFERROR(VLOOKUP($AJ12,HomeBroker!$A$22:$F$115,5,0),0)</f>
        <v>16</v>
      </c>
      <c r="AP12" s="675">
        <f>IFERROR(VLOOKUP($AJ12,HomeBroker!$A$22:$N$115,14,0),0)</f>
        <v>1567</v>
      </c>
      <c r="AQ12" s="62"/>
      <c r="AR12" s="240">
        <f t="shared" si="67"/>
        <v>1119.0990000000002</v>
      </c>
      <c r="AS12" s="240">
        <f t="shared" si="68"/>
        <v>-1118.3</v>
      </c>
      <c r="AT12" s="240">
        <f t="shared" si="69"/>
        <v>1120</v>
      </c>
      <c r="AU12" s="62"/>
      <c r="AV12" s="112"/>
      <c r="AW12" s="132" t="s">
        <v>354</v>
      </c>
      <c r="AX12" s="114"/>
      <c r="AY12" s="136"/>
      <c r="AZ12" s="137"/>
      <c r="BA12" s="285">
        <f t="shared" si="10"/>
        <v>0</v>
      </c>
      <c r="BB12" s="286">
        <f t="shared" si="11"/>
        <v>0</v>
      </c>
      <c r="BC12" s="116" t="s">
        <v>408</v>
      </c>
      <c r="BD12" s="114"/>
      <c r="BE12" s="139"/>
      <c r="BF12" s="117"/>
      <c r="BG12" s="287">
        <f t="shared" si="12"/>
        <v>0</v>
      </c>
      <c r="BH12" s="289">
        <f t="shared" si="13"/>
        <v>0</v>
      </c>
      <c r="BI12" s="118" t="s">
        <v>409</v>
      </c>
      <c r="BJ12" s="114"/>
      <c r="BK12" s="117"/>
      <c r="BL12" s="290">
        <f t="shared" si="14"/>
        <v>0</v>
      </c>
      <c r="BM12" s="291">
        <f t="shared" si="15"/>
        <v>0</v>
      </c>
      <c r="DH12" s="119">
        <f t="shared" si="16"/>
        <v>1712.7641051562496</v>
      </c>
      <c r="DI12" s="120">
        <f t="shared" si="17"/>
        <v>0</v>
      </c>
      <c r="DJ12" s="120">
        <f t="shared" si="18"/>
        <v>0</v>
      </c>
      <c r="DK12" s="120">
        <f t="shared" si="19"/>
        <v>0</v>
      </c>
      <c r="DL12" s="120">
        <f t="shared" si="20"/>
        <v>0</v>
      </c>
      <c r="DM12" s="120">
        <f t="shared" si="21"/>
        <v>0</v>
      </c>
      <c r="DN12" s="120">
        <f t="shared" si="22"/>
        <v>0</v>
      </c>
      <c r="DO12" s="120">
        <f t="shared" si="23"/>
        <v>0</v>
      </c>
      <c r="DP12" s="120">
        <f t="shared" si="24"/>
        <v>0</v>
      </c>
      <c r="DQ12" s="120">
        <f t="shared" si="25"/>
        <v>0</v>
      </c>
      <c r="DR12" s="120">
        <f t="shared" si="26"/>
        <v>0</v>
      </c>
      <c r="DS12" s="120">
        <f t="shared" si="27"/>
        <v>0</v>
      </c>
      <c r="DT12" s="120">
        <f t="shared" si="28"/>
        <v>0</v>
      </c>
      <c r="DU12" s="120">
        <f t="shared" si="29"/>
        <v>0</v>
      </c>
      <c r="DV12" s="120">
        <f t="shared" si="30"/>
        <v>0</v>
      </c>
      <c r="DW12" s="120">
        <f t="shared" si="31"/>
        <v>0</v>
      </c>
      <c r="DX12" s="120">
        <f t="shared" si="32"/>
        <v>0</v>
      </c>
      <c r="DY12" s="120">
        <f t="shared" si="33"/>
        <v>0</v>
      </c>
      <c r="DZ12" s="120">
        <f t="shared" si="34"/>
        <v>0</v>
      </c>
      <c r="EA12" s="120">
        <f t="shared" si="35"/>
        <v>0</v>
      </c>
      <c r="EB12" s="120">
        <f t="shared" si="36"/>
        <v>0</v>
      </c>
      <c r="EC12" s="120">
        <f t="shared" si="37"/>
        <v>0</v>
      </c>
      <c r="ED12" s="120">
        <f t="shared" si="38"/>
        <v>0</v>
      </c>
      <c r="EE12" s="120">
        <f t="shared" si="39"/>
        <v>0</v>
      </c>
      <c r="EF12" s="120">
        <f t="shared" si="40"/>
        <v>0</v>
      </c>
      <c r="EG12" s="120">
        <f t="shared" si="41"/>
        <v>0</v>
      </c>
      <c r="EH12" s="120">
        <f t="shared" si="42"/>
        <v>0</v>
      </c>
      <c r="EI12" s="120">
        <f t="shared" si="43"/>
        <v>0</v>
      </c>
      <c r="EJ12" s="120">
        <f t="shared" si="44"/>
        <v>0</v>
      </c>
      <c r="EK12" s="120">
        <f t="shared" si="45"/>
        <v>0</v>
      </c>
      <c r="EL12" s="120">
        <f t="shared" si="46"/>
        <v>0</v>
      </c>
      <c r="EM12" s="120">
        <f t="shared" si="47"/>
        <v>0</v>
      </c>
      <c r="EN12" s="120">
        <f t="shared" si="48"/>
        <v>0</v>
      </c>
      <c r="EO12" s="120">
        <f t="shared" si="49"/>
        <v>0</v>
      </c>
      <c r="EP12" s="120">
        <f t="shared" si="50"/>
        <v>0</v>
      </c>
      <c r="EQ12" s="120">
        <f t="shared" si="51"/>
        <v>0</v>
      </c>
      <c r="ER12" s="121"/>
      <c r="ES12" s="122">
        <f t="shared" si="52"/>
        <v>0</v>
      </c>
      <c r="ET12" s="121"/>
      <c r="EU12" s="134"/>
      <c r="EV12" s="124"/>
      <c r="EW12" s="125">
        <f t="shared" si="53"/>
        <v>0</v>
      </c>
      <c r="EX12" s="72"/>
      <c r="EY12" s="119">
        <f t="shared" si="54"/>
        <v>1712.7641051562496</v>
      </c>
      <c r="EZ12" s="120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0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0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0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0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0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0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0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0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0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0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0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0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0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0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0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0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0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0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0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0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0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0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0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0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0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0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0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0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0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0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0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0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0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0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1"/>
      <c r="GJ12" s="122">
        <f t="shared" ca="1" si="55"/>
        <v>0</v>
      </c>
      <c r="GK12" s="121"/>
      <c r="GL12" s="134"/>
      <c r="GM12" s="124"/>
      <c r="GN12" s="125">
        <f t="shared" ca="1" si="56"/>
        <v>0</v>
      </c>
    </row>
    <row r="13" spans="1:196" ht="15">
      <c r="A13" s="126" t="s">
        <v>410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7" t="str">
        <f>IFERROR(D12/D13,"")</f>
        <v/>
      </c>
      <c r="K13" s="128" t="str">
        <f>IFERROR(G12/G13,"")</f>
        <v/>
      </c>
      <c r="L13" s="129" t="str">
        <f>IFERROR(K13/J13-1,"")</f>
        <v/>
      </c>
      <c r="M13" s="130">
        <f>I12+I13</f>
        <v>0</v>
      </c>
      <c r="N13" s="143">
        <f>IFERROR(-1+(O13/$O$18),"")</f>
        <v>-0.22621906250000012</v>
      </c>
      <c r="O13" s="279">
        <f t="shared" si="3"/>
        <v>1802.9095843749997</v>
      </c>
      <c r="P13" s="131">
        <f t="shared" si="4"/>
        <v>0</v>
      </c>
      <c r="Q13" s="131">
        <f t="shared" ca="1" si="5"/>
        <v>0</v>
      </c>
      <c r="R13" s="62"/>
      <c r="S13" s="240">
        <f t="shared" si="71"/>
        <v>3600.31</v>
      </c>
      <c r="T13" s="672">
        <f t="shared" si="70"/>
        <v>0</v>
      </c>
      <c r="U13" s="235">
        <v>3600</v>
      </c>
      <c r="V13" s="673">
        <f t="shared" ca="1" si="59"/>
        <v>8.313539621335353E-3</v>
      </c>
      <c r="W13" s="505" t="str">
        <f t="shared" si="60"/>
        <v>MERV - XMEV - GFGC3600FE - 24hs</v>
      </c>
      <c r="X13" s="505" t="str">
        <f t="shared" si="61"/>
        <v>GFGC3600FE</v>
      </c>
      <c r="Y13" s="503">
        <f>IFERROR(VLOOKUP($X13,HomeBroker!$A$22:$F$115,2,0),0)</f>
        <v>8</v>
      </c>
      <c r="Z13" s="503">
        <f>IFERROR(VLOOKUP($X13,HomeBroker!$A$22:$F$115,3,0),0)</f>
        <v>0.12</v>
      </c>
      <c r="AA13" s="237">
        <f>IFERROR(VLOOKUP($X13,HomeBroker!$A$22:$F$115,6,0),0)</f>
        <v>0.31</v>
      </c>
      <c r="AB13" s="503">
        <f>IFERROR(VLOOKUP($X13,HomeBroker!$A$22:$F$115,4,0),0)</f>
        <v>0.31</v>
      </c>
      <c r="AC13" s="503">
        <f>IFERROR(VLOOKUP($X13,HomeBroker!$A$22:$F$115,5,0),0)</f>
        <v>49</v>
      </c>
      <c r="AD13" s="506">
        <f>IFERROR(VLOOKUP($X13,HomeBroker!$A$22:$N$115,14,0),0)</f>
        <v>423</v>
      </c>
      <c r="AE13" s="241">
        <f t="shared" si="62"/>
        <v>2104.1</v>
      </c>
      <c r="AF13" s="110">
        <f t="shared" si="63"/>
        <v>0</v>
      </c>
      <c r="AG13" s="235">
        <v>2100</v>
      </c>
      <c r="AH13" s="504">
        <f t="shared" ca="1" si="64"/>
        <v>19.08202257189879</v>
      </c>
      <c r="AI13" s="505" t="str">
        <f t="shared" si="65"/>
        <v>MERV - XMEV - GFGV2100FE - 24hs</v>
      </c>
      <c r="AJ13" s="505" t="str">
        <f t="shared" si="66"/>
        <v>GFGV2100FE</v>
      </c>
      <c r="AK13" s="675">
        <f>IFERROR(VLOOKUP($AJ13,HomeBroker!$A$22:$F$115,2,0),0)</f>
        <v>10</v>
      </c>
      <c r="AL13" s="675">
        <f>IFERROR(VLOOKUP($AJ13,HomeBroker!$A$22:$F$115,3,0),0)</f>
        <v>4.1100000000000003</v>
      </c>
      <c r="AM13" s="676">
        <f>IFERROR(VLOOKUP($AJ13,HomeBroker!$A$22:$F$115,6,0),0)</f>
        <v>4.0999999999999996</v>
      </c>
      <c r="AN13" s="675">
        <f>IFERROR(VLOOKUP($AJ13,HomeBroker!$A$22:$F$115,4,0),0)</f>
        <v>5.49</v>
      </c>
      <c r="AO13" s="675">
        <f>IFERROR(VLOOKUP($AJ13,HomeBroker!$A$22:$F$115,5,0),0)</f>
        <v>40</v>
      </c>
      <c r="AP13" s="675">
        <f>IFERROR(VLOOKUP($AJ13,HomeBroker!$A$22:$N$115,14,0),0)</f>
        <v>1545</v>
      </c>
      <c r="AQ13" s="62"/>
      <c r="AR13" s="240">
        <f t="shared" si="67"/>
        <v>1266.21</v>
      </c>
      <c r="AS13" s="240">
        <f t="shared" si="68"/>
        <v>-1265.9000000000001</v>
      </c>
      <c r="AT13" s="240">
        <f t="shared" si="69"/>
        <v>1270</v>
      </c>
      <c r="AU13" s="62"/>
      <c r="AV13" s="112"/>
      <c r="AW13" s="132" t="s">
        <v>354</v>
      </c>
      <c r="AX13" s="114"/>
      <c r="AY13" s="136"/>
      <c r="AZ13" s="137"/>
      <c r="BA13" s="285">
        <f t="shared" si="10"/>
        <v>0</v>
      </c>
      <c r="BB13" s="286">
        <f t="shared" si="11"/>
        <v>0</v>
      </c>
      <c r="BC13" s="116" t="s">
        <v>408</v>
      </c>
      <c r="BD13" s="114"/>
      <c r="BE13" s="139"/>
      <c r="BF13" s="117"/>
      <c r="BG13" s="287">
        <f t="shared" si="12"/>
        <v>0</v>
      </c>
      <c r="BH13" s="289">
        <f t="shared" si="13"/>
        <v>0</v>
      </c>
      <c r="BI13" s="118" t="s">
        <v>409</v>
      </c>
      <c r="BJ13" s="114"/>
      <c r="BK13" s="117"/>
      <c r="BL13" s="290">
        <f t="shared" si="14"/>
        <v>0</v>
      </c>
      <c r="BM13" s="291">
        <f t="shared" si="15"/>
        <v>0</v>
      </c>
      <c r="DH13" s="119">
        <f t="shared" si="16"/>
        <v>1802.9095843749997</v>
      </c>
      <c r="DI13" s="120">
        <f t="shared" si="17"/>
        <v>0</v>
      </c>
      <c r="DJ13" s="120">
        <f t="shared" si="18"/>
        <v>0</v>
      </c>
      <c r="DK13" s="120">
        <f t="shared" si="19"/>
        <v>0</v>
      </c>
      <c r="DL13" s="120">
        <f t="shared" si="20"/>
        <v>0</v>
      </c>
      <c r="DM13" s="120">
        <f t="shared" si="21"/>
        <v>0</v>
      </c>
      <c r="DN13" s="120">
        <f t="shared" si="22"/>
        <v>0</v>
      </c>
      <c r="DO13" s="120">
        <f t="shared" si="23"/>
        <v>0</v>
      </c>
      <c r="DP13" s="120">
        <f t="shared" si="24"/>
        <v>0</v>
      </c>
      <c r="DQ13" s="120">
        <f t="shared" si="25"/>
        <v>0</v>
      </c>
      <c r="DR13" s="120">
        <f t="shared" si="26"/>
        <v>0</v>
      </c>
      <c r="DS13" s="120">
        <f t="shared" si="27"/>
        <v>0</v>
      </c>
      <c r="DT13" s="120">
        <f t="shared" si="28"/>
        <v>0</v>
      </c>
      <c r="DU13" s="120">
        <f t="shared" si="29"/>
        <v>0</v>
      </c>
      <c r="DV13" s="120">
        <f t="shared" si="30"/>
        <v>0</v>
      </c>
      <c r="DW13" s="120">
        <f t="shared" si="31"/>
        <v>0</v>
      </c>
      <c r="DX13" s="120">
        <f t="shared" si="32"/>
        <v>0</v>
      </c>
      <c r="DY13" s="120">
        <f t="shared" si="33"/>
        <v>0</v>
      </c>
      <c r="DZ13" s="120">
        <f t="shared" si="34"/>
        <v>0</v>
      </c>
      <c r="EA13" s="120">
        <f t="shared" si="35"/>
        <v>0</v>
      </c>
      <c r="EB13" s="120">
        <f t="shared" si="36"/>
        <v>0</v>
      </c>
      <c r="EC13" s="120">
        <f t="shared" si="37"/>
        <v>0</v>
      </c>
      <c r="ED13" s="120">
        <f t="shared" si="38"/>
        <v>0</v>
      </c>
      <c r="EE13" s="120">
        <f t="shared" si="39"/>
        <v>0</v>
      </c>
      <c r="EF13" s="120">
        <f t="shared" si="40"/>
        <v>0</v>
      </c>
      <c r="EG13" s="120">
        <f t="shared" si="41"/>
        <v>0</v>
      </c>
      <c r="EH13" s="120">
        <f t="shared" si="42"/>
        <v>0</v>
      </c>
      <c r="EI13" s="120">
        <f t="shared" si="43"/>
        <v>0</v>
      </c>
      <c r="EJ13" s="120">
        <f t="shared" si="44"/>
        <v>0</v>
      </c>
      <c r="EK13" s="120">
        <f t="shared" si="45"/>
        <v>0</v>
      </c>
      <c r="EL13" s="120">
        <f t="shared" si="46"/>
        <v>0</v>
      </c>
      <c r="EM13" s="120">
        <f t="shared" si="47"/>
        <v>0</v>
      </c>
      <c r="EN13" s="120">
        <f t="shared" si="48"/>
        <v>0</v>
      </c>
      <c r="EO13" s="120">
        <f t="shared" si="49"/>
        <v>0</v>
      </c>
      <c r="EP13" s="120">
        <f t="shared" si="50"/>
        <v>0</v>
      </c>
      <c r="EQ13" s="120">
        <f t="shared" si="51"/>
        <v>0</v>
      </c>
      <c r="ER13" s="121"/>
      <c r="ES13" s="122">
        <f t="shared" si="52"/>
        <v>0</v>
      </c>
      <c r="ET13" s="121"/>
      <c r="EU13" s="134"/>
      <c r="EV13" s="124"/>
      <c r="EW13" s="125">
        <f t="shared" si="53"/>
        <v>0</v>
      </c>
      <c r="EX13" s="72"/>
      <c r="EY13" s="119">
        <f t="shared" si="54"/>
        <v>1802.9095843749997</v>
      </c>
      <c r="EZ13" s="120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0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0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0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0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0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0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0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0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0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0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0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0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0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0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0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0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0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0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0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0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0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0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0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0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0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0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0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0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0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0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0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0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0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0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1"/>
      <c r="GJ13" s="122">
        <f t="shared" ca="1" si="55"/>
        <v>0</v>
      </c>
      <c r="GK13" s="121"/>
      <c r="GL13" s="134"/>
      <c r="GM13" s="124"/>
      <c r="GN13" s="125">
        <f t="shared" ca="1" si="56"/>
        <v>0</v>
      </c>
    </row>
    <row r="14" spans="1:196" ht="15">
      <c r="A14" s="135" t="s">
        <v>411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9"/>
      <c r="K14" s="69"/>
      <c r="L14" s="69"/>
      <c r="M14" s="69"/>
      <c r="N14" s="144">
        <f>IFERROR(-1+(O14/$O$18),"")</f>
        <v>-0.18549375000000012</v>
      </c>
      <c r="O14" s="279">
        <f t="shared" si="3"/>
        <v>1897.7995624999996</v>
      </c>
      <c r="P14" s="131">
        <f t="shared" si="4"/>
        <v>0</v>
      </c>
      <c r="Q14" s="131">
        <f t="shared" ca="1" si="5"/>
        <v>0</v>
      </c>
      <c r="R14" s="62"/>
      <c r="S14" s="240">
        <f t="shared" si="71"/>
        <v>3750.15</v>
      </c>
      <c r="T14" s="672">
        <f t="shared" si="70"/>
        <v>0</v>
      </c>
      <c r="U14" s="235">
        <v>3750</v>
      </c>
      <c r="V14" s="673">
        <f t="shared" ca="1" si="59"/>
        <v>1.7909372576924709E-3</v>
      </c>
      <c r="W14" s="505" t="str">
        <f t="shared" si="60"/>
        <v>MERV - XMEV - GFGC3750FE - 24hs</v>
      </c>
      <c r="X14" s="505" t="str">
        <f t="shared" si="61"/>
        <v>GFGC3750FE</v>
      </c>
      <c r="Y14" s="503">
        <f>IFERROR(VLOOKUP($X14,HomeBroker!$A$22:$F$115,2,0),0)</f>
        <v>287</v>
      </c>
      <c r="Z14" s="503">
        <f>IFERROR(VLOOKUP($X14,HomeBroker!$A$22:$F$115,3,0),0)</f>
        <v>0.15</v>
      </c>
      <c r="AA14" s="237">
        <f>IFERROR(VLOOKUP($X14,HomeBroker!$A$22:$F$115,6,0),0)</f>
        <v>0.15</v>
      </c>
      <c r="AB14" s="503">
        <f>IFERROR(VLOOKUP($X14,HomeBroker!$A$22:$F$115,4,0),0)</f>
        <v>0.44</v>
      </c>
      <c r="AC14" s="503">
        <f>IFERROR(VLOOKUP($X14,HomeBroker!$A$22:$F$100,5,0),0)</f>
        <v>50</v>
      </c>
      <c r="AD14" s="506">
        <f>IFERROR(VLOOKUP($X14,HomeBroker!$A$22:$N$115,14,0),0)</f>
        <v>108</v>
      </c>
      <c r="AE14" s="241">
        <f t="shared" si="62"/>
        <v>2212</v>
      </c>
      <c r="AF14" s="110">
        <f t="shared" si="63"/>
        <v>0</v>
      </c>
      <c r="AG14" s="235">
        <v>2200</v>
      </c>
      <c r="AH14" s="504">
        <f t="shared" ca="1" si="64"/>
        <v>40.682483412818442</v>
      </c>
      <c r="AI14" s="505" t="str">
        <f t="shared" si="65"/>
        <v>MERV - XMEV - GFGV2200FE - 24hs</v>
      </c>
      <c r="AJ14" s="505" t="str">
        <f t="shared" si="66"/>
        <v>GFGV2200FE</v>
      </c>
      <c r="AK14" s="675">
        <f>IFERROR(VLOOKUP($AJ14,HomeBroker!$A$22:$F$115,2,0),0)</f>
        <v>4</v>
      </c>
      <c r="AL14" s="675">
        <f>IFERROR(VLOOKUP($AJ14,HomeBroker!$A$22:$F$115,3,0),0)</f>
        <v>12</v>
      </c>
      <c r="AM14" s="676">
        <f>IFERROR(VLOOKUP($AJ14,HomeBroker!$A$22:$F$115,6,0),0)</f>
        <v>12</v>
      </c>
      <c r="AN14" s="675">
        <f>IFERROR(VLOOKUP($AJ14,HomeBroker!$A$22:$F$115,4,0),0)</f>
        <v>13.89</v>
      </c>
      <c r="AO14" s="675">
        <f>IFERROR(VLOOKUP($AJ14,HomeBroker!$A$22:$F$115,5,0),0)</f>
        <v>40</v>
      </c>
      <c r="AP14" s="675">
        <f>IFERROR(VLOOKUP($AJ14,HomeBroker!$A$22:$N$115,14,0),0)</f>
        <v>1636</v>
      </c>
      <c r="AQ14" s="62"/>
      <c r="AR14" s="240">
        <f t="shared" si="67"/>
        <v>1408.15</v>
      </c>
      <c r="AS14" s="240">
        <f t="shared" si="68"/>
        <v>-1408</v>
      </c>
      <c r="AT14" s="240">
        <f t="shared" si="69"/>
        <v>1420</v>
      </c>
      <c r="AU14" s="62"/>
      <c r="AV14" s="112"/>
      <c r="AW14" s="132" t="s">
        <v>354</v>
      </c>
      <c r="AX14" s="114"/>
      <c r="AY14" s="136"/>
      <c r="AZ14" s="137"/>
      <c r="BA14" s="285">
        <f t="shared" si="10"/>
        <v>0</v>
      </c>
      <c r="BB14" s="286">
        <f t="shared" si="11"/>
        <v>0</v>
      </c>
      <c r="BC14" s="116" t="s">
        <v>408</v>
      </c>
      <c r="BD14" s="114"/>
      <c r="BE14" s="139"/>
      <c r="BF14" s="117"/>
      <c r="BG14" s="287">
        <f t="shared" si="12"/>
        <v>0</v>
      </c>
      <c r="BH14" s="289">
        <f t="shared" si="13"/>
        <v>0</v>
      </c>
      <c r="BI14" s="118" t="s">
        <v>409</v>
      </c>
      <c r="BJ14" s="114"/>
      <c r="BK14" s="117"/>
      <c r="BL14" s="290">
        <f t="shared" si="14"/>
        <v>0</v>
      </c>
      <c r="BM14" s="291">
        <f t="shared" si="15"/>
        <v>0</v>
      </c>
      <c r="DH14" s="119">
        <f t="shared" si="16"/>
        <v>1897.7995624999996</v>
      </c>
      <c r="DI14" s="120">
        <f t="shared" si="17"/>
        <v>0</v>
      </c>
      <c r="DJ14" s="120">
        <f t="shared" si="18"/>
        <v>0</v>
      </c>
      <c r="DK14" s="120">
        <f t="shared" si="19"/>
        <v>0</v>
      </c>
      <c r="DL14" s="120">
        <f t="shared" si="20"/>
        <v>0</v>
      </c>
      <c r="DM14" s="120">
        <f t="shared" si="21"/>
        <v>0</v>
      </c>
      <c r="DN14" s="120">
        <f t="shared" si="22"/>
        <v>0</v>
      </c>
      <c r="DO14" s="120">
        <f t="shared" si="23"/>
        <v>0</v>
      </c>
      <c r="DP14" s="120">
        <f t="shared" si="24"/>
        <v>0</v>
      </c>
      <c r="DQ14" s="120">
        <f t="shared" si="25"/>
        <v>0</v>
      </c>
      <c r="DR14" s="120">
        <f t="shared" si="26"/>
        <v>0</v>
      </c>
      <c r="DS14" s="120">
        <f t="shared" si="27"/>
        <v>0</v>
      </c>
      <c r="DT14" s="120">
        <f t="shared" si="28"/>
        <v>0</v>
      </c>
      <c r="DU14" s="120">
        <f t="shared" si="29"/>
        <v>0</v>
      </c>
      <c r="DV14" s="120">
        <f t="shared" si="30"/>
        <v>0</v>
      </c>
      <c r="DW14" s="120">
        <f t="shared" si="31"/>
        <v>0</v>
      </c>
      <c r="DX14" s="120">
        <f t="shared" si="32"/>
        <v>0</v>
      </c>
      <c r="DY14" s="120">
        <f t="shared" si="33"/>
        <v>0</v>
      </c>
      <c r="DZ14" s="120">
        <f t="shared" si="34"/>
        <v>0</v>
      </c>
      <c r="EA14" s="120">
        <f t="shared" si="35"/>
        <v>0</v>
      </c>
      <c r="EB14" s="120">
        <f t="shared" si="36"/>
        <v>0</v>
      </c>
      <c r="EC14" s="120">
        <f t="shared" si="37"/>
        <v>0</v>
      </c>
      <c r="ED14" s="120">
        <f t="shared" si="38"/>
        <v>0</v>
      </c>
      <c r="EE14" s="120">
        <f t="shared" si="39"/>
        <v>0</v>
      </c>
      <c r="EF14" s="120">
        <f t="shared" si="40"/>
        <v>0</v>
      </c>
      <c r="EG14" s="120">
        <f t="shared" si="41"/>
        <v>0</v>
      </c>
      <c r="EH14" s="120">
        <f t="shared" si="42"/>
        <v>0</v>
      </c>
      <c r="EI14" s="120">
        <f t="shared" si="43"/>
        <v>0</v>
      </c>
      <c r="EJ14" s="120">
        <f t="shared" si="44"/>
        <v>0</v>
      </c>
      <c r="EK14" s="120">
        <f t="shared" si="45"/>
        <v>0</v>
      </c>
      <c r="EL14" s="120">
        <f t="shared" si="46"/>
        <v>0</v>
      </c>
      <c r="EM14" s="120">
        <f t="shared" si="47"/>
        <v>0</v>
      </c>
      <c r="EN14" s="120">
        <f t="shared" si="48"/>
        <v>0</v>
      </c>
      <c r="EO14" s="120">
        <f t="shared" si="49"/>
        <v>0</v>
      </c>
      <c r="EP14" s="120">
        <f t="shared" si="50"/>
        <v>0</v>
      </c>
      <c r="EQ14" s="120">
        <f t="shared" si="51"/>
        <v>0</v>
      </c>
      <c r="ER14" s="121"/>
      <c r="ES14" s="122">
        <f t="shared" si="52"/>
        <v>0</v>
      </c>
      <c r="ET14" s="121"/>
      <c r="EU14" s="134"/>
      <c r="EV14" s="124"/>
      <c r="EW14" s="125">
        <f t="shared" si="53"/>
        <v>0</v>
      </c>
      <c r="EX14" s="72"/>
      <c r="EY14" s="119">
        <f t="shared" si="54"/>
        <v>1897.7995624999996</v>
      </c>
      <c r="EZ14" s="120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0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0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0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0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0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0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0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0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0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0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0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0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0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0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0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0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0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0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0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0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0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0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0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0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0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0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0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0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0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0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0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0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0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0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1"/>
      <c r="GJ14" s="122">
        <f t="shared" ca="1" si="55"/>
        <v>0</v>
      </c>
      <c r="GK14" s="121"/>
      <c r="GL14" s="134"/>
      <c r="GM14" s="124"/>
      <c r="GN14" s="125">
        <f t="shared" ca="1" si="56"/>
        <v>0</v>
      </c>
    </row>
    <row r="15" spans="1:196" ht="15">
      <c r="A15" s="105" t="s">
        <v>407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9"/>
      <c r="K15" s="69"/>
      <c r="L15" s="69"/>
      <c r="M15" s="69"/>
      <c r="N15" s="144">
        <f t="shared" ref="N15:N17" si="72">IFERROR(-1+(O15/$O$18),"")</f>
        <v>-0.14262500000000011</v>
      </c>
      <c r="O15" s="279">
        <f t="shared" si="3"/>
        <v>1997.6837499999997</v>
      </c>
      <c r="P15" s="138">
        <f t="shared" si="4"/>
        <v>0</v>
      </c>
      <c r="Q15" s="138">
        <f t="shared" ca="1" si="5"/>
        <v>0</v>
      </c>
      <c r="R15" s="62"/>
      <c r="S15" s="240" t="str">
        <f t="shared" si="71"/>
        <v/>
      </c>
      <c r="T15" s="672">
        <f t="shared" si="70"/>
        <v>0</v>
      </c>
      <c r="U15" s="235"/>
      <c r="V15" s="673">
        <f t="shared" ca="1" si="59"/>
        <v>0</v>
      </c>
      <c r="W15" s="505" t="str">
        <f t="shared" si="60"/>
        <v/>
      </c>
      <c r="X15" s="505" t="str">
        <f t="shared" si="61"/>
        <v/>
      </c>
      <c r="Y15" s="503">
        <f>IFERROR(VLOOKUP($X15,HomeBroker!$A$22:$F$100,2,0),0)</f>
        <v>0</v>
      </c>
      <c r="Z15" s="503">
        <f>IFERROR(VLOOKUP($X15,HomeBroker!$A$22:$F$100,3,0),0)</f>
        <v>0</v>
      </c>
      <c r="AA15" s="237">
        <f>IFERROR(VLOOKUP($X15,HomeBroker!$A$22:$F$100,6,0),0)</f>
        <v>0</v>
      </c>
      <c r="AB15" s="503">
        <f>IFERROR(VLOOKUP($X15,HomeBroker!$A$22:$F$100,4,0),0)</f>
        <v>0</v>
      </c>
      <c r="AC15" s="503">
        <f>IFERROR(VLOOKUP($X15,HomeBroker!$A$22:$F$100,5,0),0)</f>
        <v>0</v>
      </c>
      <c r="AD15" s="506">
        <f>IFERROR(VLOOKUP($X15,HomeBroker!$A$22:$N$100,14,0),0)</f>
        <v>0</v>
      </c>
      <c r="AE15" s="241" t="str">
        <f t="shared" si="62"/>
        <v/>
      </c>
      <c r="AF15" s="110">
        <f t="shared" si="63"/>
        <v>0</v>
      </c>
      <c r="AG15" s="235"/>
      <c r="AH15" s="504">
        <f t="shared" ca="1" si="64"/>
        <v>0</v>
      </c>
      <c r="AI15" s="505" t="str">
        <f t="shared" si="65"/>
        <v/>
      </c>
      <c r="AJ15" s="505" t="str">
        <f t="shared" si="66"/>
        <v/>
      </c>
      <c r="AK15" s="675">
        <f>IFERROR(VLOOKUP($AJ15,HomeBroker!$A$22:$F$100,2,0),0)</f>
        <v>0</v>
      </c>
      <c r="AL15" s="675">
        <f>IFERROR(VLOOKUP($AJ15,HomeBroker!$A$22:$F$100,3,0),0)</f>
        <v>0</v>
      </c>
      <c r="AM15" s="676">
        <f>IFERROR(VLOOKUP($AJ15,HomeBroker!$A$22:$F$100,6,0),0)</f>
        <v>0</v>
      </c>
      <c r="AN15" s="675">
        <f>IFERROR(VLOOKUP($AJ15,HomeBroker!$A$22:$F$100,4,0),0)</f>
        <v>0</v>
      </c>
      <c r="AO15" s="675">
        <f>IFERROR(VLOOKUP($AJ15,HomeBroker!$A$22:$F$100,5,0),0)</f>
        <v>0</v>
      </c>
      <c r="AP15" s="675">
        <f>IFERROR(VLOOKUP($AJ15,HomeBroker!$A$22:$N$100,14,0),0)</f>
        <v>0</v>
      </c>
      <c r="AQ15" s="62"/>
      <c r="AR15" s="240" t="str">
        <f t="shared" si="67"/>
        <v>-</v>
      </c>
      <c r="AS15" s="240" t="str">
        <f t="shared" si="68"/>
        <v>-</v>
      </c>
      <c r="AT15" s="240" t="str">
        <f t="shared" si="69"/>
        <v>-</v>
      </c>
      <c r="AU15" s="62"/>
      <c r="AV15" s="112"/>
      <c r="AW15" s="132" t="s">
        <v>354</v>
      </c>
      <c r="AX15" s="114"/>
      <c r="AY15" s="136"/>
      <c r="AZ15" s="137"/>
      <c r="BA15" s="285">
        <f t="shared" si="10"/>
        <v>0</v>
      </c>
      <c r="BB15" s="286">
        <f t="shared" si="11"/>
        <v>0</v>
      </c>
      <c r="BC15" s="116" t="s">
        <v>408</v>
      </c>
      <c r="BD15" s="114"/>
      <c r="BE15" s="139"/>
      <c r="BF15" s="117"/>
      <c r="BG15" s="287">
        <f t="shared" si="12"/>
        <v>0</v>
      </c>
      <c r="BH15" s="289">
        <f t="shared" si="13"/>
        <v>0</v>
      </c>
      <c r="BI15" s="118" t="s">
        <v>409</v>
      </c>
      <c r="BJ15" s="114"/>
      <c r="BK15" s="117"/>
      <c r="BL15" s="290">
        <f t="shared" si="14"/>
        <v>0</v>
      </c>
      <c r="BM15" s="291">
        <f t="shared" si="15"/>
        <v>0</v>
      </c>
      <c r="DH15" s="119">
        <f t="shared" si="16"/>
        <v>1997.6837499999997</v>
      </c>
      <c r="DI15" s="120">
        <f t="shared" si="17"/>
        <v>0</v>
      </c>
      <c r="DJ15" s="120">
        <f t="shared" si="18"/>
        <v>0</v>
      </c>
      <c r="DK15" s="120">
        <f t="shared" si="19"/>
        <v>0</v>
      </c>
      <c r="DL15" s="120">
        <f t="shared" si="20"/>
        <v>0</v>
      </c>
      <c r="DM15" s="120">
        <f t="shared" si="21"/>
        <v>0</v>
      </c>
      <c r="DN15" s="120">
        <f t="shared" si="22"/>
        <v>0</v>
      </c>
      <c r="DO15" s="120">
        <f t="shared" si="23"/>
        <v>0</v>
      </c>
      <c r="DP15" s="120">
        <f t="shared" si="24"/>
        <v>0</v>
      </c>
      <c r="DQ15" s="120">
        <f t="shared" si="25"/>
        <v>0</v>
      </c>
      <c r="DR15" s="120">
        <f t="shared" si="26"/>
        <v>0</v>
      </c>
      <c r="DS15" s="120">
        <f t="shared" si="27"/>
        <v>0</v>
      </c>
      <c r="DT15" s="120">
        <f t="shared" si="28"/>
        <v>0</v>
      </c>
      <c r="DU15" s="120">
        <f t="shared" si="29"/>
        <v>0</v>
      </c>
      <c r="DV15" s="120">
        <f t="shared" si="30"/>
        <v>0</v>
      </c>
      <c r="DW15" s="120">
        <f t="shared" si="31"/>
        <v>0</v>
      </c>
      <c r="DX15" s="120">
        <f t="shared" si="32"/>
        <v>0</v>
      </c>
      <c r="DY15" s="120">
        <f t="shared" si="33"/>
        <v>0</v>
      </c>
      <c r="DZ15" s="120">
        <f t="shared" si="34"/>
        <v>0</v>
      </c>
      <c r="EA15" s="120">
        <f t="shared" si="35"/>
        <v>0</v>
      </c>
      <c r="EB15" s="120">
        <f t="shared" si="36"/>
        <v>0</v>
      </c>
      <c r="EC15" s="120">
        <f t="shared" si="37"/>
        <v>0</v>
      </c>
      <c r="ED15" s="120">
        <f t="shared" si="38"/>
        <v>0</v>
      </c>
      <c r="EE15" s="120">
        <f t="shared" si="39"/>
        <v>0</v>
      </c>
      <c r="EF15" s="120">
        <f t="shared" si="40"/>
        <v>0</v>
      </c>
      <c r="EG15" s="120">
        <f t="shared" si="41"/>
        <v>0</v>
      </c>
      <c r="EH15" s="120">
        <f t="shared" si="42"/>
        <v>0</v>
      </c>
      <c r="EI15" s="120">
        <f t="shared" si="43"/>
        <v>0</v>
      </c>
      <c r="EJ15" s="120">
        <f t="shared" si="44"/>
        <v>0</v>
      </c>
      <c r="EK15" s="120">
        <f t="shared" si="45"/>
        <v>0</v>
      </c>
      <c r="EL15" s="120">
        <f t="shared" si="46"/>
        <v>0</v>
      </c>
      <c r="EM15" s="120">
        <f t="shared" si="47"/>
        <v>0</v>
      </c>
      <c r="EN15" s="120">
        <f t="shared" si="48"/>
        <v>0</v>
      </c>
      <c r="EO15" s="120">
        <f t="shared" si="49"/>
        <v>0</v>
      </c>
      <c r="EP15" s="120">
        <f t="shared" si="50"/>
        <v>0</v>
      </c>
      <c r="EQ15" s="120">
        <f t="shared" si="51"/>
        <v>0</v>
      </c>
      <c r="ER15" s="121"/>
      <c r="ES15" s="122">
        <f t="shared" si="52"/>
        <v>0</v>
      </c>
      <c r="ET15" s="121"/>
      <c r="EU15" s="134"/>
      <c r="EV15" s="124"/>
      <c r="EW15" s="125">
        <f t="shared" si="53"/>
        <v>0</v>
      </c>
      <c r="EX15" s="72"/>
      <c r="EY15" s="119">
        <f t="shared" si="54"/>
        <v>1997.6837499999997</v>
      </c>
      <c r="EZ15" s="120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0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0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0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0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0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0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0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0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0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0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0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0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0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0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0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0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0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0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0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0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0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0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0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0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0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0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0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0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0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0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0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0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0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0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1"/>
      <c r="GJ15" s="122">
        <f t="shared" ca="1" si="55"/>
        <v>0</v>
      </c>
      <c r="GK15" s="121"/>
      <c r="GL15" s="134"/>
      <c r="GM15" s="124"/>
      <c r="GN15" s="125">
        <f t="shared" ca="1" si="56"/>
        <v>0</v>
      </c>
    </row>
    <row r="16" spans="1:196" ht="15">
      <c r="A16" s="126" t="s">
        <v>410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7" t="str">
        <f>IFERROR(D15/D16,"")</f>
        <v/>
      </c>
      <c r="K16" s="128" t="str">
        <f>IFERROR(G15/G16,"")</f>
        <v/>
      </c>
      <c r="L16" s="129" t="str">
        <f>IFERROR(K16/J16-1,"")</f>
        <v/>
      </c>
      <c r="M16" s="130">
        <f>I15+I16</f>
        <v>0</v>
      </c>
      <c r="N16" s="144">
        <f t="shared" si="72"/>
        <v>-9.7500000000000031E-2</v>
      </c>
      <c r="O16" s="279">
        <f t="shared" si="3"/>
        <v>2102.8249999999998</v>
      </c>
      <c r="P16" s="131">
        <f t="shared" si="4"/>
        <v>0</v>
      </c>
      <c r="Q16" s="131">
        <f t="shared" ca="1" si="5"/>
        <v>0</v>
      </c>
      <c r="R16" s="62"/>
      <c r="S16" s="240" t="str">
        <f t="shared" si="71"/>
        <v/>
      </c>
      <c r="T16" s="672">
        <f t="shared" si="70"/>
        <v>0</v>
      </c>
      <c r="U16" s="235"/>
      <c r="V16" s="673">
        <f t="shared" ca="1" si="59"/>
        <v>0</v>
      </c>
      <c r="W16" s="505" t="str">
        <f t="shared" si="60"/>
        <v/>
      </c>
      <c r="X16" s="505" t="str">
        <f t="shared" si="61"/>
        <v/>
      </c>
      <c r="Y16" s="503">
        <f>IFERROR(VLOOKUP($X16,HomeBroker!$A$22:$F$100,2,0),0)</f>
        <v>0</v>
      </c>
      <c r="Z16" s="503">
        <f>IFERROR(VLOOKUP($X16,HomeBroker!$A$22:$F$100,3,0),0)</f>
        <v>0</v>
      </c>
      <c r="AA16" s="237">
        <f>IFERROR(VLOOKUP($X16,HomeBroker!$A$22:$F$100,6,0),0)</f>
        <v>0</v>
      </c>
      <c r="AB16" s="503">
        <f>IFERROR(VLOOKUP($X16,HomeBroker!$A$22:$F$100,4,0),0)</f>
        <v>0</v>
      </c>
      <c r="AC16" s="503">
        <f>IFERROR(VLOOKUP($X16,HomeBroker!$A$22:$F$100,5,0),0)</f>
        <v>0</v>
      </c>
      <c r="AD16" s="506">
        <f>IFERROR(VLOOKUP($X16,HomeBroker!$A$22:$N$100,14,0),0)</f>
        <v>0</v>
      </c>
      <c r="AE16" s="241" t="str">
        <f t="shared" si="62"/>
        <v/>
      </c>
      <c r="AF16" s="110">
        <f t="shared" si="63"/>
        <v>0</v>
      </c>
      <c r="AG16" s="235"/>
      <c r="AH16" s="504">
        <f t="shared" ca="1" si="64"/>
        <v>0</v>
      </c>
      <c r="AI16" s="505" t="str">
        <f t="shared" si="65"/>
        <v/>
      </c>
      <c r="AJ16" s="505" t="str">
        <f t="shared" si="66"/>
        <v/>
      </c>
      <c r="AK16" s="675">
        <f>IFERROR(VLOOKUP($AJ16,HomeBroker!$A$22:$F$100,2,0),0)</f>
        <v>0</v>
      </c>
      <c r="AL16" s="675">
        <f>IFERROR(VLOOKUP($AJ16,HomeBroker!$A$22:$F$100,3,0),0)</f>
        <v>0</v>
      </c>
      <c r="AM16" s="676">
        <f>IFERROR(VLOOKUP($AJ16,HomeBroker!$A$22:$F$100,6,0),0)</f>
        <v>0</v>
      </c>
      <c r="AN16" s="675">
        <f>IFERROR(VLOOKUP($AJ16,HomeBroker!$A$22:$F$100,4,0),0)</f>
        <v>0</v>
      </c>
      <c r="AO16" s="675">
        <f>IFERROR(VLOOKUP($AJ16,HomeBroker!$A$22:$F$100,5,0),0)</f>
        <v>0</v>
      </c>
      <c r="AP16" s="675">
        <f>IFERROR(VLOOKUP($AJ16,HomeBroker!$A$22:$N$100,14,0),0)</f>
        <v>0</v>
      </c>
      <c r="AQ16" s="62"/>
      <c r="AR16" s="240" t="str">
        <f t="shared" si="67"/>
        <v>-</v>
      </c>
      <c r="AS16" s="240" t="str">
        <f t="shared" si="68"/>
        <v>-</v>
      </c>
      <c r="AT16" s="240" t="str">
        <f t="shared" si="69"/>
        <v>-</v>
      </c>
      <c r="AU16" s="62"/>
      <c r="AV16" s="112"/>
      <c r="AW16" s="132" t="s">
        <v>354</v>
      </c>
      <c r="AX16" s="114"/>
      <c r="AY16" s="136"/>
      <c r="AZ16" s="137"/>
      <c r="BA16" s="285">
        <f t="shared" si="10"/>
        <v>0</v>
      </c>
      <c r="BB16" s="286">
        <f t="shared" si="11"/>
        <v>0</v>
      </c>
      <c r="BC16" s="116" t="s">
        <v>408</v>
      </c>
      <c r="BD16" s="114"/>
      <c r="BE16" s="139"/>
      <c r="BF16" s="117"/>
      <c r="BG16" s="287">
        <f t="shared" si="12"/>
        <v>0</v>
      </c>
      <c r="BH16" s="289">
        <f t="shared" si="13"/>
        <v>0</v>
      </c>
      <c r="BI16" s="118" t="s">
        <v>409</v>
      </c>
      <c r="BJ16" s="114"/>
      <c r="BK16" s="117"/>
      <c r="BL16" s="290">
        <f t="shared" si="14"/>
        <v>0</v>
      </c>
      <c r="BM16" s="291">
        <f t="shared" si="15"/>
        <v>0</v>
      </c>
      <c r="DH16" s="119">
        <f t="shared" si="16"/>
        <v>2102.8249999999998</v>
      </c>
      <c r="DI16" s="120">
        <f t="shared" si="17"/>
        <v>0</v>
      </c>
      <c r="DJ16" s="120">
        <f t="shared" si="18"/>
        <v>0</v>
      </c>
      <c r="DK16" s="120">
        <f t="shared" si="19"/>
        <v>0</v>
      </c>
      <c r="DL16" s="120">
        <f t="shared" si="20"/>
        <v>0</v>
      </c>
      <c r="DM16" s="120">
        <f t="shared" si="21"/>
        <v>0</v>
      </c>
      <c r="DN16" s="120">
        <f t="shared" si="22"/>
        <v>0</v>
      </c>
      <c r="DO16" s="120">
        <f t="shared" si="23"/>
        <v>0</v>
      </c>
      <c r="DP16" s="120">
        <f t="shared" si="24"/>
        <v>0</v>
      </c>
      <c r="DQ16" s="120">
        <f t="shared" si="25"/>
        <v>0</v>
      </c>
      <c r="DR16" s="120">
        <f t="shared" si="26"/>
        <v>0</v>
      </c>
      <c r="DS16" s="120">
        <f t="shared" si="27"/>
        <v>0</v>
      </c>
      <c r="DT16" s="120">
        <f t="shared" si="28"/>
        <v>0</v>
      </c>
      <c r="DU16" s="120">
        <f t="shared" si="29"/>
        <v>0</v>
      </c>
      <c r="DV16" s="120">
        <f t="shared" si="30"/>
        <v>0</v>
      </c>
      <c r="DW16" s="120">
        <f t="shared" si="31"/>
        <v>0</v>
      </c>
      <c r="DX16" s="120">
        <f t="shared" si="32"/>
        <v>0</v>
      </c>
      <c r="DY16" s="120">
        <f t="shared" si="33"/>
        <v>0</v>
      </c>
      <c r="DZ16" s="120">
        <f t="shared" si="34"/>
        <v>0</v>
      </c>
      <c r="EA16" s="120">
        <f t="shared" si="35"/>
        <v>0</v>
      </c>
      <c r="EB16" s="120">
        <f t="shared" si="36"/>
        <v>0</v>
      </c>
      <c r="EC16" s="120">
        <f t="shared" si="37"/>
        <v>0</v>
      </c>
      <c r="ED16" s="120">
        <f t="shared" si="38"/>
        <v>0</v>
      </c>
      <c r="EE16" s="120">
        <f t="shared" si="39"/>
        <v>0</v>
      </c>
      <c r="EF16" s="120">
        <f t="shared" si="40"/>
        <v>0</v>
      </c>
      <c r="EG16" s="120">
        <f t="shared" si="41"/>
        <v>0</v>
      </c>
      <c r="EH16" s="120">
        <f t="shared" si="42"/>
        <v>0</v>
      </c>
      <c r="EI16" s="120">
        <f t="shared" si="43"/>
        <v>0</v>
      </c>
      <c r="EJ16" s="120">
        <f t="shared" si="44"/>
        <v>0</v>
      </c>
      <c r="EK16" s="120">
        <f t="shared" si="45"/>
        <v>0</v>
      </c>
      <c r="EL16" s="120">
        <f t="shared" si="46"/>
        <v>0</v>
      </c>
      <c r="EM16" s="120">
        <f t="shared" si="47"/>
        <v>0</v>
      </c>
      <c r="EN16" s="120">
        <f t="shared" si="48"/>
        <v>0</v>
      </c>
      <c r="EO16" s="120">
        <f t="shared" si="49"/>
        <v>0</v>
      </c>
      <c r="EP16" s="120">
        <f t="shared" si="50"/>
        <v>0</v>
      </c>
      <c r="EQ16" s="120">
        <f t="shared" si="51"/>
        <v>0</v>
      </c>
      <c r="ER16" s="121"/>
      <c r="ES16" s="122">
        <f t="shared" si="52"/>
        <v>0</v>
      </c>
      <c r="ET16" s="121"/>
      <c r="EU16" s="134"/>
      <c r="EV16" s="124"/>
      <c r="EW16" s="125">
        <f t="shared" si="53"/>
        <v>0</v>
      </c>
      <c r="EX16" s="72"/>
      <c r="EY16" s="119">
        <f t="shared" si="54"/>
        <v>2102.8249999999998</v>
      </c>
      <c r="EZ16" s="120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0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0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0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0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0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0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0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0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0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0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0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0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0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0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0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0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0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0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0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0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0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0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0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0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0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0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0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0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0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0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0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0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0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0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1"/>
      <c r="GJ16" s="122">
        <f t="shared" ca="1" si="55"/>
        <v>0</v>
      </c>
      <c r="GK16" s="121"/>
      <c r="GL16" s="134"/>
      <c r="GM16" s="124"/>
      <c r="GN16" s="125">
        <f t="shared" ca="1" si="56"/>
        <v>0</v>
      </c>
    </row>
    <row r="17" spans="1:196" ht="15.75">
      <c r="A17" s="135" t="s">
        <v>411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9"/>
      <c r="K17" s="69"/>
      <c r="L17" s="69"/>
      <c r="M17" s="69"/>
      <c r="N17" s="144">
        <f t="shared" si="72"/>
        <v>-5.0000000000000044E-2</v>
      </c>
      <c r="O17" s="279">
        <f t="shared" si="3"/>
        <v>2213.5</v>
      </c>
      <c r="P17" s="131">
        <f t="shared" si="4"/>
        <v>0</v>
      </c>
      <c r="Q17" s="131">
        <f t="shared" ca="1" si="5"/>
        <v>0</v>
      </c>
      <c r="R17" s="62"/>
      <c r="S17" s="240" t="str">
        <f t="shared" si="71"/>
        <v/>
      </c>
      <c r="T17" s="672">
        <f t="shared" si="70"/>
        <v>0</v>
      </c>
      <c r="U17" s="235"/>
      <c r="V17" s="673">
        <f t="shared" ca="1" si="59"/>
        <v>0</v>
      </c>
      <c r="W17" s="505" t="str">
        <f t="shared" si="60"/>
        <v/>
      </c>
      <c r="X17" s="505" t="str">
        <f t="shared" si="61"/>
        <v/>
      </c>
      <c r="Y17" s="503">
        <f>IFERROR(VLOOKUP($X17,HomeBroker!$A$22:$F$100,2,0),0)</f>
        <v>0</v>
      </c>
      <c r="Z17" s="503">
        <f>IFERROR(VLOOKUP($X17,HomeBroker!$A$22:$F$100,3,0),0)</f>
        <v>0</v>
      </c>
      <c r="AA17" s="237">
        <f>IFERROR(VLOOKUP($X17,HomeBroker!$A$22:$F$100,6,0),0)</f>
        <v>0</v>
      </c>
      <c r="AB17" s="503">
        <f>IFERROR(VLOOKUP($X17,HomeBroker!$A$22:$F$100,4,0),0)</f>
        <v>0</v>
      </c>
      <c r="AC17" s="503">
        <f>IFERROR(VLOOKUP($X17,HomeBroker!$A$22:$F$100,5,0),0)</f>
        <v>0</v>
      </c>
      <c r="AD17" s="506">
        <f>IFERROR(VLOOKUP($X17,HomeBroker!$A$22:$N$100,14,0),0)</f>
        <v>0</v>
      </c>
      <c r="AE17" s="241" t="str">
        <f t="shared" si="62"/>
        <v/>
      </c>
      <c r="AF17" s="110">
        <f t="shared" si="63"/>
        <v>0</v>
      </c>
      <c r="AG17" s="235"/>
      <c r="AH17" s="504">
        <f t="shared" ca="1" si="64"/>
        <v>0</v>
      </c>
      <c r="AI17" s="505" t="str">
        <f t="shared" si="65"/>
        <v/>
      </c>
      <c r="AJ17" s="505" t="str">
        <f t="shared" si="66"/>
        <v/>
      </c>
      <c r="AK17" s="675">
        <f>IFERROR(VLOOKUP($AJ17,HomeBroker!$A$22:$F$100,2,0),0)</f>
        <v>0</v>
      </c>
      <c r="AL17" s="675">
        <f>IFERROR(VLOOKUP($AJ17,HomeBroker!$A$22:$F$100,3,0),0)</f>
        <v>0</v>
      </c>
      <c r="AM17" s="676">
        <f>IFERROR(VLOOKUP($AJ17,HomeBroker!$A$22:$F$100,6,0),0)</f>
        <v>0</v>
      </c>
      <c r="AN17" s="675">
        <f>IFERROR(VLOOKUP($AJ17,HomeBroker!$A$22:$F$100,4,0),0)</f>
        <v>0</v>
      </c>
      <c r="AO17" s="675">
        <f>IFERROR(VLOOKUP($AJ17,HomeBroker!$A$22:$F$100,5,0),0)</f>
        <v>0</v>
      </c>
      <c r="AP17" s="675">
        <f>IFERROR(VLOOKUP($AJ17,HomeBroker!$A$22:$N$100,14,0),0)</f>
        <v>0</v>
      </c>
      <c r="AQ17" s="62"/>
      <c r="AR17" s="240" t="str">
        <f t="shared" si="67"/>
        <v>-</v>
      </c>
      <c r="AS17" s="240" t="str">
        <f t="shared" si="68"/>
        <v>-</v>
      </c>
      <c r="AT17" s="240" t="str">
        <f t="shared" si="69"/>
        <v>-</v>
      </c>
      <c r="AU17" s="62"/>
      <c r="AV17" s="112"/>
      <c r="AW17" s="132" t="s">
        <v>354</v>
      </c>
      <c r="AX17" s="114"/>
      <c r="AY17" s="136"/>
      <c r="AZ17" s="137"/>
      <c r="BA17" s="285">
        <f t="shared" si="10"/>
        <v>0</v>
      </c>
      <c r="BB17" s="286">
        <f t="shared" si="11"/>
        <v>0</v>
      </c>
      <c r="BC17" s="116" t="s">
        <v>408</v>
      </c>
      <c r="BD17" s="114"/>
      <c r="BE17" s="139"/>
      <c r="BF17" s="117"/>
      <c r="BG17" s="287">
        <f t="shared" si="12"/>
        <v>0</v>
      </c>
      <c r="BH17" s="289">
        <f t="shared" si="13"/>
        <v>0</v>
      </c>
      <c r="BI17" s="118" t="s">
        <v>409</v>
      </c>
      <c r="BJ17" s="114"/>
      <c r="BK17" s="117"/>
      <c r="BL17" s="290">
        <f t="shared" si="14"/>
        <v>0</v>
      </c>
      <c r="BM17" s="291">
        <f t="shared" si="15"/>
        <v>0</v>
      </c>
      <c r="DH17" s="119">
        <f t="shared" si="16"/>
        <v>2213.5</v>
      </c>
      <c r="DI17" s="120">
        <f t="shared" si="17"/>
        <v>0</v>
      </c>
      <c r="DJ17" s="120">
        <f t="shared" si="18"/>
        <v>0</v>
      </c>
      <c r="DK17" s="120">
        <f t="shared" si="19"/>
        <v>0</v>
      </c>
      <c r="DL17" s="120">
        <f t="shared" si="20"/>
        <v>0</v>
      </c>
      <c r="DM17" s="120">
        <f t="shared" si="21"/>
        <v>0</v>
      </c>
      <c r="DN17" s="120">
        <f t="shared" si="22"/>
        <v>0</v>
      </c>
      <c r="DO17" s="120">
        <f t="shared" si="23"/>
        <v>0</v>
      </c>
      <c r="DP17" s="120">
        <f t="shared" si="24"/>
        <v>0</v>
      </c>
      <c r="DQ17" s="120">
        <f t="shared" si="25"/>
        <v>0</v>
      </c>
      <c r="DR17" s="120">
        <f t="shared" si="26"/>
        <v>0</v>
      </c>
      <c r="DS17" s="120">
        <f t="shared" si="27"/>
        <v>0</v>
      </c>
      <c r="DT17" s="120">
        <f t="shared" si="28"/>
        <v>0</v>
      </c>
      <c r="DU17" s="120">
        <f t="shared" si="29"/>
        <v>0</v>
      </c>
      <c r="DV17" s="120">
        <f t="shared" si="30"/>
        <v>0</v>
      </c>
      <c r="DW17" s="120">
        <f t="shared" si="31"/>
        <v>0</v>
      </c>
      <c r="DX17" s="120">
        <f t="shared" si="32"/>
        <v>0</v>
      </c>
      <c r="DY17" s="120">
        <f t="shared" si="33"/>
        <v>0</v>
      </c>
      <c r="DZ17" s="120">
        <f t="shared" si="34"/>
        <v>0</v>
      </c>
      <c r="EA17" s="120">
        <f t="shared" si="35"/>
        <v>0</v>
      </c>
      <c r="EB17" s="120">
        <f t="shared" si="36"/>
        <v>0</v>
      </c>
      <c r="EC17" s="120">
        <f t="shared" si="37"/>
        <v>0</v>
      </c>
      <c r="ED17" s="120">
        <f t="shared" si="38"/>
        <v>0</v>
      </c>
      <c r="EE17" s="120">
        <f t="shared" si="39"/>
        <v>0</v>
      </c>
      <c r="EF17" s="120">
        <f t="shared" si="40"/>
        <v>0</v>
      </c>
      <c r="EG17" s="120">
        <f t="shared" si="41"/>
        <v>0</v>
      </c>
      <c r="EH17" s="120">
        <f t="shared" si="42"/>
        <v>0</v>
      </c>
      <c r="EI17" s="120">
        <f t="shared" si="43"/>
        <v>0</v>
      </c>
      <c r="EJ17" s="120">
        <f t="shared" si="44"/>
        <v>0</v>
      </c>
      <c r="EK17" s="120">
        <f t="shared" si="45"/>
        <v>0</v>
      </c>
      <c r="EL17" s="120">
        <f t="shared" si="46"/>
        <v>0</v>
      </c>
      <c r="EM17" s="120">
        <f t="shared" si="47"/>
        <v>0</v>
      </c>
      <c r="EN17" s="120">
        <f t="shared" si="48"/>
        <v>0</v>
      </c>
      <c r="EO17" s="120">
        <f t="shared" si="49"/>
        <v>0</v>
      </c>
      <c r="EP17" s="120">
        <f t="shared" si="50"/>
        <v>0</v>
      </c>
      <c r="EQ17" s="120">
        <f t="shared" si="51"/>
        <v>0</v>
      </c>
      <c r="ER17" s="121"/>
      <c r="ES17" s="122">
        <f t="shared" si="52"/>
        <v>0</v>
      </c>
      <c r="ET17" s="121"/>
      <c r="EU17" s="134"/>
      <c r="EV17" s="124"/>
      <c r="EW17" s="125">
        <f t="shared" si="53"/>
        <v>0</v>
      </c>
      <c r="EX17" s="72"/>
      <c r="EY17" s="119">
        <f t="shared" si="54"/>
        <v>2213.5</v>
      </c>
      <c r="EZ17" s="120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0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0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0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0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0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0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0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0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0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0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0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0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0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0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0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0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0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0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0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0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0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0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0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0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0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0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0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0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0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0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0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0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0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0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1"/>
      <c r="GJ17" s="122">
        <f t="shared" ca="1" si="55"/>
        <v>0</v>
      </c>
      <c r="GK17" s="121"/>
      <c r="GL17" s="134"/>
      <c r="GM17" s="124"/>
      <c r="GN17" s="125">
        <f t="shared" ca="1" si="56"/>
        <v>0</v>
      </c>
    </row>
    <row r="18" spans="1:196" ht="15">
      <c r="A18" s="105" t="s">
        <v>407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9"/>
      <c r="K18" s="69"/>
      <c r="L18" s="69"/>
      <c r="M18" s="69"/>
      <c r="N18" s="146">
        <v>0</v>
      </c>
      <c r="O18" s="280">
        <f>IF($Q$45&lt;&gt;"",$Q$45,$B$76)</f>
        <v>2330</v>
      </c>
      <c r="P18" s="138">
        <f t="shared" si="4"/>
        <v>0</v>
      </c>
      <c r="Q18" s="138">
        <f t="shared" ca="1" si="5"/>
        <v>0</v>
      </c>
      <c r="R18" s="62"/>
      <c r="S18" s="240" t="str">
        <f t="shared" si="71"/>
        <v/>
      </c>
      <c r="T18" s="672">
        <f t="shared" ref="T18:T42" si="73">SUMIFS(AX:AX,AY:AY,U18)</f>
        <v>0</v>
      </c>
      <c r="U18" s="235"/>
      <c r="V18" s="673">
        <f t="shared" ca="1" si="59"/>
        <v>0</v>
      </c>
      <c r="W18" s="505" t="str">
        <f t="shared" si="60"/>
        <v/>
      </c>
      <c r="X18" s="505" t="str">
        <f t="shared" si="61"/>
        <v/>
      </c>
      <c r="Y18" s="503">
        <f>IFERROR(VLOOKUP($X18,HomeBroker!$A$22:$F$100,2,0),0)</f>
        <v>0</v>
      </c>
      <c r="Z18" s="503">
        <f>IFERROR(VLOOKUP($X18,HomeBroker!$A$22:$F$100,3,0),0)</f>
        <v>0</v>
      </c>
      <c r="AA18" s="237">
        <f>IFERROR(VLOOKUP($X18,HomeBroker!$A$22:$F$100,6,0),0)</f>
        <v>0</v>
      </c>
      <c r="AB18" s="503">
        <f>IFERROR(VLOOKUP($X18,HomeBroker!$A$22:$F$100,4,0),0)</f>
        <v>0</v>
      </c>
      <c r="AC18" s="503">
        <f>IFERROR(VLOOKUP($X18,HomeBroker!$A$22:$F$100,5,0),0)</f>
        <v>0</v>
      </c>
      <c r="AD18" s="506">
        <f>IFERROR(VLOOKUP($X18,HomeBroker!$A$22:$N$100,14,0),0)</f>
        <v>0</v>
      </c>
      <c r="AE18" s="241" t="str">
        <f t="shared" si="62"/>
        <v/>
      </c>
      <c r="AF18" s="110">
        <f t="shared" ref="AF18:AF42" si="74">SUMIFS(BD:BD,BE:BE,AG18)</f>
        <v>0</v>
      </c>
      <c r="AG18" s="235"/>
      <c r="AH18" s="504">
        <f t="shared" ca="1" si="64"/>
        <v>0</v>
      </c>
      <c r="AI18" s="505" t="str">
        <f t="shared" si="65"/>
        <v/>
      </c>
      <c r="AJ18" s="505" t="str">
        <f t="shared" si="66"/>
        <v/>
      </c>
      <c r="AK18" s="675">
        <f>IFERROR(VLOOKUP($AJ18,HomeBroker!$A$22:$F$100,2,0),0)</f>
        <v>0</v>
      </c>
      <c r="AL18" s="675">
        <f>IFERROR(VLOOKUP($AJ18,HomeBroker!$A$22:$F$100,3,0),0)</f>
        <v>0</v>
      </c>
      <c r="AM18" s="676">
        <f>IFERROR(VLOOKUP($AJ18,HomeBroker!$A$22:$F$100,6,0),0)</f>
        <v>0</v>
      </c>
      <c r="AN18" s="675">
        <f>IFERROR(VLOOKUP($AJ18,HomeBroker!$A$22:$F$100,4,0),0)</f>
        <v>0</v>
      </c>
      <c r="AO18" s="675">
        <f>IFERROR(VLOOKUP($AJ18,HomeBroker!$A$22:$F$100,5,0),0)</f>
        <v>0</v>
      </c>
      <c r="AP18" s="675">
        <f>IFERROR(VLOOKUP($AJ18,HomeBroker!$A$22:$N$100,14,0),0)</f>
        <v>0</v>
      </c>
      <c r="AQ18" s="62"/>
      <c r="AR18" s="240" t="str">
        <f t="shared" si="67"/>
        <v>-</v>
      </c>
      <c r="AS18" s="240" t="str">
        <f t="shared" si="68"/>
        <v>-</v>
      </c>
      <c r="AT18" s="240" t="str">
        <f t="shared" si="69"/>
        <v>-</v>
      </c>
      <c r="AU18" s="62"/>
      <c r="AV18" s="112"/>
      <c r="AW18" s="132" t="s">
        <v>354</v>
      </c>
      <c r="AX18" s="114"/>
      <c r="AY18" s="136"/>
      <c r="AZ18" s="137"/>
      <c r="BA18" s="285">
        <f t="shared" si="10"/>
        <v>0</v>
      </c>
      <c r="BB18" s="286">
        <f t="shared" si="11"/>
        <v>0</v>
      </c>
      <c r="BC18" s="116" t="s">
        <v>408</v>
      </c>
      <c r="BD18" s="114"/>
      <c r="BE18" s="139"/>
      <c r="BF18" s="117"/>
      <c r="BG18" s="287">
        <f t="shared" si="12"/>
        <v>0</v>
      </c>
      <c r="BH18" s="289">
        <f t="shared" si="13"/>
        <v>0</v>
      </c>
      <c r="BI18" s="118" t="s">
        <v>409</v>
      </c>
      <c r="BJ18" s="114"/>
      <c r="BK18" s="117"/>
      <c r="BL18" s="290">
        <f t="shared" si="14"/>
        <v>0</v>
      </c>
      <c r="BM18" s="291">
        <f t="shared" si="15"/>
        <v>0</v>
      </c>
      <c r="DH18" s="119">
        <f t="shared" si="16"/>
        <v>2330</v>
      </c>
      <c r="DI18" s="120">
        <f t="shared" si="17"/>
        <v>0</v>
      </c>
      <c r="DJ18" s="120">
        <f t="shared" si="18"/>
        <v>0</v>
      </c>
      <c r="DK18" s="120">
        <f t="shared" si="19"/>
        <v>0</v>
      </c>
      <c r="DL18" s="120">
        <f t="shared" si="20"/>
        <v>0</v>
      </c>
      <c r="DM18" s="120">
        <f t="shared" si="21"/>
        <v>0</v>
      </c>
      <c r="DN18" s="120">
        <f t="shared" si="22"/>
        <v>0</v>
      </c>
      <c r="DO18" s="120">
        <f t="shared" si="23"/>
        <v>0</v>
      </c>
      <c r="DP18" s="120">
        <f t="shared" si="24"/>
        <v>0</v>
      </c>
      <c r="DQ18" s="120">
        <f t="shared" si="25"/>
        <v>0</v>
      </c>
      <c r="DR18" s="120">
        <f t="shared" si="26"/>
        <v>0</v>
      </c>
      <c r="DS18" s="120">
        <f t="shared" si="27"/>
        <v>0</v>
      </c>
      <c r="DT18" s="120">
        <f t="shared" si="28"/>
        <v>0</v>
      </c>
      <c r="DU18" s="120">
        <f t="shared" si="29"/>
        <v>0</v>
      </c>
      <c r="DV18" s="120">
        <f t="shared" si="30"/>
        <v>0</v>
      </c>
      <c r="DW18" s="120">
        <f t="shared" si="31"/>
        <v>0</v>
      </c>
      <c r="DX18" s="120">
        <f t="shared" si="32"/>
        <v>0</v>
      </c>
      <c r="DY18" s="120">
        <f t="shared" si="33"/>
        <v>0</v>
      </c>
      <c r="DZ18" s="120">
        <f t="shared" si="34"/>
        <v>0</v>
      </c>
      <c r="EA18" s="120">
        <f t="shared" si="35"/>
        <v>0</v>
      </c>
      <c r="EB18" s="120">
        <f t="shared" si="36"/>
        <v>0</v>
      </c>
      <c r="EC18" s="120">
        <f t="shared" si="37"/>
        <v>0</v>
      </c>
      <c r="ED18" s="120">
        <f t="shared" si="38"/>
        <v>0</v>
      </c>
      <c r="EE18" s="120">
        <f t="shared" si="39"/>
        <v>0</v>
      </c>
      <c r="EF18" s="120">
        <f t="shared" si="40"/>
        <v>0</v>
      </c>
      <c r="EG18" s="120">
        <f t="shared" si="41"/>
        <v>0</v>
      </c>
      <c r="EH18" s="120">
        <f t="shared" si="42"/>
        <v>0</v>
      </c>
      <c r="EI18" s="120">
        <f t="shared" si="43"/>
        <v>0</v>
      </c>
      <c r="EJ18" s="120">
        <f t="shared" si="44"/>
        <v>0</v>
      </c>
      <c r="EK18" s="120">
        <f t="shared" si="45"/>
        <v>0</v>
      </c>
      <c r="EL18" s="120">
        <f t="shared" si="46"/>
        <v>0</v>
      </c>
      <c r="EM18" s="120">
        <f t="shared" si="47"/>
        <v>0</v>
      </c>
      <c r="EN18" s="120">
        <f t="shared" si="48"/>
        <v>0</v>
      </c>
      <c r="EO18" s="120">
        <f t="shared" si="49"/>
        <v>0</v>
      </c>
      <c r="EP18" s="120">
        <f t="shared" si="50"/>
        <v>0</v>
      </c>
      <c r="EQ18" s="120">
        <f t="shared" si="51"/>
        <v>0</v>
      </c>
      <c r="ER18" s="121"/>
      <c r="ES18" s="122">
        <f t="shared" si="52"/>
        <v>0</v>
      </c>
      <c r="ET18" s="121"/>
      <c r="EU18" s="134"/>
      <c r="EV18" s="124"/>
      <c r="EW18" s="147">
        <f t="shared" si="53"/>
        <v>0</v>
      </c>
      <c r="EX18" s="72"/>
      <c r="EY18" s="119">
        <f t="shared" si="54"/>
        <v>2330</v>
      </c>
      <c r="EZ18" s="120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0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0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0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0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0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0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0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0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0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0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0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0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0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0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0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0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0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0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0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0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0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0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0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0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0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0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0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0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0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0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0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0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0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0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1"/>
      <c r="GJ18" s="122">
        <f t="shared" ca="1" si="55"/>
        <v>0</v>
      </c>
      <c r="GK18" s="121"/>
      <c r="GL18" s="134"/>
      <c r="GM18" s="124"/>
      <c r="GN18" s="125">
        <f t="shared" ca="1" si="56"/>
        <v>0</v>
      </c>
    </row>
    <row r="19" spans="1:196" ht="15">
      <c r="A19" s="126" t="s">
        <v>410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7" t="str">
        <f>IFERROR(D18/D19,"")</f>
        <v/>
      </c>
      <c r="K19" s="128" t="str">
        <f>IFERROR(G18/G19,"")</f>
        <v/>
      </c>
      <c r="L19" s="129" t="str">
        <f>IFERROR(K19/J19-1,"")</f>
        <v/>
      </c>
      <c r="M19" s="130">
        <f>I18+I19</f>
        <v>0</v>
      </c>
      <c r="N19" s="143">
        <f>IFERROR(+O19/$O$18-1,"")</f>
        <v>5.0000000000000044E-2</v>
      </c>
      <c r="O19" s="279">
        <f t="shared" ref="O19:O34" si="75">+O18*(1+$Q$42)</f>
        <v>2446.5</v>
      </c>
      <c r="P19" s="131">
        <f t="shared" si="4"/>
        <v>0</v>
      </c>
      <c r="Q19" s="131">
        <f t="shared" ca="1" si="5"/>
        <v>0</v>
      </c>
      <c r="R19" s="62"/>
      <c r="S19" s="240" t="str">
        <f t="shared" si="71"/>
        <v/>
      </c>
      <c r="T19" s="672">
        <f t="shared" si="73"/>
        <v>0</v>
      </c>
      <c r="U19" s="235"/>
      <c r="V19" s="673">
        <f t="shared" ca="1" si="59"/>
        <v>0</v>
      </c>
      <c r="W19" s="505" t="str">
        <f t="shared" si="60"/>
        <v/>
      </c>
      <c r="X19" s="505" t="str">
        <f t="shared" si="61"/>
        <v/>
      </c>
      <c r="Y19" s="503">
        <f>IFERROR(VLOOKUP($X19,HomeBroker!$A$22:$F$100,2,0),0)</f>
        <v>0</v>
      </c>
      <c r="Z19" s="503">
        <f>IFERROR(VLOOKUP($X19,HomeBroker!$A$22:$F$100,3,0),0)</f>
        <v>0</v>
      </c>
      <c r="AA19" s="237">
        <f>IFERROR(VLOOKUP($X19,HomeBroker!$A$22:$F$100,6,0),0)</f>
        <v>0</v>
      </c>
      <c r="AB19" s="503">
        <f>IFERROR(VLOOKUP($X19,HomeBroker!$A$22:$F$100,4,0),0)</f>
        <v>0</v>
      </c>
      <c r="AC19" s="503">
        <f>IFERROR(VLOOKUP($X19,HomeBroker!$A$22:$F$100,5,0),0)</f>
        <v>0</v>
      </c>
      <c r="AD19" s="506">
        <f>IFERROR(VLOOKUP($X19,HomeBroker!$A$22:$N$100,14,0),0)</f>
        <v>0</v>
      </c>
      <c r="AE19" s="241" t="str">
        <f t="shared" si="62"/>
        <v/>
      </c>
      <c r="AF19" s="110">
        <f t="shared" si="74"/>
        <v>0</v>
      </c>
      <c r="AG19" s="235"/>
      <c r="AH19" s="504">
        <f t="shared" ca="1" si="64"/>
        <v>0</v>
      </c>
      <c r="AI19" s="505" t="str">
        <f t="shared" si="65"/>
        <v/>
      </c>
      <c r="AJ19" s="505" t="str">
        <f t="shared" si="66"/>
        <v/>
      </c>
      <c r="AK19" s="507">
        <f>IFERROR(VLOOKUP($AJ19,HomeBroker!$A$22:$F$100,2,0),0)</f>
        <v>0</v>
      </c>
      <c r="AL19" s="503">
        <f>IFERROR(VLOOKUP($AJ19,HomeBroker!$A$22:$F$100,3,0),0)</f>
        <v>0</v>
      </c>
      <c r="AM19" s="237">
        <f>IFERROR(VLOOKUP($AJ19,HomeBroker!$A$22:$F$100,6,0),0)</f>
        <v>0</v>
      </c>
      <c r="AN19" s="503">
        <f>IFERROR(VLOOKUP($AJ19,HomeBroker!$A$22:$F$100,4,0),0)</f>
        <v>0</v>
      </c>
      <c r="AO19" s="507">
        <f>IFERROR(VLOOKUP($AJ19,HomeBroker!$A$22:$F$100,5,0),0)</f>
        <v>0</v>
      </c>
      <c r="AP19" s="507">
        <f>IFERROR(VLOOKUP($AJ19,HomeBroker!$A$22:$N$100,14,0),0)</f>
        <v>0</v>
      </c>
      <c r="AQ19" s="62"/>
      <c r="AR19" s="240" t="str">
        <f t="shared" si="67"/>
        <v>-</v>
      </c>
      <c r="AS19" s="240" t="str">
        <f t="shared" si="68"/>
        <v>-</v>
      </c>
      <c r="AT19" s="240" t="str">
        <f t="shared" si="69"/>
        <v>-</v>
      </c>
      <c r="AU19" s="62"/>
      <c r="AV19" s="112"/>
      <c r="AW19" s="132" t="s">
        <v>354</v>
      </c>
      <c r="AX19" s="114"/>
      <c r="AY19" s="136"/>
      <c r="AZ19" s="137"/>
      <c r="BA19" s="285">
        <f t="shared" si="10"/>
        <v>0</v>
      </c>
      <c r="BB19" s="286">
        <f t="shared" si="11"/>
        <v>0</v>
      </c>
      <c r="BC19" s="116" t="s">
        <v>408</v>
      </c>
      <c r="BD19" s="114"/>
      <c r="BE19" s="139"/>
      <c r="BF19" s="117"/>
      <c r="BG19" s="287">
        <f t="shared" si="12"/>
        <v>0</v>
      </c>
      <c r="BH19" s="289">
        <f t="shared" si="13"/>
        <v>0</v>
      </c>
      <c r="BI19" s="118" t="s">
        <v>409</v>
      </c>
      <c r="BJ19" s="114"/>
      <c r="BK19" s="117"/>
      <c r="BL19" s="290">
        <f t="shared" si="14"/>
        <v>0</v>
      </c>
      <c r="BM19" s="291">
        <f t="shared" si="15"/>
        <v>0</v>
      </c>
      <c r="DH19" s="119">
        <f t="shared" si="16"/>
        <v>2446.5</v>
      </c>
      <c r="DI19" s="120">
        <f t="shared" si="17"/>
        <v>0</v>
      </c>
      <c r="DJ19" s="120">
        <f t="shared" si="18"/>
        <v>0</v>
      </c>
      <c r="DK19" s="120">
        <f t="shared" si="19"/>
        <v>0</v>
      </c>
      <c r="DL19" s="120">
        <f t="shared" si="20"/>
        <v>0</v>
      </c>
      <c r="DM19" s="120">
        <f t="shared" si="21"/>
        <v>0</v>
      </c>
      <c r="DN19" s="120">
        <f t="shared" si="22"/>
        <v>0</v>
      </c>
      <c r="DO19" s="120">
        <f t="shared" si="23"/>
        <v>0</v>
      </c>
      <c r="DP19" s="120">
        <f t="shared" si="24"/>
        <v>0</v>
      </c>
      <c r="DQ19" s="120">
        <f t="shared" si="25"/>
        <v>0</v>
      </c>
      <c r="DR19" s="120">
        <f t="shared" si="26"/>
        <v>0</v>
      </c>
      <c r="DS19" s="120">
        <f t="shared" si="27"/>
        <v>0</v>
      </c>
      <c r="DT19" s="120">
        <f t="shared" si="28"/>
        <v>0</v>
      </c>
      <c r="DU19" s="120">
        <f t="shared" si="29"/>
        <v>0</v>
      </c>
      <c r="DV19" s="120">
        <f t="shared" si="30"/>
        <v>0</v>
      </c>
      <c r="DW19" s="120">
        <f t="shared" si="31"/>
        <v>0</v>
      </c>
      <c r="DX19" s="120">
        <f t="shared" si="32"/>
        <v>0</v>
      </c>
      <c r="DY19" s="120">
        <f t="shared" si="33"/>
        <v>0</v>
      </c>
      <c r="DZ19" s="120">
        <f t="shared" si="34"/>
        <v>0</v>
      </c>
      <c r="EA19" s="120">
        <f t="shared" si="35"/>
        <v>0</v>
      </c>
      <c r="EB19" s="120">
        <f t="shared" si="36"/>
        <v>0</v>
      </c>
      <c r="EC19" s="120">
        <f t="shared" si="37"/>
        <v>0</v>
      </c>
      <c r="ED19" s="120">
        <f t="shared" si="38"/>
        <v>0</v>
      </c>
      <c r="EE19" s="120">
        <f t="shared" si="39"/>
        <v>0</v>
      </c>
      <c r="EF19" s="120">
        <f t="shared" si="40"/>
        <v>0</v>
      </c>
      <c r="EG19" s="120">
        <f t="shared" si="41"/>
        <v>0</v>
      </c>
      <c r="EH19" s="120">
        <f t="shared" si="42"/>
        <v>0</v>
      </c>
      <c r="EI19" s="120">
        <f t="shared" si="43"/>
        <v>0</v>
      </c>
      <c r="EJ19" s="120">
        <f t="shared" si="44"/>
        <v>0</v>
      </c>
      <c r="EK19" s="120">
        <f t="shared" si="45"/>
        <v>0</v>
      </c>
      <c r="EL19" s="120">
        <f t="shared" si="46"/>
        <v>0</v>
      </c>
      <c r="EM19" s="120">
        <f t="shared" si="47"/>
        <v>0</v>
      </c>
      <c r="EN19" s="120">
        <f t="shared" si="48"/>
        <v>0</v>
      </c>
      <c r="EO19" s="120">
        <f t="shared" si="49"/>
        <v>0</v>
      </c>
      <c r="EP19" s="120">
        <f t="shared" si="50"/>
        <v>0</v>
      </c>
      <c r="EQ19" s="120">
        <f t="shared" si="51"/>
        <v>0</v>
      </c>
      <c r="ER19" s="121"/>
      <c r="ES19" s="122">
        <f t="shared" si="52"/>
        <v>0</v>
      </c>
      <c r="ET19" s="121"/>
      <c r="EU19" s="134"/>
      <c r="EV19" s="124"/>
      <c r="EW19" s="125">
        <f t="shared" si="53"/>
        <v>0</v>
      </c>
      <c r="EX19" s="72"/>
      <c r="EY19" s="119">
        <f t="shared" si="54"/>
        <v>2446.5</v>
      </c>
      <c r="EZ19" s="120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0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0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0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0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0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0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0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0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0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0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0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0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0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0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0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0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0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0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0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0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0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0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0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0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0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0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0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0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0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0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0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0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0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0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1"/>
      <c r="GJ19" s="122">
        <f t="shared" ca="1" si="55"/>
        <v>0</v>
      </c>
      <c r="GK19" s="121"/>
      <c r="GL19" s="134"/>
      <c r="GM19" s="124"/>
      <c r="GN19" s="125">
        <f t="shared" ca="1" si="56"/>
        <v>0</v>
      </c>
    </row>
    <row r="20" spans="1:196" ht="15">
      <c r="A20" s="135" t="s">
        <v>411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9"/>
      <c r="K20" s="69"/>
      <c r="L20" s="69"/>
      <c r="M20" s="69"/>
      <c r="N20" s="144">
        <f t="shared" ref="N20:N23" si="76">IFERROR(+O20/$O$18-1,"")</f>
        <v>0.10250000000000004</v>
      </c>
      <c r="O20" s="279">
        <f t="shared" si="75"/>
        <v>2568.8250000000003</v>
      </c>
      <c r="P20" s="131">
        <f t="shared" si="4"/>
        <v>0</v>
      </c>
      <c r="Q20" s="131">
        <f t="shared" ca="1" si="5"/>
        <v>0</v>
      </c>
      <c r="R20" s="62"/>
      <c r="S20" s="240" t="str">
        <f t="shared" si="71"/>
        <v/>
      </c>
      <c r="T20" s="672">
        <f t="shared" si="73"/>
        <v>0</v>
      </c>
      <c r="U20" s="235"/>
      <c r="V20" s="673">
        <f t="shared" ca="1" si="59"/>
        <v>0</v>
      </c>
      <c r="W20" s="505" t="str">
        <f t="shared" si="60"/>
        <v/>
      </c>
      <c r="X20" s="505" t="str">
        <f t="shared" si="61"/>
        <v/>
      </c>
      <c r="Y20" s="503">
        <f>IFERROR(VLOOKUP($X20,HomeBroker!$A$22:$F$100,2,0),0)</f>
        <v>0</v>
      </c>
      <c r="Z20" s="503">
        <f>IFERROR(VLOOKUP($X20,HomeBroker!$A$22:$F$100,3,0),0)</f>
        <v>0</v>
      </c>
      <c r="AA20" s="237">
        <f>IFERROR(VLOOKUP($X20,HomeBroker!$A$22:$F$100,6,0),0)</f>
        <v>0</v>
      </c>
      <c r="AB20" s="503">
        <f>IFERROR(VLOOKUP($X20,HomeBroker!$A$22:$F$100,4,0),0)</f>
        <v>0</v>
      </c>
      <c r="AC20" s="503">
        <f>IFERROR(VLOOKUP($X20,HomeBroker!$A$22:$F$100,5,0),0)</f>
        <v>0</v>
      </c>
      <c r="AD20" s="506">
        <f>IFERROR(VLOOKUP($X20,HomeBroker!$A$22:$N$100,14,0),0)</f>
        <v>0</v>
      </c>
      <c r="AE20" s="241" t="str">
        <f t="shared" si="62"/>
        <v/>
      </c>
      <c r="AF20" s="110">
        <f t="shared" si="74"/>
        <v>0</v>
      </c>
      <c r="AG20" s="235"/>
      <c r="AH20" s="504">
        <f t="shared" ca="1" si="64"/>
        <v>0</v>
      </c>
      <c r="AI20" s="505" t="str">
        <f t="shared" si="65"/>
        <v/>
      </c>
      <c r="AJ20" s="505" t="str">
        <f t="shared" si="66"/>
        <v/>
      </c>
      <c r="AK20" s="507">
        <f>IFERROR(VLOOKUP($AJ20,HomeBroker!$A$22:$F$100,2,0),0)</f>
        <v>0</v>
      </c>
      <c r="AL20" s="503">
        <f>IFERROR(VLOOKUP($AJ20,HomeBroker!$A$22:$F$100,3,0),0)</f>
        <v>0</v>
      </c>
      <c r="AM20" s="237">
        <f>IFERROR(VLOOKUP($AJ20,HomeBroker!$A$22:$F$100,6,0),0)</f>
        <v>0</v>
      </c>
      <c r="AN20" s="503">
        <f>IFERROR(VLOOKUP($AJ20,HomeBroker!$A$22:$F$100,4,0),0)</f>
        <v>0</v>
      </c>
      <c r="AO20" s="507">
        <f>IFERROR(VLOOKUP($AJ20,HomeBroker!$A$22:$F$100,5,0),0)</f>
        <v>0</v>
      </c>
      <c r="AP20" s="507">
        <f>IFERROR(VLOOKUP($AJ20,HomeBroker!$A$22:$N$100,14,0),0)</f>
        <v>0</v>
      </c>
      <c r="AQ20" s="62"/>
      <c r="AR20" s="240" t="str">
        <f t="shared" si="67"/>
        <v>-</v>
      </c>
      <c r="AS20" s="240" t="str">
        <f t="shared" si="68"/>
        <v>-</v>
      </c>
      <c r="AT20" s="240" t="str">
        <f t="shared" si="69"/>
        <v>-</v>
      </c>
      <c r="AU20" s="62"/>
      <c r="AV20" s="112"/>
      <c r="AW20" s="132" t="s">
        <v>354</v>
      </c>
      <c r="AX20" s="114"/>
      <c r="AY20" s="136"/>
      <c r="AZ20" s="137"/>
      <c r="BA20" s="285">
        <f t="shared" si="10"/>
        <v>0</v>
      </c>
      <c r="BB20" s="286">
        <f t="shared" si="11"/>
        <v>0</v>
      </c>
      <c r="BC20" s="116" t="s">
        <v>408</v>
      </c>
      <c r="BD20" s="114"/>
      <c r="BE20" s="139"/>
      <c r="BF20" s="117"/>
      <c r="BG20" s="287">
        <f t="shared" si="12"/>
        <v>0</v>
      </c>
      <c r="BH20" s="289">
        <f t="shared" si="13"/>
        <v>0</v>
      </c>
      <c r="BI20" s="118" t="s">
        <v>409</v>
      </c>
      <c r="BJ20" s="114"/>
      <c r="BK20" s="117"/>
      <c r="BL20" s="290">
        <f t="shared" si="14"/>
        <v>0</v>
      </c>
      <c r="BM20" s="291">
        <f t="shared" si="15"/>
        <v>0</v>
      </c>
      <c r="DH20" s="119">
        <f t="shared" si="16"/>
        <v>2568.8250000000003</v>
      </c>
      <c r="DI20" s="120">
        <f t="shared" si="17"/>
        <v>0</v>
      </c>
      <c r="DJ20" s="120">
        <f t="shared" si="18"/>
        <v>0</v>
      </c>
      <c r="DK20" s="120">
        <f t="shared" si="19"/>
        <v>0</v>
      </c>
      <c r="DL20" s="120">
        <f t="shared" si="20"/>
        <v>0</v>
      </c>
      <c r="DM20" s="120">
        <f t="shared" si="21"/>
        <v>0</v>
      </c>
      <c r="DN20" s="120">
        <f t="shared" si="22"/>
        <v>0</v>
      </c>
      <c r="DO20" s="120">
        <f t="shared" si="23"/>
        <v>0</v>
      </c>
      <c r="DP20" s="120">
        <f t="shared" si="24"/>
        <v>0</v>
      </c>
      <c r="DQ20" s="120">
        <f t="shared" si="25"/>
        <v>0</v>
      </c>
      <c r="DR20" s="120">
        <f t="shared" si="26"/>
        <v>0</v>
      </c>
      <c r="DS20" s="120">
        <f t="shared" si="27"/>
        <v>0</v>
      </c>
      <c r="DT20" s="120">
        <f t="shared" si="28"/>
        <v>0</v>
      </c>
      <c r="DU20" s="120">
        <f t="shared" si="29"/>
        <v>0</v>
      </c>
      <c r="DV20" s="120">
        <f t="shared" si="30"/>
        <v>0</v>
      </c>
      <c r="DW20" s="120">
        <f t="shared" si="31"/>
        <v>0</v>
      </c>
      <c r="DX20" s="120">
        <f t="shared" si="32"/>
        <v>0</v>
      </c>
      <c r="DY20" s="120">
        <f t="shared" si="33"/>
        <v>0</v>
      </c>
      <c r="DZ20" s="120">
        <f t="shared" si="34"/>
        <v>0</v>
      </c>
      <c r="EA20" s="120">
        <f t="shared" si="35"/>
        <v>0</v>
      </c>
      <c r="EB20" s="120">
        <f t="shared" si="36"/>
        <v>0</v>
      </c>
      <c r="EC20" s="120">
        <f t="shared" si="37"/>
        <v>0</v>
      </c>
      <c r="ED20" s="120">
        <f t="shared" si="38"/>
        <v>0</v>
      </c>
      <c r="EE20" s="120">
        <f t="shared" si="39"/>
        <v>0</v>
      </c>
      <c r="EF20" s="120">
        <f t="shared" si="40"/>
        <v>0</v>
      </c>
      <c r="EG20" s="120">
        <f t="shared" si="41"/>
        <v>0</v>
      </c>
      <c r="EH20" s="120">
        <f t="shared" si="42"/>
        <v>0</v>
      </c>
      <c r="EI20" s="120">
        <f t="shared" si="43"/>
        <v>0</v>
      </c>
      <c r="EJ20" s="120">
        <f t="shared" si="44"/>
        <v>0</v>
      </c>
      <c r="EK20" s="120">
        <f t="shared" si="45"/>
        <v>0</v>
      </c>
      <c r="EL20" s="120">
        <f t="shared" si="46"/>
        <v>0</v>
      </c>
      <c r="EM20" s="120">
        <f t="shared" si="47"/>
        <v>0</v>
      </c>
      <c r="EN20" s="120">
        <f t="shared" si="48"/>
        <v>0</v>
      </c>
      <c r="EO20" s="120">
        <f t="shared" si="49"/>
        <v>0</v>
      </c>
      <c r="EP20" s="120">
        <f t="shared" si="50"/>
        <v>0</v>
      </c>
      <c r="EQ20" s="120">
        <f t="shared" si="51"/>
        <v>0</v>
      </c>
      <c r="ER20" s="121"/>
      <c r="ES20" s="122">
        <f t="shared" si="52"/>
        <v>0</v>
      </c>
      <c r="ET20" s="121"/>
      <c r="EU20" s="134"/>
      <c r="EV20" s="124"/>
      <c r="EW20" s="125">
        <f t="shared" si="53"/>
        <v>0</v>
      </c>
      <c r="EX20" s="72"/>
      <c r="EY20" s="119">
        <f t="shared" si="54"/>
        <v>2568.8250000000003</v>
      </c>
      <c r="EZ20" s="120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0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0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0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0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0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0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0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0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0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0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0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0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0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0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0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0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0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0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0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0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0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0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0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0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0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0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0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0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0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0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0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0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0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0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1"/>
      <c r="GJ20" s="122">
        <f t="shared" ca="1" si="55"/>
        <v>0</v>
      </c>
      <c r="GK20" s="121"/>
      <c r="GL20" s="134"/>
      <c r="GM20" s="124"/>
      <c r="GN20" s="125">
        <f t="shared" ca="1" si="56"/>
        <v>0</v>
      </c>
    </row>
    <row r="21" spans="1:196" ht="15">
      <c r="A21" s="105" t="s">
        <v>407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9"/>
      <c r="K21" s="69"/>
      <c r="L21" s="69"/>
      <c r="M21" s="69"/>
      <c r="N21" s="144">
        <f t="shared" si="76"/>
        <v>0.15762500000000035</v>
      </c>
      <c r="O21" s="279">
        <f t="shared" si="75"/>
        <v>2697.2662500000006</v>
      </c>
      <c r="P21" s="138">
        <f t="shared" si="4"/>
        <v>0</v>
      </c>
      <c r="Q21" s="138">
        <f t="shared" ca="1" si="5"/>
        <v>0</v>
      </c>
      <c r="R21" s="62"/>
      <c r="S21" s="240" t="str">
        <f t="shared" si="71"/>
        <v/>
      </c>
      <c r="T21" s="672">
        <f t="shared" si="73"/>
        <v>0</v>
      </c>
      <c r="U21" s="235"/>
      <c r="V21" s="673">
        <f t="shared" ca="1" si="59"/>
        <v>0</v>
      </c>
      <c r="W21" s="505" t="str">
        <f t="shared" si="60"/>
        <v/>
      </c>
      <c r="X21" s="505" t="str">
        <f t="shared" si="61"/>
        <v/>
      </c>
      <c r="Y21" s="503">
        <f>IFERROR(VLOOKUP($X21,HomeBroker!$A$22:$F$100,2,0),0)</f>
        <v>0</v>
      </c>
      <c r="Z21" s="503">
        <f>IFERROR(VLOOKUP($X21,HomeBroker!$A$22:$F$100,3,0),0)</f>
        <v>0</v>
      </c>
      <c r="AA21" s="237">
        <f>IFERROR(VLOOKUP($X21,HomeBroker!$A$22:$F$100,6,0),0)</f>
        <v>0</v>
      </c>
      <c r="AB21" s="503">
        <f>IFERROR(VLOOKUP($X21,HomeBroker!$A$22:$F$100,4,0),0)</f>
        <v>0</v>
      </c>
      <c r="AC21" s="503">
        <f>IFERROR(VLOOKUP($X21,HomeBroker!$A$22:$F$100,5,0),0)</f>
        <v>0</v>
      </c>
      <c r="AD21" s="506">
        <f>IFERROR(VLOOKUP($X21,HomeBroker!$A$22:$N$100,14,0),0)</f>
        <v>0</v>
      </c>
      <c r="AE21" s="241" t="str">
        <f t="shared" si="62"/>
        <v/>
      </c>
      <c r="AF21" s="110">
        <f t="shared" si="74"/>
        <v>0</v>
      </c>
      <c r="AG21" s="235"/>
      <c r="AH21" s="504">
        <f t="shared" ca="1" si="64"/>
        <v>0</v>
      </c>
      <c r="AI21" s="505" t="str">
        <f t="shared" si="65"/>
        <v/>
      </c>
      <c r="AJ21" s="505" t="str">
        <f t="shared" si="66"/>
        <v/>
      </c>
      <c r="AK21" s="507">
        <f>IFERROR(VLOOKUP($AJ21,HomeBroker!$A$22:$F$100,2,0),0)</f>
        <v>0</v>
      </c>
      <c r="AL21" s="503">
        <f>IFERROR(VLOOKUP($AJ21,HomeBroker!$A$22:$F$100,3,0),0)</f>
        <v>0</v>
      </c>
      <c r="AM21" s="237">
        <f>IFERROR(VLOOKUP($AJ21,HomeBroker!$A$22:$F$100,6,0),0)</f>
        <v>0</v>
      </c>
      <c r="AN21" s="503">
        <f>IFERROR(VLOOKUP($AJ21,HomeBroker!$A$22:$F$100,4,0),0)</f>
        <v>0</v>
      </c>
      <c r="AO21" s="507">
        <f>IFERROR(VLOOKUP($AJ21,HomeBroker!$A$22:$F$100,5,0),0)</f>
        <v>0</v>
      </c>
      <c r="AP21" s="507">
        <f>IFERROR(VLOOKUP($AJ21,HomeBroker!$A$22:$N$100,14,0),0)</f>
        <v>0</v>
      </c>
      <c r="AQ21" s="62"/>
      <c r="AR21" s="240" t="str">
        <f t="shared" si="67"/>
        <v>-</v>
      </c>
      <c r="AS21" s="240" t="str">
        <f t="shared" si="68"/>
        <v>-</v>
      </c>
      <c r="AT21" s="240" t="str">
        <f t="shared" si="69"/>
        <v>-</v>
      </c>
      <c r="AU21" s="62"/>
      <c r="AV21" s="112"/>
      <c r="AW21" s="132" t="s">
        <v>354</v>
      </c>
      <c r="AX21" s="114"/>
      <c r="AY21" s="136"/>
      <c r="AZ21" s="137"/>
      <c r="BA21" s="285">
        <f t="shared" si="10"/>
        <v>0</v>
      </c>
      <c r="BB21" s="286">
        <f t="shared" si="11"/>
        <v>0</v>
      </c>
      <c r="BC21" s="116" t="s">
        <v>408</v>
      </c>
      <c r="BD21" s="114"/>
      <c r="BE21" s="139"/>
      <c r="BF21" s="117"/>
      <c r="BG21" s="287">
        <f t="shared" si="12"/>
        <v>0</v>
      </c>
      <c r="BH21" s="289">
        <f t="shared" si="13"/>
        <v>0</v>
      </c>
      <c r="BI21" s="118" t="s">
        <v>409</v>
      </c>
      <c r="BJ21" s="114"/>
      <c r="BK21" s="117"/>
      <c r="BL21" s="290">
        <f t="shared" si="14"/>
        <v>0</v>
      </c>
      <c r="BM21" s="291">
        <f t="shared" si="15"/>
        <v>0</v>
      </c>
      <c r="DH21" s="119">
        <f t="shared" si="16"/>
        <v>2697.2662500000006</v>
      </c>
      <c r="DI21" s="120">
        <f t="shared" si="17"/>
        <v>0</v>
      </c>
      <c r="DJ21" s="120">
        <f t="shared" si="18"/>
        <v>0</v>
      </c>
      <c r="DK21" s="120">
        <f t="shared" si="19"/>
        <v>0</v>
      </c>
      <c r="DL21" s="120">
        <f t="shared" si="20"/>
        <v>0</v>
      </c>
      <c r="DM21" s="120">
        <f t="shared" si="21"/>
        <v>0</v>
      </c>
      <c r="DN21" s="120">
        <f t="shared" si="22"/>
        <v>0</v>
      </c>
      <c r="DO21" s="120">
        <f t="shared" si="23"/>
        <v>0</v>
      </c>
      <c r="DP21" s="120">
        <f t="shared" si="24"/>
        <v>0</v>
      </c>
      <c r="DQ21" s="120">
        <f t="shared" si="25"/>
        <v>0</v>
      </c>
      <c r="DR21" s="120">
        <f t="shared" si="26"/>
        <v>0</v>
      </c>
      <c r="DS21" s="120">
        <f t="shared" si="27"/>
        <v>0</v>
      </c>
      <c r="DT21" s="120">
        <f t="shared" si="28"/>
        <v>0</v>
      </c>
      <c r="DU21" s="120">
        <f t="shared" si="29"/>
        <v>0</v>
      </c>
      <c r="DV21" s="120">
        <f t="shared" si="30"/>
        <v>0</v>
      </c>
      <c r="DW21" s="120">
        <f t="shared" si="31"/>
        <v>0</v>
      </c>
      <c r="DX21" s="120">
        <f t="shared" si="32"/>
        <v>0</v>
      </c>
      <c r="DY21" s="120">
        <f t="shared" si="33"/>
        <v>0</v>
      </c>
      <c r="DZ21" s="120">
        <f t="shared" si="34"/>
        <v>0</v>
      </c>
      <c r="EA21" s="120">
        <f t="shared" si="35"/>
        <v>0</v>
      </c>
      <c r="EB21" s="120">
        <f t="shared" si="36"/>
        <v>0</v>
      </c>
      <c r="EC21" s="120">
        <f t="shared" si="37"/>
        <v>0</v>
      </c>
      <c r="ED21" s="120">
        <f t="shared" si="38"/>
        <v>0</v>
      </c>
      <c r="EE21" s="120">
        <f t="shared" si="39"/>
        <v>0</v>
      </c>
      <c r="EF21" s="120">
        <f t="shared" si="40"/>
        <v>0</v>
      </c>
      <c r="EG21" s="120">
        <f t="shared" si="41"/>
        <v>0</v>
      </c>
      <c r="EH21" s="120">
        <f t="shared" si="42"/>
        <v>0</v>
      </c>
      <c r="EI21" s="120">
        <f t="shared" si="43"/>
        <v>0</v>
      </c>
      <c r="EJ21" s="120">
        <f t="shared" si="44"/>
        <v>0</v>
      </c>
      <c r="EK21" s="120">
        <f t="shared" si="45"/>
        <v>0</v>
      </c>
      <c r="EL21" s="120">
        <f t="shared" si="46"/>
        <v>0</v>
      </c>
      <c r="EM21" s="120">
        <f t="shared" si="47"/>
        <v>0</v>
      </c>
      <c r="EN21" s="120">
        <f t="shared" si="48"/>
        <v>0</v>
      </c>
      <c r="EO21" s="120">
        <f t="shared" si="49"/>
        <v>0</v>
      </c>
      <c r="EP21" s="120">
        <f t="shared" si="50"/>
        <v>0</v>
      </c>
      <c r="EQ21" s="120">
        <f t="shared" si="51"/>
        <v>0</v>
      </c>
      <c r="ER21" s="121"/>
      <c r="ES21" s="122">
        <f t="shared" si="52"/>
        <v>0</v>
      </c>
      <c r="ET21" s="121"/>
      <c r="EU21" s="134"/>
      <c r="EV21" s="124"/>
      <c r="EW21" s="125">
        <f t="shared" si="53"/>
        <v>0</v>
      </c>
      <c r="EX21" s="72"/>
      <c r="EY21" s="119">
        <f t="shared" si="54"/>
        <v>2697.2662500000006</v>
      </c>
      <c r="EZ21" s="120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0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0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0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0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0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0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0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0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0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0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0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0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0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0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0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0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0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0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0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0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0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0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0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0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0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0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0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0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0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0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0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0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0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0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1"/>
      <c r="GJ21" s="122">
        <f t="shared" ca="1" si="55"/>
        <v>0</v>
      </c>
      <c r="GK21" s="121"/>
      <c r="GL21" s="134"/>
      <c r="GM21" s="124"/>
      <c r="GN21" s="125">
        <f t="shared" ca="1" si="56"/>
        <v>0</v>
      </c>
    </row>
    <row r="22" spans="1:196" ht="15">
      <c r="A22" s="126" t="s">
        <v>410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7" t="str">
        <f>IFERROR(D21/D22,"")</f>
        <v/>
      </c>
      <c r="K22" s="128" t="str">
        <f>IFERROR(G21/G22,"")</f>
        <v/>
      </c>
      <c r="L22" s="129" t="str">
        <f>IFERROR(K22/J22-1,"")</f>
        <v/>
      </c>
      <c r="M22" s="130">
        <f>I21+I22</f>
        <v>0</v>
      </c>
      <c r="N22" s="144">
        <f t="shared" si="76"/>
        <v>0.21550625000000023</v>
      </c>
      <c r="O22" s="279">
        <f t="shared" si="75"/>
        <v>2832.1295625000007</v>
      </c>
      <c r="P22" s="131">
        <f t="shared" si="4"/>
        <v>0</v>
      </c>
      <c r="Q22" s="131">
        <f t="shared" ca="1" si="5"/>
        <v>0</v>
      </c>
      <c r="R22" s="62"/>
      <c r="S22" s="240" t="str">
        <f t="shared" si="71"/>
        <v/>
      </c>
      <c r="T22" s="672">
        <f t="shared" si="73"/>
        <v>0</v>
      </c>
      <c r="U22" s="235"/>
      <c r="V22" s="673">
        <f t="shared" ca="1" si="59"/>
        <v>0</v>
      </c>
      <c r="W22" s="505" t="str">
        <f t="shared" si="60"/>
        <v/>
      </c>
      <c r="X22" s="505" t="str">
        <f t="shared" si="61"/>
        <v/>
      </c>
      <c r="Y22" s="503">
        <f>IFERROR(VLOOKUP($X22,HomeBroker!$A$22:$F$100,2,0),0)</f>
        <v>0</v>
      </c>
      <c r="Z22" s="503">
        <f>IFERROR(VLOOKUP($X22,HomeBroker!$A$22:$F$100,3,0),0)</f>
        <v>0</v>
      </c>
      <c r="AA22" s="237">
        <f>IFERROR(VLOOKUP($X22,HomeBroker!$A$22:$F$100,6,0),0)</f>
        <v>0</v>
      </c>
      <c r="AB22" s="503">
        <f>IFERROR(VLOOKUP($X22,HomeBroker!$A$22:$F$100,4,0),0)</f>
        <v>0</v>
      </c>
      <c r="AC22" s="503">
        <f>IFERROR(VLOOKUP($X22,HomeBroker!$A$22:$F$100,5,0),0)</f>
        <v>0</v>
      </c>
      <c r="AD22" s="506">
        <f>IFERROR(VLOOKUP($X22,HomeBroker!$A$22:$N$100,14,0),0)</f>
        <v>0</v>
      </c>
      <c r="AE22" s="241" t="str">
        <f t="shared" si="62"/>
        <v/>
      </c>
      <c r="AF22" s="110">
        <f t="shared" si="74"/>
        <v>0</v>
      </c>
      <c r="AG22" s="235"/>
      <c r="AH22" s="504">
        <f t="shared" ca="1" si="64"/>
        <v>0</v>
      </c>
      <c r="AI22" s="505" t="str">
        <f t="shared" si="65"/>
        <v/>
      </c>
      <c r="AJ22" s="505" t="str">
        <f t="shared" si="66"/>
        <v/>
      </c>
      <c r="AK22" s="507">
        <f>IFERROR(VLOOKUP($AJ22,HomeBroker!$A$22:$F$100,2,0),0)</f>
        <v>0</v>
      </c>
      <c r="AL22" s="503">
        <f>IFERROR(VLOOKUP($AJ22,HomeBroker!$A$22:$F$100,3,0),0)</f>
        <v>0</v>
      </c>
      <c r="AM22" s="237">
        <f>IFERROR(VLOOKUP($AJ22,HomeBroker!$A$22:$F$100,6,0),0)</f>
        <v>0</v>
      </c>
      <c r="AN22" s="503">
        <f>IFERROR(VLOOKUP($AJ22,HomeBroker!$A$22:$F$100,4,0),0)</f>
        <v>0</v>
      </c>
      <c r="AO22" s="507">
        <f>IFERROR(VLOOKUP($AJ22,HomeBroker!$A$22:$F$100,5,0),0)</f>
        <v>0</v>
      </c>
      <c r="AP22" s="507">
        <f>IFERROR(VLOOKUP($AJ22,HomeBroker!$A$22:$N$100,14,0),0)</f>
        <v>0</v>
      </c>
      <c r="AQ22" s="62"/>
      <c r="AR22" s="240" t="str">
        <f t="shared" si="67"/>
        <v>-</v>
      </c>
      <c r="AS22" s="240" t="str">
        <f t="shared" si="68"/>
        <v>-</v>
      </c>
      <c r="AT22" s="240" t="str">
        <f t="shared" si="69"/>
        <v>-</v>
      </c>
      <c r="AU22" s="62"/>
      <c r="AV22" s="112"/>
      <c r="AW22" s="132" t="s">
        <v>354</v>
      </c>
      <c r="AX22" s="114"/>
      <c r="AY22" s="136"/>
      <c r="AZ22" s="137"/>
      <c r="BA22" s="285">
        <f t="shared" si="10"/>
        <v>0</v>
      </c>
      <c r="BB22" s="286">
        <f t="shared" si="11"/>
        <v>0</v>
      </c>
      <c r="BC22" s="116" t="s">
        <v>408</v>
      </c>
      <c r="BD22" s="114"/>
      <c r="BE22" s="139"/>
      <c r="BF22" s="117"/>
      <c r="BG22" s="287">
        <f t="shared" si="12"/>
        <v>0</v>
      </c>
      <c r="BH22" s="289">
        <f t="shared" si="13"/>
        <v>0</v>
      </c>
      <c r="BI22" s="118" t="s">
        <v>409</v>
      </c>
      <c r="BJ22" s="114"/>
      <c r="BK22" s="117"/>
      <c r="BL22" s="290">
        <f t="shared" si="14"/>
        <v>0</v>
      </c>
      <c r="BM22" s="291">
        <f t="shared" si="15"/>
        <v>0</v>
      </c>
      <c r="DH22" s="119">
        <f t="shared" si="16"/>
        <v>2832.1295625000007</v>
      </c>
      <c r="DI22" s="120">
        <f t="shared" si="17"/>
        <v>0</v>
      </c>
      <c r="DJ22" s="120">
        <f t="shared" si="18"/>
        <v>0</v>
      </c>
      <c r="DK22" s="120">
        <f t="shared" si="19"/>
        <v>0</v>
      </c>
      <c r="DL22" s="120">
        <f t="shared" si="20"/>
        <v>0</v>
      </c>
      <c r="DM22" s="120">
        <f t="shared" si="21"/>
        <v>0</v>
      </c>
      <c r="DN22" s="120">
        <f t="shared" si="22"/>
        <v>0</v>
      </c>
      <c r="DO22" s="120">
        <f t="shared" si="23"/>
        <v>0</v>
      </c>
      <c r="DP22" s="120">
        <f t="shared" si="24"/>
        <v>0</v>
      </c>
      <c r="DQ22" s="120">
        <f t="shared" si="25"/>
        <v>0</v>
      </c>
      <c r="DR22" s="120">
        <f t="shared" si="26"/>
        <v>0</v>
      </c>
      <c r="DS22" s="120">
        <f t="shared" si="27"/>
        <v>0</v>
      </c>
      <c r="DT22" s="120">
        <f t="shared" si="28"/>
        <v>0</v>
      </c>
      <c r="DU22" s="120">
        <f t="shared" si="29"/>
        <v>0</v>
      </c>
      <c r="DV22" s="120">
        <f t="shared" si="30"/>
        <v>0</v>
      </c>
      <c r="DW22" s="120">
        <f t="shared" si="31"/>
        <v>0</v>
      </c>
      <c r="DX22" s="120">
        <f t="shared" si="32"/>
        <v>0</v>
      </c>
      <c r="DY22" s="120">
        <f t="shared" si="33"/>
        <v>0</v>
      </c>
      <c r="DZ22" s="120">
        <f t="shared" si="34"/>
        <v>0</v>
      </c>
      <c r="EA22" s="120">
        <f t="shared" si="35"/>
        <v>0</v>
      </c>
      <c r="EB22" s="120">
        <f t="shared" si="36"/>
        <v>0</v>
      </c>
      <c r="EC22" s="120">
        <f t="shared" si="37"/>
        <v>0</v>
      </c>
      <c r="ED22" s="120">
        <f t="shared" si="38"/>
        <v>0</v>
      </c>
      <c r="EE22" s="120">
        <f t="shared" si="39"/>
        <v>0</v>
      </c>
      <c r="EF22" s="120">
        <f t="shared" si="40"/>
        <v>0</v>
      </c>
      <c r="EG22" s="120">
        <f t="shared" si="41"/>
        <v>0</v>
      </c>
      <c r="EH22" s="120">
        <f t="shared" si="42"/>
        <v>0</v>
      </c>
      <c r="EI22" s="120">
        <f t="shared" si="43"/>
        <v>0</v>
      </c>
      <c r="EJ22" s="120">
        <f t="shared" si="44"/>
        <v>0</v>
      </c>
      <c r="EK22" s="120">
        <f t="shared" si="45"/>
        <v>0</v>
      </c>
      <c r="EL22" s="120">
        <f t="shared" si="46"/>
        <v>0</v>
      </c>
      <c r="EM22" s="120">
        <f t="shared" si="47"/>
        <v>0</v>
      </c>
      <c r="EN22" s="120">
        <f t="shared" si="48"/>
        <v>0</v>
      </c>
      <c r="EO22" s="120">
        <f t="shared" si="49"/>
        <v>0</v>
      </c>
      <c r="EP22" s="120">
        <f t="shared" si="50"/>
        <v>0</v>
      </c>
      <c r="EQ22" s="120">
        <f t="shared" si="51"/>
        <v>0</v>
      </c>
      <c r="ER22" s="121"/>
      <c r="ES22" s="122">
        <f t="shared" si="52"/>
        <v>0</v>
      </c>
      <c r="ET22" s="121"/>
      <c r="EU22" s="134"/>
      <c r="EV22" s="124"/>
      <c r="EW22" s="125">
        <f t="shared" si="53"/>
        <v>0</v>
      </c>
      <c r="EX22" s="72"/>
      <c r="EY22" s="119">
        <f t="shared" si="54"/>
        <v>2832.1295625000007</v>
      </c>
      <c r="EZ22" s="120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0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0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0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0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0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0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0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0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0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0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0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0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0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0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0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0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0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0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0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0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0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0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0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0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0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0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0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0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0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0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0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0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0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0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1"/>
      <c r="GJ22" s="122">
        <f t="shared" ca="1" si="55"/>
        <v>0</v>
      </c>
      <c r="GK22" s="121"/>
      <c r="GL22" s="134"/>
      <c r="GM22" s="124"/>
      <c r="GN22" s="125">
        <f t="shared" ca="1" si="56"/>
        <v>0</v>
      </c>
    </row>
    <row r="23" spans="1:196" ht="15">
      <c r="A23" s="135" t="s">
        <v>411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9"/>
      <c r="K23" s="69"/>
      <c r="L23" s="69"/>
      <c r="M23" s="69"/>
      <c r="N23" s="144">
        <f t="shared" si="76"/>
        <v>0.27628156250000035</v>
      </c>
      <c r="O23" s="279">
        <f t="shared" si="75"/>
        <v>2973.7360406250009</v>
      </c>
      <c r="P23" s="131">
        <f t="shared" si="4"/>
        <v>0</v>
      </c>
      <c r="Q23" s="131">
        <f t="shared" ca="1" si="5"/>
        <v>0</v>
      </c>
      <c r="R23" s="62"/>
      <c r="S23" s="240" t="str">
        <f t="shared" si="71"/>
        <v/>
      </c>
      <c r="T23" s="672">
        <f t="shared" si="73"/>
        <v>0</v>
      </c>
      <c r="U23" s="235"/>
      <c r="V23" s="673">
        <f t="shared" ca="1" si="59"/>
        <v>0</v>
      </c>
      <c r="W23" s="505" t="str">
        <f t="shared" si="60"/>
        <v/>
      </c>
      <c r="X23" s="505" t="str">
        <f t="shared" si="61"/>
        <v/>
      </c>
      <c r="Y23" s="503">
        <f>IFERROR(VLOOKUP($X23,HomeBroker!$A$22:$F$100,2,0),0)</f>
        <v>0</v>
      </c>
      <c r="Z23" s="503">
        <f>IFERROR(VLOOKUP($X23,HomeBroker!$A$22:$F$100,3,0),0)</f>
        <v>0</v>
      </c>
      <c r="AA23" s="237">
        <f>IFERROR(VLOOKUP($X23,HomeBroker!$A$22:$F$100,6,0),0)</f>
        <v>0</v>
      </c>
      <c r="AB23" s="503">
        <f>IFERROR(VLOOKUP($X23,HomeBroker!$A$22:$F$100,4,0),0)</f>
        <v>0</v>
      </c>
      <c r="AC23" s="503">
        <f>IFERROR(VLOOKUP($X23,HomeBroker!$A$22:$F$100,5,0),0)</f>
        <v>0</v>
      </c>
      <c r="AD23" s="506">
        <f>IFERROR(VLOOKUP($X23,HomeBroker!$A$22:$N$100,14,0),0)</f>
        <v>0</v>
      </c>
      <c r="AE23" s="241" t="str">
        <f t="shared" si="62"/>
        <v/>
      </c>
      <c r="AF23" s="110">
        <f t="shared" si="74"/>
        <v>0</v>
      </c>
      <c r="AG23" s="235"/>
      <c r="AH23" s="504">
        <f t="shared" ca="1" si="64"/>
        <v>0</v>
      </c>
      <c r="AI23" s="505" t="str">
        <f t="shared" si="65"/>
        <v/>
      </c>
      <c r="AJ23" s="505" t="str">
        <f t="shared" si="66"/>
        <v/>
      </c>
      <c r="AK23" s="507">
        <f>IFERROR(VLOOKUP($AJ23,HomeBroker!$A$22:$F$100,2,0),0)</f>
        <v>0</v>
      </c>
      <c r="AL23" s="503">
        <f>IFERROR(VLOOKUP($AJ23,HomeBroker!$A$22:$F$100,3,0),0)</f>
        <v>0</v>
      </c>
      <c r="AM23" s="237">
        <f>IFERROR(VLOOKUP($AJ23,HomeBroker!$A$22:$F$100,6,0),0)</f>
        <v>0</v>
      </c>
      <c r="AN23" s="503">
        <f>IFERROR(VLOOKUP($AJ23,HomeBroker!$A$22:$F$100,4,0),0)</f>
        <v>0</v>
      </c>
      <c r="AO23" s="507">
        <f>IFERROR(VLOOKUP($AJ23,HomeBroker!$A$22:$F$100,5,0),0)</f>
        <v>0</v>
      </c>
      <c r="AP23" s="507">
        <f>IFERROR(VLOOKUP($AJ23,HomeBroker!$A$22:$N$100,14,0),0)</f>
        <v>0</v>
      </c>
      <c r="AQ23" s="62"/>
      <c r="AR23" s="240" t="str">
        <f t="shared" si="67"/>
        <v>-</v>
      </c>
      <c r="AS23" s="240" t="str">
        <f t="shared" si="68"/>
        <v>-</v>
      </c>
      <c r="AT23" s="240" t="str">
        <f t="shared" si="69"/>
        <v>-</v>
      </c>
      <c r="AU23" s="62"/>
      <c r="AV23" s="112"/>
      <c r="AW23" s="132" t="s">
        <v>354</v>
      </c>
      <c r="AX23" s="114"/>
      <c r="AY23" s="136"/>
      <c r="AZ23" s="137"/>
      <c r="BA23" s="285">
        <f t="shared" si="10"/>
        <v>0</v>
      </c>
      <c r="BB23" s="286">
        <f t="shared" si="11"/>
        <v>0</v>
      </c>
      <c r="BC23" s="116" t="s">
        <v>408</v>
      </c>
      <c r="BD23" s="114"/>
      <c r="BE23" s="139"/>
      <c r="BF23" s="117"/>
      <c r="BG23" s="287">
        <f t="shared" si="12"/>
        <v>0</v>
      </c>
      <c r="BH23" s="289">
        <f t="shared" si="13"/>
        <v>0</v>
      </c>
      <c r="BI23" s="118" t="s">
        <v>409</v>
      </c>
      <c r="BJ23" s="114"/>
      <c r="BK23" s="117"/>
      <c r="BL23" s="290">
        <f t="shared" si="14"/>
        <v>0</v>
      </c>
      <c r="BM23" s="291">
        <f t="shared" si="15"/>
        <v>0</v>
      </c>
      <c r="DH23" s="119">
        <f t="shared" si="16"/>
        <v>2973.7360406250009</v>
      </c>
      <c r="DI23" s="120">
        <f t="shared" si="17"/>
        <v>0</v>
      </c>
      <c r="DJ23" s="120">
        <f t="shared" si="18"/>
        <v>0</v>
      </c>
      <c r="DK23" s="120">
        <f t="shared" si="19"/>
        <v>0</v>
      </c>
      <c r="DL23" s="120">
        <f t="shared" si="20"/>
        <v>0</v>
      </c>
      <c r="DM23" s="120">
        <f t="shared" si="21"/>
        <v>0</v>
      </c>
      <c r="DN23" s="120">
        <f t="shared" si="22"/>
        <v>0</v>
      </c>
      <c r="DO23" s="120">
        <f t="shared" si="23"/>
        <v>0</v>
      </c>
      <c r="DP23" s="120">
        <f t="shared" si="24"/>
        <v>0</v>
      </c>
      <c r="DQ23" s="120">
        <f t="shared" si="25"/>
        <v>0</v>
      </c>
      <c r="DR23" s="120">
        <f t="shared" si="26"/>
        <v>0</v>
      </c>
      <c r="DS23" s="120">
        <f t="shared" si="27"/>
        <v>0</v>
      </c>
      <c r="DT23" s="120">
        <f t="shared" si="28"/>
        <v>0</v>
      </c>
      <c r="DU23" s="120">
        <f t="shared" si="29"/>
        <v>0</v>
      </c>
      <c r="DV23" s="120">
        <f t="shared" si="30"/>
        <v>0</v>
      </c>
      <c r="DW23" s="120">
        <f t="shared" si="31"/>
        <v>0</v>
      </c>
      <c r="DX23" s="120">
        <f t="shared" si="32"/>
        <v>0</v>
      </c>
      <c r="DY23" s="120">
        <f t="shared" si="33"/>
        <v>0</v>
      </c>
      <c r="DZ23" s="120">
        <f t="shared" si="34"/>
        <v>0</v>
      </c>
      <c r="EA23" s="120">
        <f t="shared" si="35"/>
        <v>0</v>
      </c>
      <c r="EB23" s="120">
        <f t="shared" si="36"/>
        <v>0</v>
      </c>
      <c r="EC23" s="120">
        <f t="shared" si="37"/>
        <v>0</v>
      </c>
      <c r="ED23" s="120">
        <f t="shared" si="38"/>
        <v>0</v>
      </c>
      <c r="EE23" s="120">
        <f t="shared" si="39"/>
        <v>0</v>
      </c>
      <c r="EF23" s="120">
        <f t="shared" si="40"/>
        <v>0</v>
      </c>
      <c r="EG23" s="120">
        <f t="shared" si="41"/>
        <v>0</v>
      </c>
      <c r="EH23" s="120">
        <f t="shared" si="42"/>
        <v>0</v>
      </c>
      <c r="EI23" s="120">
        <f t="shared" si="43"/>
        <v>0</v>
      </c>
      <c r="EJ23" s="120">
        <f t="shared" si="44"/>
        <v>0</v>
      </c>
      <c r="EK23" s="120">
        <f t="shared" si="45"/>
        <v>0</v>
      </c>
      <c r="EL23" s="120">
        <f t="shared" si="46"/>
        <v>0</v>
      </c>
      <c r="EM23" s="120">
        <f t="shared" si="47"/>
        <v>0</v>
      </c>
      <c r="EN23" s="120">
        <f t="shared" si="48"/>
        <v>0</v>
      </c>
      <c r="EO23" s="120">
        <f t="shared" si="49"/>
        <v>0</v>
      </c>
      <c r="EP23" s="120">
        <f t="shared" si="50"/>
        <v>0</v>
      </c>
      <c r="EQ23" s="120">
        <f t="shared" si="51"/>
        <v>0</v>
      </c>
      <c r="ER23" s="121"/>
      <c r="ES23" s="122">
        <f t="shared" si="52"/>
        <v>0</v>
      </c>
      <c r="ET23" s="121"/>
      <c r="EU23" s="134"/>
      <c r="EV23" s="124"/>
      <c r="EW23" s="125">
        <f t="shared" si="53"/>
        <v>0</v>
      </c>
      <c r="EX23" s="72"/>
      <c r="EY23" s="119">
        <f t="shared" si="54"/>
        <v>2973.7360406250009</v>
      </c>
      <c r="EZ23" s="120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0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0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0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0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0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0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0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0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0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0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0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0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0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0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0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0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0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0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0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0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0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0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0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0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0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0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0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0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0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0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0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0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0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0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1"/>
      <c r="GJ23" s="122">
        <f t="shared" ca="1" si="55"/>
        <v>0</v>
      </c>
      <c r="GK23" s="121"/>
      <c r="GL23" s="134"/>
      <c r="GM23" s="124"/>
      <c r="GN23" s="125">
        <f t="shared" ca="1" si="56"/>
        <v>0</v>
      </c>
    </row>
    <row r="24" spans="1:196" ht="15">
      <c r="A24" s="105" t="s">
        <v>407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9"/>
      <c r="K24" s="69"/>
      <c r="L24" s="69"/>
      <c r="M24" s="69"/>
      <c r="N24" s="141">
        <f>IFERROR(+O24/$O$18-1,"")</f>
        <v>0.34009564062500042</v>
      </c>
      <c r="O24" s="278">
        <f t="shared" si="75"/>
        <v>3122.4228426562509</v>
      </c>
      <c r="P24" s="138">
        <f t="shared" si="4"/>
        <v>0</v>
      </c>
      <c r="Q24" s="138">
        <f t="shared" ca="1" si="5"/>
        <v>0</v>
      </c>
      <c r="R24" s="62"/>
      <c r="S24" s="240" t="str">
        <f t="shared" si="71"/>
        <v/>
      </c>
      <c r="T24" s="672">
        <f t="shared" si="73"/>
        <v>0</v>
      </c>
      <c r="U24" s="235"/>
      <c r="V24" s="673">
        <f t="shared" ca="1" si="59"/>
        <v>0</v>
      </c>
      <c r="W24" s="505" t="str">
        <f t="shared" si="60"/>
        <v/>
      </c>
      <c r="X24" s="505" t="str">
        <f t="shared" si="61"/>
        <v/>
      </c>
      <c r="Y24" s="503">
        <f>IFERROR(VLOOKUP($X24,HomeBroker!$A$22:$F$100,2,0),0)</f>
        <v>0</v>
      </c>
      <c r="Z24" s="503">
        <f>IFERROR(VLOOKUP($X24,HomeBroker!$A$22:$F$100,3,0),0)</f>
        <v>0</v>
      </c>
      <c r="AA24" s="237">
        <f>IFERROR(VLOOKUP($X24,HomeBroker!$A$22:$F$100,6,0),0)</f>
        <v>0</v>
      </c>
      <c r="AB24" s="503">
        <f>IFERROR(VLOOKUP($X24,HomeBroker!$A$22:$F$100,4,0),0)</f>
        <v>0</v>
      </c>
      <c r="AC24" s="503">
        <f>IFERROR(VLOOKUP($X24,HomeBroker!$A$22:$F$100,5,0),0)</f>
        <v>0</v>
      </c>
      <c r="AD24" s="506">
        <f>IFERROR(VLOOKUP($X24,HomeBroker!$A$22:$N$100,14,0),0)</f>
        <v>0</v>
      </c>
      <c r="AE24" s="241" t="str">
        <f t="shared" si="62"/>
        <v/>
      </c>
      <c r="AF24" s="110">
        <f t="shared" si="74"/>
        <v>0</v>
      </c>
      <c r="AG24" s="235"/>
      <c r="AH24" s="504">
        <f t="shared" ca="1" si="64"/>
        <v>0</v>
      </c>
      <c r="AI24" s="505" t="str">
        <f t="shared" si="65"/>
        <v/>
      </c>
      <c r="AJ24" s="505" t="str">
        <f t="shared" si="66"/>
        <v/>
      </c>
      <c r="AK24" s="507">
        <f>IFERROR(VLOOKUP($AJ24,HomeBroker!$A$22:$F$100,2,0),0)</f>
        <v>0</v>
      </c>
      <c r="AL24" s="503">
        <f>IFERROR(VLOOKUP($AJ24,HomeBroker!$A$22:$F$100,3,0),0)</f>
        <v>0</v>
      </c>
      <c r="AM24" s="237">
        <f>IFERROR(VLOOKUP($AJ24,HomeBroker!$A$22:$F$100,6,0),0)</f>
        <v>0</v>
      </c>
      <c r="AN24" s="503">
        <f>IFERROR(VLOOKUP($AJ24,HomeBroker!$A$22:$F$100,4,0),0)</f>
        <v>0</v>
      </c>
      <c r="AO24" s="507">
        <f>IFERROR(VLOOKUP($AJ24,HomeBroker!$A$22:$F$100,5,0),0)</f>
        <v>0</v>
      </c>
      <c r="AP24" s="507">
        <f>IFERROR(VLOOKUP($AJ24,HomeBroker!$A$22:$N$100,14,0),0)</f>
        <v>0</v>
      </c>
      <c r="AQ24" s="62"/>
      <c r="AR24" s="240" t="str">
        <f t="shared" si="67"/>
        <v>-</v>
      </c>
      <c r="AS24" s="240" t="str">
        <f t="shared" si="68"/>
        <v>-</v>
      </c>
      <c r="AT24" s="240" t="str">
        <f t="shared" si="69"/>
        <v>-</v>
      </c>
      <c r="AU24" s="62"/>
      <c r="AV24" s="112"/>
      <c r="AW24" s="132" t="s">
        <v>354</v>
      </c>
      <c r="AX24" s="114"/>
      <c r="AY24" s="136"/>
      <c r="AZ24" s="137"/>
      <c r="BA24" s="285">
        <f t="shared" si="10"/>
        <v>0</v>
      </c>
      <c r="BB24" s="286">
        <f t="shared" si="11"/>
        <v>0</v>
      </c>
      <c r="BC24" s="116" t="s">
        <v>408</v>
      </c>
      <c r="BD24" s="114"/>
      <c r="BE24" s="139"/>
      <c r="BF24" s="117"/>
      <c r="BG24" s="287">
        <f t="shared" si="12"/>
        <v>0</v>
      </c>
      <c r="BH24" s="289">
        <f t="shared" si="13"/>
        <v>0</v>
      </c>
      <c r="BI24" s="118" t="s">
        <v>409</v>
      </c>
      <c r="BJ24" s="114"/>
      <c r="BK24" s="117"/>
      <c r="BL24" s="290">
        <f t="shared" si="14"/>
        <v>0</v>
      </c>
      <c r="BM24" s="291">
        <f t="shared" si="15"/>
        <v>0</v>
      </c>
      <c r="DH24" s="119">
        <f t="shared" si="16"/>
        <v>3122.4228426562509</v>
      </c>
      <c r="DI24" s="120">
        <f t="shared" si="17"/>
        <v>0</v>
      </c>
      <c r="DJ24" s="120">
        <f t="shared" si="18"/>
        <v>0</v>
      </c>
      <c r="DK24" s="120">
        <f t="shared" si="19"/>
        <v>0</v>
      </c>
      <c r="DL24" s="120">
        <f t="shared" si="20"/>
        <v>0</v>
      </c>
      <c r="DM24" s="120">
        <f t="shared" si="21"/>
        <v>0</v>
      </c>
      <c r="DN24" s="120">
        <f t="shared" si="22"/>
        <v>0</v>
      </c>
      <c r="DO24" s="120">
        <f t="shared" si="23"/>
        <v>0</v>
      </c>
      <c r="DP24" s="120">
        <f t="shared" si="24"/>
        <v>0</v>
      </c>
      <c r="DQ24" s="120">
        <f t="shared" si="25"/>
        <v>0</v>
      </c>
      <c r="DR24" s="120">
        <f t="shared" si="26"/>
        <v>0</v>
      </c>
      <c r="DS24" s="120">
        <f t="shared" si="27"/>
        <v>0</v>
      </c>
      <c r="DT24" s="120">
        <f t="shared" si="28"/>
        <v>0</v>
      </c>
      <c r="DU24" s="120">
        <f t="shared" si="29"/>
        <v>0</v>
      </c>
      <c r="DV24" s="120">
        <f t="shared" si="30"/>
        <v>0</v>
      </c>
      <c r="DW24" s="120">
        <f t="shared" si="31"/>
        <v>0</v>
      </c>
      <c r="DX24" s="120">
        <f t="shared" si="32"/>
        <v>0</v>
      </c>
      <c r="DY24" s="120">
        <f t="shared" si="33"/>
        <v>0</v>
      </c>
      <c r="DZ24" s="120">
        <f t="shared" si="34"/>
        <v>0</v>
      </c>
      <c r="EA24" s="120">
        <f t="shared" si="35"/>
        <v>0</v>
      </c>
      <c r="EB24" s="120">
        <f t="shared" si="36"/>
        <v>0</v>
      </c>
      <c r="EC24" s="120">
        <f t="shared" si="37"/>
        <v>0</v>
      </c>
      <c r="ED24" s="120">
        <f t="shared" si="38"/>
        <v>0</v>
      </c>
      <c r="EE24" s="120">
        <f t="shared" si="39"/>
        <v>0</v>
      </c>
      <c r="EF24" s="120">
        <f t="shared" si="40"/>
        <v>0</v>
      </c>
      <c r="EG24" s="120">
        <f t="shared" si="41"/>
        <v>0</v>
      </c>
      <c r="EH24" s="120">
        <f t="shared" si="42"/>
        <v>0</v>
      </c>
      <c r="EI24" s="120">
        <f t="shared" si="43"/>
        <v>0</v>
      </c>
      <c r="EJ24" s="120">
        <f t="shared" si="44"/>
        <v>0</v>
      </c>
      <c r="EK24" s="120">
        <f t="shared" si="45"/>
        <v>0</v>
      </c>
      <c r="EL24" s="120">
        <f t="shared" si="46"/>
        <v>0</v>
      </c>
      <c r="EM24" s="120">
        <f t="shared" si="47"/>
        <v>0</v>
      </c>
      <c r="EN24" s="120">
        <f t="shared" si="48"/>
        <v>0</v>
      </c>
      <c r="EO24" s="120">
        <f t="shared" si="49"/>
        <v>0</v>
      </c>
      <c r="EP24" s="120">
        <f t="shared" si="50"/>
        <v>0</v>
      </c>
      <c r="EQ24" s="120">
        <f t="shared" si="51"/>
        <v>0</v>
      </c>
      <c r="ER24" s="121"/>
      <c r="ES24" s="122">
        <f t="shared" si="52"/>
        <v>0</v>
      </c>
      <c r="ET24" s="121"/>
      <c r="EU24" s="134"/>
      <c r="EV24" s="124"/>
      <c r="EW24" s="125">
        <f t="shared" si="53"/>
        <v>0</v>
      </c>
      <c r="EX24" s="72"/>
      <c r="EY24" s="119">
        <f t="shared" si="54"/>
        <v>3122.4228426562509</v>
      </c>
      <c r="EZ24" s="120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0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0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0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0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0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0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0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0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0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0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0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0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0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0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0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0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0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0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0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0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0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0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0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0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0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0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0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0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0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0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0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0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0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0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1"/>
      <c r="GJ24" s="122">
        <f t="shared" ca="1" si="55"/>
        <v>0</v>
      </c>
      <c r="GK24" s="121"/>
      <c r="GL24" s="134"/>
      <c r="GM24" s="124"/>
      <c r="GN24" s="125">
        <f t="shared" ca="1" si="56"/>
        <v>0</v>
      </c>
    </row>
    <row r="25" spans="1:196" ht="15">
      <c r="A25" s="126" t="s">
        <v>410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7" t="str">
        <f>IFERROR(D24/D25,"")</f>
        <v/>
      </c>
      <c r="K25" s="128" t="str">
        <f>IFERROR(G24/G25,"")</f>
        <v/>
      </c>
      <c r="L25" s="129" t="str">
        <f>IFERROR(K25/J25-1,"")</f>
        <v/>
      </c>
      <c r="M25" s="130">
        <f>I24+I25</f>
        <v>0</v>
      </c>
      <c r="N25" s="142"/>
      <c r="O25" s="278">
        <f t="shared" si="75"/>
        <v>3278.5439847890634</v>
      </c>
      <c r="P25" s="131">
        <f t="shared" si="4"/>
        <v>0</v>
      </c>
      <c r="Q25" s="131">
        <f t="shared" ca="1" si="5"/>
        <v>0</v>
      </c>
      <c r="R25" s="62"/>
      <c r="S25" s="240" t="str">
        <f t="shared" si="71"/>
        <v/>
      </c>
      <c r="T25" s="672">
        <f t="shared" si="73"/>
        <v>0</v>
      </c>
      <c r="U25" s="235"/>
      <c r="V25" s="673">
        <f t="shared" ca="1" si="59"/>
        <v>0</v>
      </c>
      <c r="W25" s="505" t="str">
        <f t="shared" si="60"/>
        <v/>
      </c>
      <c r="X25" s="505" t="str">
        <f t="shared" si="61"/>
        <v/>
      </c>
      <c r="Y25" s="503">
        <f>IFERROR(VLOOKUP($X25,HomeBroker!$A$22:$F$100,2,0),0)</f>
        <v>0</v>
      </c>
      <c r="Z25" s="503">
        <f>IFERROR(VLOOKUP($X25,HomeBroker!$A$22:$F$100,3,0),0)</f>
        <v>0</v>
      </c>
      <c r="AA25" s="237">
        <f>IFERROR(VLOOKUP($X25,HomeBroker!$A$22:$F$100,6,0),0)</f>
        <v>0</v>
      </c>
      <c r="AB25" s="503">
        <f>IFERROR(VLOOKUP($X25,HomeBroker!$A$22:$F$100,4,0),0)</f>
        <v>0</v>
      </c>
      <c r="AC25" s="503">
        <f>IFERROR(VLOOKUP($X25,HomeBroker!$A$22:$F$100,5,0),0)</f>
        <v>0</v>
      </c>
      <c r="AD25" s="506">
        <f>IFERROR(VLOOKUP($X25,HomeBroker!$A$22:$N$100,14,0),0)</f>
        <v>0</v>
      </c>
      <c r="AE25" s="241" t="str">
        <f t="shared" si="62"/>
        <v/>
      </c>
      <c r="AF25" s="110">
        <f t="shared" si="74"/>
        <v>0</v>
      </c>
      <c r="AG25" s="235"/>
      <c r="AH25" s="504">
        <f t="shared" ca="1" si="64"/>
        <v>0</v>
      </c>
      <c r="AI25" s="505" t="str">
        <f t="shared" si="65"/>
        <v/>
      </c>
      <c r="AJ25" s="505" t="str">
        <f t="shared" si="66"/>
        <v/>
      </c>
      <c r="AK25" s="507">
        <f>IFERROR(VLOOKUP($AJ25,HomeBroker!$A$22:$F$100,2,0),0)</f>
        <v>0</v>
      </c>
      <c r="AL25" s="503">
        <f>IFERROR(VLOOKUP($AJ25,HomeBroker!$A$22:$F$100,3,0),0)</f>
        <v>0</v>
      </c>
      <c r="AM25" s="237">
        <f>IFERROR(VLOOKUP($AJ25,HomeBroker!$A$22:$F$100,6,0),0)</f>
        <v>0</v>
      </c>
      <c r="AN25" s="503">
        <f>IFERROR(VLOOKUP($AJ25,HomeBroker!$A$22:$F$100,4,0),0)</f>
        <v>0</v>
      </c>
      <c r="AO25" s="507">
        <f>IFERROR(VLOOKUP($AJ25,HomeBroker!$A$22:$F$100,5,0),0)</f>
        <v>0</v>
      </c>
      <c r="AP25" s="507">
        <f>IFERROR(VLOOKUP($AJ25,HomeBroker!$A$22:$N$100,14,0),0)</f>
        <v>0</v>
      </c>
      <c r="AQ25" s="62"/>
      <c r="AR25" s="240" t="str">
        <f t="shared" si="67"/>
        <v>-</v>
      </c>
      <c r="AS25" s="240" t="str">
        <f t="shared" si="68"/>
        <v>-</v>
      </c>
      <c r="AT25" s="240" t="str">
        <f t="shared" si="69"/>
        <v>-</v>
      </c>
      <c r="AU25" s="62"/>
      <c r="AV25" s="112"/>
      <c r="AW25" s="132" t="s">
        <v>354</v>
      </c>
      <c r="AX25" s="114"/>
      <c r="AY25" s="136"/>
      <c r="AZ25" s="137"/>
      <c r="BA25" s="285">
        <f t="shared" si="10"/>
        <v>0</v>
      </c>
      <c r="BB25" s="286">
        <f t="shared" si="11"/>
        <v>0</v>
      </c>
      <c r="BC25" s="116" t="s">
        <v>408</v>
      </c>
      <c r="BD25" s="114"/>
      <c r="BE25" s="139"/>
      <c r="BF25" s="117"/>
      <c r="BG25" s="287">
        <f t="shared" si="12"/>
        <v>0</v>
      </c>
      <c r="BH25" s="289">
        <f t="shared" si="13"/>
        <v>0</v>
      </c>
      <c r="BI25" s="118" t="s">
        <v>409</v>
      </c>
      <c r="BJ25" s="114"/>
      <c r="BK25" s="117"/>
      <c r="BL25" s="290">
        <f t="shared" si="14"/>
        <v>0</v>
      </c>
      <c r="BM25" s="291">
        <f t="shared" si="15"/>
        <v>0</v>
      </c>
      <c r="DH25" s="119">
        <f t="shared" si="16"/>
        <v>3278.5439847890634</v>
      </c>
      <c r="DI25" s="120">
        <f t="shared" si="17"/>
        <v>0</v>
      </c>
      <c r="DJ25" s="120">
        <f t="shared" si="18"/>
        <v>0</v>
      </c>
      <c r="DK25" s="120">
        <f t="shared" si="19"/>
        <v>0</v>
      </c>
      <c r="DL25" s="120">
        <f t="shared" si="20"/>
        <v>0</v>
      </c>
      <c r="DM25" s="120">
        <f t="shared" si="21"/>
        <v>0</v>
      </c>
      <c r="DN25" s="120">
        <f t="shared" si="22"/>
        <v>0</v>
      </c>
      <c r="DO25" s="120">
        <f t="shared" si="23"/>
        <v>0</v>
      </c>
      <c r="DP25" s="120">
        <f t="shared" si="24"/>
        <v>0</v>
      </c>
      <c r="DQ25" s="120">
        <f t="shared" si="25"/>
        <v>0</v>
      </c>
      <c r="DR25" s="120">
        <f t="shared" si="26"/>
        <v>0</v>
      </c>
      <c r="DS25" s="120">
        <f t="shared" si="27"/>
        <v>0</v>
      </c>
      <c r="DT25" s="120">
        <f t="shared" si="28"/>
        <v>0</v>
      </c>
      <c r="DU25" s="120">
        <f t="shared" si="29"/>
        <v>0</v>
      </c>
      <c r="DV25" s="120">
        <f t="shared" si="30"/>
        <v>0</v>
      </c>
      <c r="DW25" s="120">
        <f t="shared" si="31"/>
        <v>0</v>
      </c>
      <c r="DX25" s="120">
        <f t="shared" si="32"/>
        <v>0</v>
      </c>
      <c r="DY25" s="120">
        <f t="shared" si="33"/>
        <v>0</v>
      </c>
      <c r="DZ25" s="120">
        <f t="shared" si="34"/>
        <v>0</v>
      </c>
      <c r="EA25" s="120">
        <f t="shared" si="35"/>
        <v>0</v>
      </c>
      <c r="EB25" s="120">
        <f t="shared" si="36"/>
        <v>0</v>
      </c>
      <c r="EC25" s="120">
        <f t="shared" si="37"/>
        <v>0</v>
      </c>
      <c r="ED25" s="120">
        <f t="shared" si="38"/>
        <v>0</v>
      </c>
      <c r="EE25" s="120">
        <f t="shared" si="39"/>
        <v>0</v>
      </c>
      <c r="EF25" s="120">
        <f t="shared" si="40"/>
        <v>0</v>
      </c>
      <c r="EG25" s="120">
        <f t="shared" si="41"/>
        <v>0</v>
      </c>
      <c r="EH25" s="120">
        <f t="shared" si="42"/>
        <v>0</v>
      </c>
      <c r="EI25" s="120">
        <f t="shared" si="43"/>
        <v>0</v>
      </c>
      <c r="EJ25" s="120">
        <f t="shared" si="44"/>
        <v>0</v>
      </c>
      <c r="EK25" s="120">
        <f t="shared" si="45"/>
        <v>0</v>
      </c>
      <c r="EL25" s="120">
        <f t="shared" si="46"/>
        <v>0</v>
      </c>
      <c r="EM25" s="120">
        <f t="shared" si="47"/>
        <v>0</v>
      </c>
      <c r="EN25" s="120">
        <f t="shared" si="48"/>
        <v>0</v>
      </c>
      <c r="EO25" s="120">
        <f t="shared" si="49"/>
        <v>0</v>
      </c>
      <c r="EP25" s="120">
        <f t="shared" si="50"/>
        <v>0</v>
      </c>
      <c r="EQ25" s="120">
        <f t="shared" si="51"/>
        <v>0</v>
      </c>
      <c r="ER25" s="121"/>
      <c r="ES25" s="122">
        <f t="shared" si="52"/>
        <v>0</v>
      </c>
      <c r="ET25" s="121"/>
      <c r="EU25" s="134"/>
      <c r="EV25" s="124"/>
      <c r="EW25" s="125">
        <f t="shared" si="53"/>
        <v>0</v>
      </c>
      <c r="EX25" s="72"/>
      <c r="EY25" s="119">
        <f t="shared" si="54"/>
        <v>3278.5439847890634</v>
      </c>
      <c r="EZ25" s="120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0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0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0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0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0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0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0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0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0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0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0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0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0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0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0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0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0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0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0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0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0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0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0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0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0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0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0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0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0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0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0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0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0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0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1"/>
      <c r="GJ25" s="122">
        <f t="shared" ca="1" si="55"/>
        <v>0</v>
      </c>
      <c r="GK25" s="121"/>
      <c r="GL25" s="134"/>
      <c r="GM25" s="124"/>
      <c r="GN25" s="125">
        <f t="shared" ca="1" si="56"/>
        <v>0</v>
      </c>
    </row>
    <row r="26" spans="1:196" ht="15">
      <c r="A26" s="135" t="s">
        <v>411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9"/>
      <c r="K26" s="69"/>
      <c r="L26" s="69"/>
      <c r="M26" s="69"/>
      <c r="N26" s="142"/>
      <c r="O26" s="278">
        <f t="shared" si="75"/>
        <v>3442.4711840285167</v>
      </c>
      <c r="P26" s="131">
        <f t="shared" si="4"/>
        <v>0</v>
      </c>
      <c r="Q26" s="131">
        <f t="shared" ca="1" si="5"/>
        <v>0</v>
      </c>
      <c r="R26" s="62"/>
      <c r="S26" s="240" t="str">
        <f t="shared" si="71"/>
        <v/>
      </c>
      <c r="T26" s="672">
        <f t="shared" si="73"/>
        <v>0</v>
      </c>
      <c r="U26" s="235"/>
      <c r="V26" s="673">
        <f t="shared" ca="1" si="59"/>
        <v>0</v>
      </c>
      <c r="W26" s="505" t="str">
        <f t="shared" si="60"/>
        <v/>
      </c>
      <c r="X26" s="505" t="str">
        <f t="shared" si="61"/>
        <v/>
      </c>
      <c r="Y26" s="503">
        <f>IFERROR(VLOOKUP($X26,HomeBroker!$A$22:$F$100,2,0),0)</f>
        <v>0</v>
      </c>
      <c r="Z26" s="503">
        <f>IFERROR(VLOOKUP($X26,HomeBroker!$A$22:$F$100,3,0),0)</f>
        <v>0</v>
      </c>
      <c r="AA26" s="237">
        <f>IFERROR(VLOOKUP($X26,HomeBroker!$A$22:$F$100,6,0),0)</f>
        <v>0</v>
      </c>
      <c r="AB26" s="503">
        <f>IFERROR(VLOOKUP($X26,HomeBroker!$A$22:$F$100,4,0),0)</f>
        <v>0</v>
      </c>
      <c r="AC26" s="503">
        <f>IFERROR(VLOOKUP($X26,HomeBroker!$A$22:$F$100,5,0),0)</f>
        <v>0</v>
      </c>
      <c r="AD26" s="506">
        <f>IFERROR(VLOOKUP($X26,HomeBroker!$A$22:$N$100,14,0),0)</f>
        <v>0</v>
      </c>
      <c r="AE26" s="241" t="str">
        <f t="shared" si="62"/>
        <v/>
      </c>
      <c r="AF26" s="110">
        <f t="shared" si="74"/>
        <v>0</v>
      </c>
      <c r="AG26" s="235"/>
      <c r="AH26" s="504">
        <f t="shared" ca="1" si="64"/>
        <v>0</v>
      </c>
      <c r="AI26" s="505" t="str">
        <f t="shared" si="65"/>
        <v/>
      </c>
      <c r="AJ26" s="505" t="str">
        <f t="shared" si="66"/>
        <v/>
      </c>
      <c r="AK26" s="507">
        <f>IFERROR(VLOOKUP($AJ26,HomeBroker!$A$22:$F$100,2,0),0)</f>
        <v>0</v>
      </c>
      <c r="AL26" s="503">
        <f>IFERROR(VLOOKUP($AJ26,HomeBroker!$A$22:$F$100,3,0),0)</f>
        <v>0</v>
      </c>
      <c r="AM26" s="237">
        <f>IFERROR(VLOOKUP($AJ26,HomeBroker!$A$22:$F$100,6,0),0)</f>
        <v>0</v>
      </c>
      <c r="AN26" s="503">
        <f>IFERROR(VLOOKUP($AJ26,HomeBroker!$A$22:$F$100,4,0),0)</f>
        <v>0</v>
      </c>
      <c r="AO26" s="507">
        <f>IFERROR(VLOOKUP($AJ26,HomeBroker!$A$22:$F$100,5,0),0)</f>
        <v>0</v>
      </c>
      <c r="AP26" s="507">
        <f>IFERROR(VLOOKUP($AJ26,HomeBroker!$A$22:$N$100,14,0),0)</f>
        <v>0</v>
      </c>
      <c r="AQ26" s="62"/>
      <c r="AR26" s="240" t="str">
        <f t="shared" si="67"/>
        <v>-</v>
      </c>
      <c r="AS26" s="240" t="str">
        <f t="shared" si="68"/>
        <v>-</v>
      </c>
      <c r="AT26" s="240" t="str">
        <f t="shared" si="69"/>
        <v>-</v>
      </c>
      <c r="AU26" s="62"/>
      <c r="AV26" s="112"/>
      <c r="AW26" s="132" t="s">
        <v>354</v>
      </c>
      <c r="AX26" s="114"/>
      <c r="AY26" s="136"/>
      <c r="AZ26" s="137"/>
      <c r="BA26" s="285">
        <f t="shared" si="10"/>
        <v>0</v>
      </c>
      <c r="BB26" s="286">
        <f t="shared" si="11"/>
        <v>0</v>
      </c>
      <c r="BC26" s="116" t="s">
        <v>408</v>
      </c>
      <c r="BD26" s="114"/>
      <c r="BE26" s="139"/>
      <c r="BF26" s="117"/>
      <c r="BG26" s="287">
        <f t="shared" si="12"/>
        <v>0</v>
      </c>
      <c r="BH26" s="289">
        <f t="shared" si="13"/>
        <v>0</v>
      </c>
      <c r="BI26" s="118" t="s">
        <v>409</v>
      </c>
      <c r="BJ26" s="114"/>
      <c r="BK26" s="117"/>
      <c r="BL26" s="290">
        <f t="shared" si="14"/>
        <v>0</v>
      </c>
      <c r="BM26" s="291">
        <f t="shared" si="15"/>
        <v>0</v>
      </c>
      <c r="DH26" s="119">
        <f t="shared" si="16"/>
        <v>3442.4711840285167</v>
      </c>
      <c r="DI26" s="120">
        <f t="shared" si="17"/>
        <v>0</v>
      </c>
      <c r="DJ26" s="120">
        <f t="shared" si="18"/>
        <v>0</v>
      </c>
      <c r="DK26" s="120">
        <f t="shared" si="19"/>
        <v>0</v>
      </c>
      <c r="DL26" s="120">
        <f t="shared" si="20"/>
        <v>0</v>
      </c>
      <c r="DM26" s="120">
        <f t="shared" si="21"/>
        <v>0</v>
      </c>
      <c r="DN26" s="120">
        <f t="shared" si="22"/>
        <v>0</v>
      </c>
      <c r="DO26" s="120">
        <f t="shared" si="23"/>
        <v>0</v>
      </c>
      <c r="DP26" s="120">
        <f t="shared" si="24"/>
        <v>0</v>
      </c>
      <c r="DQ26" s="120">
        <f t="shared" si="25"/>
        <v>0</v>
      </c>
      <c r="DR26" s="120">
        <f t="shared" si="26"/>
        <v>0</v>
      </c>
      <c r="DS26" s="120">
        <f t="shared" si="27"/>
        <v>0</v>
      </c>
      <c r="DT26" s="120">
        <f t="shared" si="28"/>
        <v>0</v>
      </c>
      <c r="DU26" s="120">
        <f t="shared" si="29"/>
        <v>0</v>
      </c>
      <c r="DV26" s="120">
        <f t="shared" si="30"/>
        <v>0</v>
      </c>
      <c r="DW26" s="120">
        <f t="shared" si="31"/>
        <v>0</v>
      </c>
      <c r="DX26" s="120">
        <f t="shared" si="32"/>
        <v>0</v>
      </c>
      <c r="DY26" s="120">
        <f t="shared" si="33"/>
        <v>0</v>
      </c>
      <c r="DZ26" s="120">
        <f t="shared" si="34"/>
        <v>0</v>
      </c>
      <c r="EA26" s="120">
        <f t="shared" si="35"/>
        <v>0</v>
      </c>
      <c r="EB26" s="120">
        <f t="shared" si="36"/>
        <v>0</v>
      </c>
      <c r="EC26" s="120">
        <f t="shared" si="37"/>
        <v>0</v>
      </c>
      <c r="ED26" s="120">
        <f t="shared" si="38"/>
        <v>0</v>
      </c>
      <c r="EE26" s="120">
        <f t="shared" si="39"/>
        <v>0</v>
      </c>
      <c r="EF26" s="120">
        <f t="shared" si="40"/>
        <v>0</v>
      </c>
      <c r="EG26" s="120">
        <f t="shared" si="41"/>
        <v>0</v>
      </c>
      <c r="EH26" s="120">
        <f t="shared" si="42"/>
        <v>0</v>
      </c>
      <c r="EI26" s="120">
        <f t="shared" si="43"/>
        <v>0</v>
      </c>
      <c r="EJ26" s="120">
        <f t="shared" si="44"/>
        <v>0</v>
      </c>
      <c r="EK26" s="120">
        <f t="shared" si="45"/>
        <v>0</v>
      </c>
      <c r="EL26" s="120">
        <f t="shared" si="46"/>
        <v>0</v>
      </c>
      <c r="EM26" s="120">
        <f t="shared" si="47"/>
        <v>0</v>
      </c>
      <c r="EN26" s="120">
        <f t="shared" si="48"/>
        <v>0</v>
      </c>
      <c r="EO26" s="120">
        <f t="shared" si="49"/>
        <v>0</v>
      </c>
      <c r="EP26" s="120">
        <f t="shared" si="50"/>
        <v>0</v>
      </c>
      <c r="EQ26" s="120">
        <f t="shared" si="51"/>
        <v>0</v>
      </c>
      <c r="ER26" s="121"/>
      <c r="ES26" s="122">
        <f t="shared" si="52"/>
        <v>0</v>
      </c>
      <c r="ET26" s="121"/>
      <c r="EU26" s="134"/>
      <c r="EV26" s="124"/>
      <c r="EW26" s="125">
        <f t="shared" si="53"/>
        <v>0</v>
      </c>
      <c r="EX26" s="72"/>
      <c r="EY26" s="119">
        <f t="shared" si="54"/>
        <v>3442.4711840285167</v>
      </c>
      <c r="EZ26" s="120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0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0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0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0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0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0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0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0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0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0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0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0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0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0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0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0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0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0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0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0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0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0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0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0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0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0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0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0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0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0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0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0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0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0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1"/>
      <c r="GJ26" s="122">
        <f t="shared" ca="1" si="55"/>
        <v>0</v>
      </c>
      <c r="GK26" s="121"/>
      <c r="GL26" s="134"/>
      <c r="GM26" s="124"/>
      <c r="GN26" s="125">
        <f t="shared" ca="1" si="56"/>
        <v>0</v>
      </c>
    </row>
    <row r="27" spans="1:196" ht="15">
      <c r="A27" s="105" t="s">
        <v>407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9"/>
      <c r="K27" s="69"/>
      <c r="L27" s="69"/>
      <c r="M27" s="69"/>
      <c r="N27" s="142"/>
      <c r="O27" s="278">
        <f t="shared" si="75"/>
        <v>3614.5947432299427</v>
      </c>
      <c r="P27" s="138">
        <f t="shared" si="4"/>
        <v>0</v>
      </c>
      <c r="Q27" s="138">
        <f t="shared" ca="1" si="5"/>
        <v>0</v>
      </c>
      <c r="R27" s="62"/>
      <c r="S27" s="240" t="str">
        <f t="shared" si="71"/>
        <v/>
      </c>
      <c r="T27" s="672">
        <f t="shared" si="73"/>
        <v>0</v>
      </c>
      <c r="U27" s="674"/>
      <c r="V27" s="673">
        <f t="shared" ca="1" si="59"/>
        <v>0</v>
      </c>
      <c r="W27" s="505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505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503">
        <f>IFERROR(VLOOKUP($X27,HomeBroker!$A$22:$F$100,2,0),0)</f>
        <v>0</v>
      </c>
      <c r="Z27" s="503">
        <f>IFERROR(VLOOKUP($X27,HomeBroker!$A$22:$F$100,3,0),0)</f>
        <v>0</v>
      </c>
      <c r="AA27" s="237">
        <f>IFERROR(VLOOKUP($X27,HomeBroker!$A$22:$F$100,6,0),0)</f>
        <v>0</v>
      </c>
      <c r="AB27" s="503">
        <f>IFERROR(VLOOKUP($X27,HomeBroker!$A$22:$F$100,4,0),0)</f>
        <v>0</v>
      </c>
      <c r="AC27" s="503">
        <f>IFERROR(VLOOKUP($X27,HomeBroker!$A$22:$F$100,5,0),0)</f>
        <v>0</v>
      </c>
      <c r="AD27" s="506">
        <f>IFERROR(VLOOKUP($X27,HomeBroker!$A$22:$N$100,14,0),0)</f>
        <v>0</v>
      </c>
      <c r="AE27" s="241" t="str">
        <f t="shared" si="62"/>
        <v/>
      </c>
      <c r="AF27" s="110">
        <f t="shared" si="74"/>
        <v>0</v>
      </c>
      <c r="AG27" s="145"/>
      <c r="AH27" s="504">
        <f t="shared" ca="1" si="64"/>
        <v>0</v>
      </c>
      <c r="AI27" s="505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505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507">
        <f>IFERROR(VLOOKUP($AJ27,HomeBroker!$A$22:$F$100,2,0),0)</f>
        <v>0</v>
      </c>
      <c r="AL27" s="503">
        <f>IFERROR(VLOOKUP($AJ27,HomeBroker!$A$22:$F$100,3,0),0)</f>
        <v>0</v>
      </c>
      <c r="AM27" s="237">
        <f>IFERROR(VLOOKUP($AJ27,HomeBroker!$A$22:$F$100,6,0),0)</f>
        <v>0</v>
      </c>
      <c r="AN27" s="503">
        <f>IFERROR(VLOOKUP($AJ27,HomeBroker!$A$22:$F$100,4,0),0)</f>
        <v>0</v>
      </c>
      <c r="AO27" s="507">
        <f>IFERROR(VLOOKUP($AJ27,HomeBroker!$A$22:$F$100,5,0),0)</f>
        <v>0</v>
      </c>
      <c r="AP27" s="507">
        <f>IFERROR(VLOOKUP($AJ27,HomeBroker!$A$22:$N$100,14,0),0)</f>
        <v>0</v>
      </c>
      <c r="AQ27" s="62"/>
      <c r="AR27" s="240" t="str">
        <f t="shared" si="67"/>
        <v>-</v>
      </c>
      <c r="AS27" s="240" t="str">
        <f t="shared" si="68"/>
        <v>-</v>
      </c>
      <c r="AT27" s="240" t="str">
        <f t="shared" si="69"/>
        <v>-</v>
      </c>
      <c r="AU27" s="62"/>
      <c r="AV27" s="112"/>
      <c r="AW27" s="132" t="s">
        <v>354</v>
      </c>
      <c r="AX27" s="114"/>
      <c r="AY27" s="136"/>
      <c r="AZ27" s="137"/>
      <c r="BA27" s="285">
        <f t="shared" si="10"/>
        <v>0</v>
      </c>
      <c r="BB27" s="286">
        <f t="shared" si="11"/>
        <v>0</v>
      </c>
      <c r="BC27" s="116" t="s">
        <v>408</v>
      </c>
      <c r="BD27" s="114"/>
      <c r="BE27" s="139"/>
      <c r="BF27" s="117"/>
      <c r="BG27" s="287">
        <f t="shared" si="12"/>
        <v>0</v>
      </c>
      <c r="BH27" s="289">
        <f t="shared" si="13"/>
        <v>0</v>
      </c>
      <c r="BI27" s="118" t="s">
        <v>409</v>
      </c>
      <c r="BJ27" s="114"/>
      <c r="BK27" s="117"/>
      <c r="BL27" s="290">
        <f t="shared" si="14"/>
        <v>0</v>
      </c>
      <c r="BM27" s="291">
        <f t="shared" si="15"/>
        <v>0</v>
      </c>
      <c r="DH27" s="119">
        <f t="shared" si="16"/>
        <v>3614.5947432299427</v>
      </c>
      <c r="DI27" s="120">
        <f t="shared" si="17"/>
        <v>0</v>
      </c>
      <c r="DJ27" s="120">
        <f t="shared" si="18"/>
        <v>0</v>
      </c>
      <c r="DK27" s="120">
        <f t="shared" si="19"/>
        <v>0</v>
      </c>
      <c r="DL27" s="120">
        <f t="shared" si="20"/>
        <v>0</v>
      </c>
      <c r="DM27" s="120">
        <f t="shared" si="21"/>
        <v>0</v>
      </c>
      <c r="DN27" s="120">
        <f t="shared" si="22"/>
        <v>0</v>
      </c>
      <c r="DO27" s="120">
        <f t="shared" si="23"/>
        <v>0</v>
      </c>
      <c r="DP27" s="120">
        <f t="shared" si="24"/>
        <v>0</v>
      </c>
      <c r="DQ27" s="120">
        <f t="shared" si="25"/>
        <v>0</v>
      </c>
      <c r="DR27" s="120">
        <f t="shared" si="26"/>
        <v>0</v>
      </c>
      <c r="DS27" s="120">
        <f t="shared" si="27"/>
        <v>0</v>
      </c>
      <c r="DT27" s="120">
        <f t="shared" si="28"/>
        <v>0</v>
      </c>
      <c r="DU27" s="120">
        <f t="shared" si="29"/>
        <v>0</v>
      </c>
      <c r="DV27" s="120">
        <f t="shared" si="30"/>
        <v>0</v>
      </c>
      <c r="DW27" s="120">
        <f t="shared" si="31"/>
        <v>0</v>
      </c>
      <c r="DX27" s="120">
        <f t="shared" si="32"/>
        <v>0</v>
      </c>
      <c r="DY27" s="120">
        <f t="shared" si="33"/>
        <v>0</v>
      </c>
      <c r="DZ27" s="120">
        <f t="shared" si="34"/>
        <v>0</v>
      </c>
      <c r="EA27" s="120">
        <f t="shared" si="35"/>
        <v>0</v>
      </c>
      <c r="EB27" s="120">
        <f t="shared" si="36"/>
        <v>0</v>
      </c>
      <c r="EC27" s="120">
        <f t="shared" si="37"/>
        <v>0</v>
      </c>
      <c r="ED27" s="120">
        <f t="shared" si="38"/>
        <v>0</v>
      </c>
      <c r="EE27" s="120">
        <f t="shared" si="39"/>
        <v>0</v>
      </c>
      <c r="EF27" s="120">
        <f t="shared" si="40"/>
        <v>0</v>
      </c>
      <c r="EG27" s="120">
        <f t="shared" si="41"/>
        <v>0</v>
      </c>
      <c r="EH27" s="120">
        <f t="shared" si="42"/>
        <v>0</v>
      </c>
      <c r="EI27" s="120">
        <f t="shared" si="43"/>
        <v>0</v>
      </c>
      <c r="EJ27" s="120">
        <f t="shared" si="44"/>
        <v>0</v>
      </c>
      <c r="EK27" s="120">
        <f t="shared" si="45"/>
        <v>0</v>
      </c>
      <c r="EL27" s="120">
        <f t="shared" si="46"/>
        <v>0</v>
      </c>
      <c r="EM27" s="120">
        <f t="shared" si="47"/>
        <v>0</v>
      </c>
      <c r="EN27" s="120">
        <f t="shared" si="48"/>
        <v>0</v>
      </c>
      <c r="EO27" s="120">
        <f t="shared" si="49"/>
        <v>0</v>
      </c>
      <c r="EP27" s="120">
        <f t="shared" si="50"/>
        <v>0</v>
      </c>
      <c r="EQ27" s="120">
        <f t="shared" si="51"/>
        <v>0</v>
      </c>
      <c r="ER27" s="121"/>
      <c r="ES27" s="122">
        <f t="shared" si="52"/>
        <v>0</v>
      </c>
      <c r="ET27" s="121"/>
      <c r="EU27" s="134"/>
      <c r="EV27" s="124"/>
      <c r="EW27" s="125">
        <f t="shared" si="53"/>
        <v>0</v>
      </c>
      <c r="EX27" s="72"/>
      <c r="EY27" s="119">
        <f t="shared" si="54"/>
        <v>3614.5947432299427</v>
      </c>
      <c r="EZ27" s="120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0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0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0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0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0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0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0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0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0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0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0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0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0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0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0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0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0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0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0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0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0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0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0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0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0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0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0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0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0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0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0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0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0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0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1"/>
      <c r="GJ27" s="122">
        <f t="shared" ca="1" si="55"/>
        <v>0</v>
      </c>
      <c r="GK27" s="121"/>
      <c r="GL27" s="134"/>
      <c r="GM27" s="124"/>
      <c r="GN27" s="125">
        <f t="shared" ca="1" si="56"/>
        <v>0</v>
      </c>
    </row>
    <row r="28" spans="1:196" ht="15">
      <c r="A28" s="126" t="s">
        <v>410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7" t="str">
        <f>IFERROR(D27/D28,"")</f>
        <v/>
      </c>
      <c r="K28" s="128" t="str">
        <f>IFERROR(G27/G28,"")</f>
        <v/>
      </c>
      <c r="L28" s="129" t="str">
        <f>IFERROR(K28/J28-1,"")</f>
        <v/>
      </c>
      <c r="M28" s="130">
        <f>I27+I28</f>
        <v>0</v>
      </c>
      <c r="N28" s="148"/>
      <c r="O28" s="278">
        <f t="shared" si="75"/>
        <v>3795.3244803914399</v>
      </c>
      <c r="P28" s="131">
        <f t="shared" si="4"/>
        <v>0</v>
      </c>
      <c r="Q28" s="131">
        <f t="shared" ca="1" si="5"/>
        <v>0</v>
      </c>
      <c r="R28" s="62"/>
      <c r="S28" s="240" t="str">
        <f t="shared" si="71"/>
        <v/>
      </c>
      <c r="T28" s="672">
        <f t="shared" si="73"/>
        <v>0</v>
      </c>
      <c r="U28" s="674"/>
      <c r="V28" s="673">
        <f t="shared" ca="1" si="59"/>
        <v>0</v>
      </c>
      <c r="W28" s="505" t="str">
        <f t="shared" si="77"/>
        <v/>
      </c>
      <c r="X28" s="505" t="str">
        <f t="shared" si="78"/>
        <v/>
      </c>
      <c r="Y28" s="503">
        <f>IFERROR(VLOOKUP($X28,HomeBroker!$A$22:$F$100,2,0),0)</f>
        <v>0</v>
      </c>
      <c r="Z28" s="503">
        <f>IFERROR(VLOOKUP($X28,HomeBroker!$A$22:$F$100,3,0),0)</f>
        <v>0</v>
      </c>
      <c r="AA28" s="237">
        <f>IFERROR(VLOOKUP($X28,HomeBroker!$A$22:$F$100,6,0),0)</f>
        <v>0</v>
      </c>
      <c r="AB28" s="503">
        <f>IFERROR(VLOOKUP($X28,HomeBroker!$A$22:$F$100,4,0),0)</f>
        <v>0</v>
      </c>
      <c r="AC28" s="503">
        <f>IFERROR(VLOOKUP($X28,HomeBroker!$A$22:$F$100,5,0),0)</f>
        <v>0</v>
      </c>
      <c r="AD28" s="506">
        <f>IFERROR(VLOOKUP($X28,HomeBroker!$A$22:$N$100,14,0),0)</f>
        <v>0</v>
      </c>
      <c r="AE28" s="241" t="str">
        <f t="shared" si="62"/>
        <v/>
      </c>
      <c r="AF28" s="110">
        <f t="shared" si="74"/>
        <v>0</v>
      </c>
      <c r="AG28" s="145"/>
      <c r="AH28" s="504">
        <f t="shared" ca="1" si="64"/>
        <v>0</v>
      </c>
      <c r="AI28" s="505" t="str">
        <f t="shared" si="79"/>
        <v/>
      </c>
      <c r="AJ28" s="505" t="str">
        <f t="shared" si="80"/>
        <v/>
      </c>
      <c r="AK28" s="507">
        <f>IFERROR(VLOOKUP($AJ28,HomeBroker!$A$22:$F$100,2,0),0)</f>
        <v>0</v>
      </c>
      <c r="AL28" s="503">
        <f>IFERROR(VLOOKUP($AJ28,HomeBroker!$A$22:$F$100,3,0),0)</f>
        <v>0</v>
      </c>
      <c r="AM28" s="237">
        <f>IFERROR(VLOOKUP($AJ28,HomeBroker!$A$22:$F$100,6,0),0)</f>
        <v>0</v>
      </c>
      <c r="AN28" s="503">
        <f>IFERROR(VLOOKUP($AJ28,HomeBroker!$A$22:$F$100,4,0),0)</f>
        <v>0</v>
      </c>
      <c r="AO28" s="507">
        <f>IFERROR(VLOOKUP($AJ28,HomeBroker!$A$22:$F$100,5,0),0)</f>
        <v>0</v>
      </c>
      <c r="AP28" s="507">
        <f>IFERROR(VLOOKUP($AJ28,HomeBroker!$A$22:$N$100,14,0),0)</f>
        <v>0</v>
      </c>
      <c r="AQ28" s="62"/>
      <c r="AR28" s="240" t="str">
        <f t="shared" si="67"/>
        <v>-</v>
      </c>
      <c r="AS28" s="240" t="str">
        <f t="shared" si="68"/>
        <v>-</v>
      </c>
      <c r="AT28" s="240" t="str">
        <f t="shared" si="69"/>
        <v>-</v>
      </c>
      <c r="AU28" s="62"/>
      <c r="AV28" s="112"/>
      <c r="AW28" s="132" t="s">
        <v>354</v>
      </c>
      <c r="AX28" s="114"/>
      <c r="AY28" s="136"/>
      <c r="AZ28" s="137"/>
      <c r="BA28" s="285">
        <f t="shared" si="10"/>
        <v>0</v>
      </c>
      <c r="BB28" s="286">
        <f t="shared" si="11"/>
        <v>0</v>
      </c>
      <c r="BC28" s="116" t="s">
        <v>408</v>
      </c>
      <c r="BD28" s="114"/>
      <c r="BE28" s="139"/>
      <c r="BF28" s="117"/>
      <c r="BG28" s="287">
        <f t="shared" si="12"/>
        <v>0</v>
      </c>
      <c r="BH28" s="289">
        <f t="shared" si="13"/>
        <v>0</v>
      </c>
      <c r="BI28" s="118" t="s">
        <v>409</v>
      </c>
      <c r="BJ28" s="114"/>
      <c r="BK28" s="117"/>
      <c r="BL28" s="290">
        <f t="shared" si="14"/>
        <v>0</v>
      </c>
      <c r="BM28" s="291">
        <f t="shared" si="15"/>
        <v>0</v>
      </c>
      <c r="DH28" s="119">
        <f t="shared" si="16"/>
        <v>3795.3244803914399</v>
      </c>
      <c r="DI28" s="120">
        <f t="shared" si="17"/>
        <v>0</v>
      </c>
      <c r="DJ28" s="120">
        <f t="shared" si="18"/>
        <v>0</v>
      </c>
      <c r="DK28" s="120">
        <f t="shared" si="19"/>
        <v>0</v>
      </c>
      <c r="DL28" s="120">
        <f t="shared" si="20"/>
        <v>0</v>
      </c>
      <c r="DM28" s="120">
        <f t="shared" si="21"/>
        <v>0</v>
      </c>
      <c r="DN28" s="120">
        <f t="shared" si="22"/>
        <v>0</v>
      </c>
      <c r="DO28" s="120">
        <f t="shared" si="23"/>
        <v>0</v>
      </c>
      <c r="DP28" s="120">
        <f t="shared" si="24"/>
        <v>0</v>
      </c>
      <c r="DQ28" s="120">
        <f t="shared" si="25"/>
        <v>0</v>
      </c>
      <c r="DR28" s="120">
        <f t="shared" si="26"/>
        <v>0</v>
      </c>
      <c r="DS28" s="120">
        <f t="shared" si="27"/>
        <v>0</v>
      </c>
      <c r="DT28" s="120">
        <f t="shared" si="28"/>
        <v>0</v>
      </c>
      <c r="DU28" s="120">
        <f t="shared" si="29"/>
        <v>0</v>
      </c>
      <c r="DV28" s="120">
        <f t="shared" si="30"/>
        <v>0</v>
      </c>
      <c r="DW28" s="120">
        <f t="shared" si="31"/>
        <v>0</v>
      </c>
      <c r="DX28" s="120">
        <f t="shared" si="32"/>
        <v>0</v>
      </c>
      <c r="DY28" s="120">
        <f t="shared" si="33"/>
        <v>0</v>
      </c>
      <c r="DZ28" s="120">
        <f t="shared" si="34"/>
        <v>0</v>
      </c>
      <c r="EA28" s="120">
        <f t="shared" si="35"/>
        <v>0</v>
      </c>
      <c r="EB28" s="120">
        <f t="shared" si="36"/>
        <v>0</v>
      </c>
      <c r="EC28" s="120">
        <f t="shared" si="37"/>
        <v>0</v>
      </c>
      <c r="ED28" s="120">
        <f t="shared" si="38"/>
        <v>0</v>
      </c>
      <c r="EE28" s="120">
        <f t="shared" si="39"/>
        <v>0</v>
      </c>
      <c r="EF28" s="120">
        <f t="shared" si="40"/>
        <v>0</v>
      </c>
      <c r="EG28" s="120">
        <f t="shared" si="41"/>
        <v>0</v>
      </c>
      <c r="EH28" s="120">
        <f t="shared" si="42"/>
        <v>0</v>
      </c>
      <c r="EI28" s="120">
        <f t="shared" si="43"/>
        <v>0</v>
      </c>
      <c r="EJ28" s="120">
        <f t="shared" si="44"/>
        <v>0</v>
      </c>
      <c r="EK28" s="120">
        <f t="shared" si="45"/>
        <v>0</v>
      </c>
      <c r="EL28" s="120">
        <f t="shared" si="46"/>
        <v>0</v>
      </c>
      <c r="EM28" s="120">
        <f t="shared" si="47"/>
        <v>0</v>
      </c>
      <c r="EN28" s="120">
        <f t="shared" si="48"/>
        <v>0</v>
      </c>
      <c r="EO28" s="120">
        <f t="shared" si="49"/>
        <v>0</v>
      </c>
      <c r="EP28" s="120">
        <f t="shared" si="50"/>
        <v>0</v>
      </c>
      <c r="EQ28" s="120">
        <f t="shared" si="51"/>
        <v>0</v>
      </c>
      <c r="ER28" s="121"/>
      <c r="ES28" s="122">
        <f t="shared" si="52"/>
        <v>0</v>
      </c>
      <c r="ET28" s="121"/>
      <c r="EU28" s="134"/>
      <c r="EV28" s="124"/>
      <c r="EW28" s="125">
        <f t="shared" si="53"/>
        <v>0</v>
      </c>
      <c r="EX28" s="72"/>
      <c r="EY28" s="119">
        <f t="shared" si="54"/>
        <v>3795.3244803914399</v>
      </c>
      <c r="EZ28" s="120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0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0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0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0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0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0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0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0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0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0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0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0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0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0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0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0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0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0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0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0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0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0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0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0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0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0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0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0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0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0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0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0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0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0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1"/>
      <c r="GJ28" s="122">
        <f t="shared" ca="1" si="55"/>
        <v>0</v>
      </c>
      <c r="GK28" s="121"/>
      <c r="GL28" s="134"/>
      <c r="GM28" s="124"/>
      <c r="GN28" s="125">
        <f t="shared" ca="1" si="56"/>
        <v>0</v>
      </c>
    </row>
    <row r="29" spans="1:196" ht="15">
      <c r="A29" s="135" t="s">
        <v>411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9"/>
      <c r="K29" s="69"/>
      <c r="L29" s="69"/>
      <c r="M29" s="69"/>
      <c r="N29" s="140">
        <f>IFERROR(+O29/$O$18-1,"")</f>
        <v>0.71033935811631421</v>
      </c>
      <c r="O29" s="281">
        <f t="shared" si="75"/>
        <v>3985.0907044110122</v>
      </c>
      <c r="P29" s="131">
        <f t="shared" si="4"/>
        <v>0</v>
      </c>
      <c r="Q29" s="131">
        <f t="shared" ca="1" si="5"/>
        <v>0</v>
      </c>
      <c r="R29" s="62"/>
      <c r="S29" s="240" t="str">
        <f t="shared" si="71"/>
        <v/>
      </c>
      <c r="T29" s="672">
        <f t="shared" si="73"/>
        <v>0</v>
      </c>
      <c r="U29" s="674"/>
      <c r="V29" s="673">
        <f t="shared" ca="1" si="59"/>
        <v>0</v>
      </c>
      <c r="W29" s="505" t="str">
        <f t="shared" si="77"/>
        <v/>
      </c>
      <c r="X29" s="505" t="str">
        <f t="shared" si="78"/>
        <v/>
      </c>
      <c r="Y29" s="503">
        <f>IFERROR(VLOOKUP($X29,HomeBroker!$A$22:$F$100,2,0),0)</f>
        <v>0</v>
      </c>
      <c r="Z29" s="503">
        <f>IFERROR(VLOOKUP($X29,HomeBroker!$A$22:$F$100,3,0),0)</f>
        <v>0</v>
      </c>
      <c r="AA29" s="237">
        <f>IFERROR(VLOOKUP($X29,HomeBroker!$A$22:$F$100,6,0),0)</f>
        <v>0</v>
      </c>
      <c r="AB29" s="503">
        <f>IFERROR(VLOOKUP($X29,HomeBroker!$A$22:$F$100,4,0),0)</f>
        <v>0</v>
      </c>
      <c r="AC29" s="503">
        <f>IFERROR(VLOOKUP($X29,HomeBroker!$A$22:$F$100,5,0),0)</f>
        <v>0</v>
      </c>
      <c r="AD29" s="506">
        <f>IFERROR(VLOOKUP($X29,HomeBroker!$A$22:$N$100,14,0),0)</f>
        <v>0</v>
      </c>
      <c r="AE29" s="241" t="str">
        <f t="shared" si="62"/>
        <v/>
      </c>
      <c r="AF29" s="110">
        <f t="shared" si="74"/>
        <v>0</v>
      </c>
      <c r="AG29" s="145"/>
      <c r="AH29" s="504">
        <f t="shared" ca="1" si="64"/>
        <v>0</v>
      </c>
      <c r="AI29" s="505" t="str">
        <f t="shared" si="79"/>
        <v/>
      </c>
      <c r="AJ29" s="505" t="str">
        <f t="shared" si="80"/>
        <v/>
      </c>
      <c r="AK29" s="507">
        <f>IFERROR(VLOOKUP($AJ29,HomeBroker!$A$22:$F$100,2,0),0)</f>
        <v>0</v>
      </c>
      <c r="AL29" s="503">
        <f>IFERROR(VLOOKUP($AJ29,HomeBroker!$A$22:$F$100,3,0),0)</f>
        <v>0</v>
      </c>
      <c r="AM29" s="237">
        <f>IFERROR(VLOOKUP($AJ29,HomeBroker!$A$22:$F$100,6,0),0)</f>
        <v>0</v>
      </c>
      <c r="AN29" s="503">
        <f>IFERROR(VLOOKUP($AJ29,HomeBroker!$A$22:$F$100,4,0),0)</f>
        <v>0</v>
      </c>
      <c r="AO29" s="507">
        <f>IFERROR(VLOOKUP($AJ29,HomeBroker!$A$22:$F$100,5,0),0)</f>
        <v>0</v>
      </c>
      <c r="AP29" s="507">
        <f>IFERROR(VLOOKUP($AJ29,HomeBroker!$A$22:$N$100,14,0),0)</f>
        <v>0</v>
      </c>
      <c r="AQ29" s="62"/>
      <c r="AR29" s="240" t="str">
        <f t="shared" si="67"/>
        <v>-</v>
      </c>
      <c r="AS29" s="240" t="str">
        <f t="shared" si="68"/>
        <v>-</v>
      </c>
      <c r="AT29" s="240" t="str">
        <f t="shared" si="69"/>
        <v>-</v>
      </c>
      <c r="AU29" s="62"/>
      <c r="AV29" s="112"/>
      <c r="AW29" s="132" t="s">
        <v>354</v>
      </c>
      <c r="AX29" s="114"/>
      <c r="AY29" s="136"/>
      <c r="AZ29" s="137"/>
      <c r="BA29" s="285">
        <f t="shared" si="10"/>
        <v>0</v>
      </c>
      <c r="BB29" s="286">
        <f t="shared" si="11"/>
        <v>0</v>
      </c>
      <c r="BC29" s="116" t="s">
        <v>408</v>
      </c>
      <c r="BD29" s="114"/>
      <c r="BE29" s="139"/>
      <c r="BF29" s="117"/>
      <c r="BG29" s="287">
        <f t="shared" si="12"/>
        <v>0</v>
      </c>
      <c r="BH29" s="289">
        <f t="shared" si="13"/>
        <v>0</v>
      </c>
      <c r="BI29" s="118" t="s">
        <v>409</v>
      </c>
      <c r="BJ29" s="114"/>
      <c r="BK29" s="117"/>
      <c r="BL29" s="290">
        <f t="shared" si="14"/>
        <v>0</v>
      </c>
      <c r="BM29" s="291">
        <f t="shared" si="15"/>
        <v>0</v>
      </c>
      <c r="DH29" s="119">
        <f t="shared" si="16"/>
        <v>3985.0907044110122</v>
      </c>
      <c r="DI29" s="120">
        <f t="shared" si="17"/>
        <v>0</v>
      </c>
      <c r="DJ29" s="120">
        <f t="shared" si="18"/>
        <v>0</v>
      </c>
      <c r="DK29" s="120">
        <f t="shared" si="19"/>
        <v>0</v>
      </c>
      <c r="DL29" s="120">
        <f t="shared" si="20"/>
        <v>0</v>
      </c>
      <c r="DM29" s="120">
        <f t="shared" si="21"/>
        <v>0</v>
      </c>
      <c r="DN29" s="120">
        <f t="shared" si="22"/>
        <v>0</v>
      </c>
      <c r="DO29" s="120">
        <f t="shared" si="23"/>
        <v>0</v>
      </c>
      <c r="DP29" s="120">
        <f t="shared" si="24"/>
        <v>0</v>
      </c>
      <c r="DQ29" s="120">
        <f t="shared" si="25"/>
        <v>0</v>
      </c>
      <c r="DR29" s="120">
        <f t="shared" si="26"/>
        <v>0</v>
      </c>
      <c r="DS29" s="120">
        <f t="shared" si="27"/>
        <v>0</v>
      </c>
      <c r="DT29" s="120">
        <f t="shared" si="28"/>
        <v>0</v>
      </c>
      <c r="DU29" s="120">
        <f t="shared" si="29"/>
        <v>0</v>
      </c>
      <c r="DV29" s="120">
        <f t="shared" si="30"/>
        <v>0</v>
      </c>
      <c r="DW29" s="120">
        <f t="shared" si="31"/>
        <v>0</v>
      </c>
      <c r="DX29" s="120">
        <f t="shared" si="32"/>
        <v>0</v>
      </c>
      <c r="DY29" s="120">
        <f t="shared" si="33"/>
        <v>0</v>
      </c>
      <c r="DZ29" s="120">
        <f t="shared" si="34"/>
        <v>0</v>
      </c>
      <c r="EA29" s="120">
        <f t="shared" si="35"/>
        <v>0</v>
      </c>
      <c r="EB29" s="120">
        <f t="shared" si="36"/>
        <v>0</v>
      </c>
      <c r="EC29" s="120">
        <f t="shared" si="37"/>
        <v>0</v>
      </c>
      <c r="ED29" s="120">
        <f t="shared" si="38"/>
        <v>0</v>
      </c>
      <c r="EE29" s="120">
        <f t="shared" si="39"/>
        <v>0</v>
      </c>
      <c r="EF29" s="120">
        <f t="shared" si="40"/>
        <v>0</v>
      </c>
      <c r="EG29" s="120">
        <f t="shared" si="41"/>
        <v>0</v>
      </c>
      <c r="EH29" s="120">
        <f t="shared" si="42"/>
        <v>0</v>
      </c>
      <c r="EI29" s="120">
        <f t="shared" si="43"/>
        <v>0</v>
      </c>
      <c r="EJ29" s="120">
        <f t="shared" si="44"/>
        <v>0</v>
      </c>
      <c r="EK29" s="120">
        <f t="shared" si="45"/>
        <v>0</v>
      </c>
      <c r="EL29" s="120">
        <f t="shared" si="46"/>
        <v>0</v>
      </c>
      <c r="EM29" s="120">
        <f t="shared" si="47"/>
        <v>0</v>
      </c>
      <c r="EN29" s="120">
        <f t="shared" si="48"/>
        <v>0</v>
      </c>
      <c r="EO29" s="120">
        <f t="shared" si="49"/>
        <v>0</v>
      </c>
      <c r="EP29" s="120">
        <f t="shared" si="50"/>
        <v>0</v>
      </c>
      <c r="EQ29" s="120">
        <f t="shared" si="51"/>
        <v>0</v>
      </c>
      <c r="ER29" s="121"/>
      <c r="ES29" s="122">
        <f t="shared" si="52"/>
        <v>0</v>
      </c>
      <c r="ET29" s="121"/>
      <c r="EU29" s="134"/>
      <c r="EV29" s="124"/>
      <c r="EW29" s="125">
        <f t="shared" si="53"/>
        <v>0</v>
      </c>
      <c r="EX29" s="72"/>
      <c r="EY29" s="119">
        <f t="shared" si="54"/>
        <v>3985.0907044110122</v>
      </c>
      <c r="EZ29" s="120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0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0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0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0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0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0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0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0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0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0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0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0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0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0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0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0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0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0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0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0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0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0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0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0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0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0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0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0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0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0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0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0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0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0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1"/>
      <c r="GJ29" s="122">
        <f t="shared" ca="1" si="55"/>
        <v>0</v>
      </c>
      <c r="GK29" s="121"/>
      <c r="GL29" s="134"/>
      <c r="GM29" s="124"/>
      <c r="GN29" s="125">
        <f t="shared" ca="1" si="56"/>
        <v>0</v>
      </c>
    </row>
    <row r="30" spans="1:196" ht="15">
      <c r="A30" s="105" t="s">
        <v>407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9"/>
      <c r="K30" s="69"/>
      <c r="L30" s="69"/>
      <c r="M30" s="69"/>
      <c r="N30" s="140"/>
      <c r="O30" s="281">
        <f t="shared" si="75"/>
        <v>4184.3452396315633</v>
      </c>
      <c r="P30" s="138">
        <f t="shared" si="4"/>
        <v>0</v>
      </c>
      <c r="Q30" s="138">
        <f t="shared" ca="1" si="5"/>
        <v>0</v>
      </c>
      <c r="R30" s="62"/>
      <c r="S30" s="240" t="str">
        <f t="shared" si="71"/>
        <v/>
      </c>
      <c r="T30" s="672">
        <f t="shared" si="73"/>
        <v>0</v>
      </c>
      <c r="U30" s="674"/>
      <c r="V30" s="673">
        <f t="shared" ca="1" si="59"/>
        <v>0</v>
      </c>
      <c r="W30" s="505" t="str">
        <f t="shared" si="77"/>
        <v/>
      </c>
      <c r="X30" s="505" t="str">
        <f t="shared" si="78"/>
        <v/>
      </c>
      <c r="Y30" s="503">
        <f>IFERROR(VLOOKUP($X30,HomeBroker!$A$22:$F$100,2,0),0)</f>
        <v>0</v>
      </c>
      <c r="Z30" s="503">
        <f>IFERROR(VLOOKUP($X30,HomeBroker!$A$22:$F$100,3,0),0)</f>
        <v>0</v>
      </c>
      <c r="AA30" s="237">
        <f>IFERROR(VLOOKUP($X30,HomeBroker!$A$22:$F$100,6,0),0)</f>
        <v>0</v>
      </c>
      <c r="AB30" s="503">
        <f>IFERROR(VLOOKUP($X30,HomeBroker!$A$22:$F$100,4,0),0)</f>
        <v>0</v>
      </c>
      <c r="AC30" s="503">
        <f>IFERROR(VLOOKUP($X30,HomeBroker!$A$22:$F$100,5,0),0)</f>
        <v>0</v>
      </c>
      <c r="AD30" s="506">
        <f>IFERROR(VLOOKUP($X30,HomeBroker!$A$22:$N$100,14,0),0)</f>
        <v>0</v>
      </c>
      <c r="AE30" s="241" t="str">
        <f t="shared" si="62"/>
        <v/>
      </c>
      <c r="AF30" s="110">
        <f t="shared" si="74"/>
        <v>0</v>
      </c>
      <c r="AG30" s="145"/>
      <c r="AH30" s="504">
        <f t="shared" ca="1" si="64"/>
        <v>0</v>
      </c>
      <c r="AI30" s="505" t="str">
        <f t="shared" si="79"/>
        <v/>
      </c>
      <c r="AJ30" s="505" t="str">
        <f t="shared" si="80"/>
        <v/>
      </c>
      <c r="AK30" s="507">
        <f>IFERROR(VLOOKUP($AJ30,HomeBroker!$A$22:$F$100,2,0),0)</f>
        <v>0</v>
      </c>
      <c r="AL30" s="503">
        <f>IFERROR(VLOOKUP($AJ30,HomeBroker!$A$22:$F$100,3,0),0)</f>
        <v>0</v>
      </c>
      <c r="AM30" s="237">
        <f>IFERROR(VLOOKUP($AJ30,HomeBroker!$A$22:$F$100,6,0),0)</f>
        <v>0</v>
      </c>
      <c r="AN30" s="503">
        <f>IFERROR(VLOOKUP($AJ30,HomeBroker!$A$22:$F$100,4,0),0)</f>
        <v>0</v>
      </c>
      <c r="AO30" s="507">
        <f>IFERROR(VLOOKUP($AJ30,HomeBroker!$A$22:$F$100,5,0),0)</f>
        <v>0</v>
      </c>
      <c r="AP30" s="507">
        <f>IFERROR(VLOOKUP($AJ30,HomeBroker!$A$22:$N$100,14,0),0)</f>
        <v>0</v>
      </c>
      <c r="AQ30" s="62"/>
      <c r="AR30" s="240" t="str">
        <f t="shared" si="67"/>
        <v>-</v>
      </c>
      <c r="AS30" s="240" t="str">
        <f t="shared" si="68"/>
        <v>-</v>
      </c>
      <c r="AT30" s="240" t="str">
        <f t="shared" si="69"/>
        <v>-</v>
      </c>
      <c r="AU30" s="62"/>
      <c r="AV30" s="112"/>
      <c r="AW30" s="132" t="s">
        <v>354</v>
      </c>
      <c r="AX30" s="114"/>
      <c r="AY30" s="136"/>
      <c r="AZ30" s="137"/>
      <c r="BA30" s="285">
        <f t="shared" si="10"/>
        <v>0</v>
      </c>
      <c r="BB30" s="286">
        <f t="shared" si="11"/>
        <v>0</v>
      </c>
      <c r="BC30" s="116" t="s">
        <v>408</v>
      </c>
      <c r="BD30" s="114"/>
      <c r="BE30" s="139"/>
      <c r="BF30" s="117"/>
      <c r="BG30" s="287">
        <f t="shared" si="12"/>
        <v>0</v>
      </c>
      <c r="BH30" s="289">
        <f t="shared" si="13"/>
        <v>0</v>
      </c>
      <c r="BI30" s="118" t="s">
        <v>409</v>
      </c>
      <c r="BJ30" s="114"/>
      <c r="BK30" s="117"/>
      <c r="BL30" s="290">
        <f t="shared" si="14"/>
        <v>0</v>
      </c>
      <c r="BM30" s="291">
        <f t="shared" si="15"/>
        <v>0</v>
      </c>
      <c r="DH30" s="119">
        <f t="shared" si="16"/>
        <v>4184.3452396315633</v>
      </c>
      <c r="DI30" s="120">
        <f t="shared" si="17"/>
        <v>0</v>
      </c>
      <c r="DJ30" s="120">
        <f t="shared" si="18"/>
        <v>0</v>
      </c>
      <c r="DK30" s="120">
        <f t="shared" si="19"/>
        <v>0</v>
      </c>
      <c r="DL30" s="120">
        <f t="shared" si="20"/>
        <v>0</v>
      </c>
      <c r="DM30" s="120">
        <f t="shared" si="21"/>
        <v>0</v>
      </c>
      <c r="DN30" s="120">
        <f t="shared" si="22"/>
        <v>0</v>
      </c>
      <c r="DO30" s="120">
        <f t="shared" si="23"/>
        <v>0</v>
      </c>
      <c r="DP30" s="120">
        <f t="shared" si="24"/>
        <v>0</v>
      </c>
      <c r="DQ30" s="120">
        <f t="shared" si="25"/>
        <v>0</v>
      </c>
      <c r="DR30" s="120">
        <f t="shared" si="26"/>
        <v>0</v>
      </c>
      <c r="DS30" s="120">
        <f t="shared" si="27"/>
        <v>0</v>
      </c>
      <c r="DT30" s="120">
        <f t="shared" si="28"/>
        <v>0</v>
      </c>
      <c r="DU30" s="120">
        <f t="shared" si="29"/>
        <v>0</v>
      </c>
      <c r="DV30" s="120">
        <f t="shared" si="30"/>
        <v>0</v>
      </c>
      <c r="DW30" s="120">
        <f t="shared" si="31"/>
        <v>0</v>
      </c>
      <c r="DX30" s="120">
        <f t="shared" si="32"/>
        <v>0</v>
      </c>
      <c r="DY30" s="120">
        <f t="shared" si="33"/>
        <v>0</v>
      </c>
      <c r="DZ30" s="120">
        <f t="shared" si="34"/>
        <v>0</v>
      </c>
      <c r="EA30" s="120">
        <f t="shared" si="35"/>
        <v>0</v>
      </c>
      <c r="EB30" s="120">
        <f t="shared" si="36"/>
        <v>0</v>
      </c>
      <c r="EC30" s="120">
        <f t="shared" si="37"/>
        <v>0</v>
      </c>
      <c r="ED30" s="120">
        <f t="shared" si="38"/>
        <v>0</v>
      </c>
      <c r="EE30" s="120">
        <f t="shared" si="39"/>
        <v>0</v>
      </c>
      <c r="EF30" s="120">
        <f t="shared" si="40"/>
        <v>0</v>
      </c>
      <c r="EG30" s="120">
        <f t="shared" si="41"/>
        <v>0</v>
      </c>
      <c r="EH30" s="120">
        <f t="shared" si="42"/>
        <v>0</v>
      </c>
      <c r="EI30" s="120">
        <f t="shared" si="43"/>
        <v>0</v>
      </c>
      <c r="EJ30" s="120">
        <f t="shared" si="44"/>
        <v>0</v>
      </c>
      <c r="EK30" s="120">
        <f t="shared" si="45"/>
        <v>0</v>
      </c>
      <c r="EL30" s="120">
        <f t="shared" si="46"/>
        <v>0</v>
      </c>
      <c r="EM30" s="120">
        <f t="shared" si="47"/>
        <v>0</v>
      </c>
      <c r="EN30" s="120">
        <f t="shared" si="48"/>
        <v>0</v>
      </c>
      <c r="EO30" s="120">
        <f t="shared" si="49"/>
        <v>0</v>
      </c>
      <c r="EP30" s="120">
        <f t="shared" si="50"/>
        <v>0</v>
      </c>
      <c r="EQ30" s="120">
        <f t="shared" si="51"/>
        <v>0</v>
      </c>
      <c r="ER30" s="121"/>
      <c r="ES30" s="122">
        <f t="shared" si="52"/>
        <v>0</v>
      </c>
      <c r="ET30" s="121"/>
      <c r="EU30" s="134"/>
      <c r="EV30" s="124"/>
      <c r="EW30" s="125">
        <f t="shared" si="53"/>
        <v>0</v>
      </c>
      <c r="EX30" s="72"/>
      <c r="EY30" s="119">
        <f t="shared" si="54"/>
        <v>4184.3452396315633</v>
      </c>
      <c r="EZ30" s="120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0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0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0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0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0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0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0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0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0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0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0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0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0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0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0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0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0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0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0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0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0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0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0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0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0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0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0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0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0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0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0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0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0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0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1"/>
      <c r="GJ30" s="122">
        <f t="shared" ca="1" si="55"/>
        <v>0</v>
      </c>
      <c r="GK30" s="121"/>
      <c r="GL30" s="134"/>
      <c r="GM30" s="124"/>
      <c r="GN30" s="125">
        <f t="shared" ca="1" si="56"/>
        <v>0</v>
      </c>
    </row>
    <row r="31" spans="1:196" ht="15">
      <c r="A31" s="126" t="s">
        <v>410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7" t="str">
        <f>IFERROR(D30/D31,"")</f>
        <v/>
      </c>
      <c r="K31" s="128" t="str">
        <f>IFERROR(G30/G31,"")</f>
        <v/>
      </c>
      <c r="L31" s="129" t="str">
        <f>IFERROR(K31/J31-1,"")</f>
        <v/>
      </c>
      <c r="M31" s="130">
        <f>I30+I31</f>
        <v>0</v>
      </c>
      <c r="N31" s="107"/>
      <c r="O31" s="281">
        <f t="shared" si="75"/>
        <v>4393.5625016131416</v>
      </c>
      <c r="P31" s="131">
        <f t="shared" si="4"/>
        <v>0</v>
      </c>
      <c r="Q31" s="131">
        <f t="shared" ca="1" si="5"/>
        <v>0</v>
      </c>
      <c r="R31" s="62"/>
      <c r="S31" s="240" t="str">
        <f t="shared" si="71"/>
        <v/>
      </c>
      <c r="T31" s="672">
        <f t="shared" si="73"/>
        <v>0</v>
      </c>
      <c r="U31" s="674"/>
      <c r="V31" s="673">
        <f t="shared" ca="1" si="59"/>
        <v>0</v>
      </c>
      <c r="W31" s="505" t="str">
        <f t="shared" si="77"/>
        <v/>
      </c>
      <c r="X31" s="505" t="str">
        <f t="shared" si="78"/>
        <v/>
      </c>
      <c r="Y31" s="503">
        <f>IFERROR(VLOOKUP($X31,HomeBroker!$A$22:$F$100,2,0),0)</f>
        <v>0</v>
      </c>
      <c r="Z31" s="503">
        <f>IFERROR(VLOOKUP($X31,HomeBroker!$A$22:$F$100,3,0),0)</f>
        <v>0</v>
      </c>
      <c r="AA31" s="237">
        <f>IFERROR(VLOOKUP($X31,HomeBroker!$A$22:$F$100,6,0),0)</f>
        <v>0</v>
      </c>
      <c r="AB31" s="503">
        <f>IFERROR(VLOOKUP($X31,HomeBroker!$A$22:$F$100,4,0),0)</f>
        <v>0</v>
      </c>
      <c r="AC31" s="503">
        <f>IFERROR(VLOOKUP($X31,HomeBroker!$A$22:$F$100,5,0),0)</f>
        <v>0</v>
      </c>
      <c r="AD31" s="506">
        <f>IFERROR(VLOOKUP($X31,HomeBroker!$A$22:$N$100,14,0),0)</f>
        <v>0</v>
      </c>
      <c r="AE31" s="241" t="str">
        <f t="shared" si="62"/>
        <v/>
      </c>
      <c r="AF31" s="110">
        <f t="shared" si="74"/>
        <v>0</v>
      </c>
      <c r="AG31" s="145"/>
      <c r="AH31" s="504">
        <f t="shared" ca="1" si="64"/>
        <v>0</v>
      </c>
      <c r="AI31" s="505" t="str">
        <f t="shared" si="79"/>
        <v/>
      </c>
      <c r="AJ31" s="505" t="str">
        <f t="shared" si="80"/>
        <v/>
      </c>
      <c r="AK31" s="507">
        <f>IFERROR(VLOOKUP($AJ31,HomeBroker!$A$22:$F$100,2,0),0)</f>
        <v>0</v>
      </c>
      <c r="AL31" s="503">
        <f>IFERROR(VLOOKUP($AJ31,HomeBroker!$A$22:$F$100,3,0),0)</f>
        <v>0</v>
      </c>
      <c r="AM31" s="237">
        <f>IFERROR(VLOOKUP($AJ31,HomeBroker!$A$22:$F$100,6,0),0)</f>
        <v>0</v>
      </c>
      <c r="AN31" s="503">
        <f>IFERROR(VLOOKUP($AJ31,HomeBroker!$A$22:$F$100,4,0),0)</f>
        <v>0</v>
      </c>
      <c r="AO31" s="507">
        <f>IFERROR(VLOOKUP($AJ31,HomeBroker!$A$22:$F$100,5,0),0)</f>
        <v>0</v>
      </c>
      <c r="AP31" s="507">
        <f>IFERROR(VLOOKUP($AJ31,HomeBroker!$A$22:$N$100,14,0),0)</f>
        <v>0</v>
      </c>
      <c r="AQ31" s="62"/>
      <c r="AR31" s="240" t="str">
        <f t="shared" si="67"/>
        <v>-</v>
      </c>
      <c r="AS31" s="240" t="str">
        <f t="shared" si="68"/>
        <v>-</v>
      </c>
      <c r="AT31" s="240" t="str">
        <f t="shared" si="69"/>
        <v>-</v>
      </c>
      <c r="AU31" s="62"/>
      <c r="AV31" s="112"/>
      <c r="AW31" s="132" t="s">
        <v>354</v>
      </c>
      <c r="AX31" s="114"/>
      <c r="AY31" s="136"/>
      <c r="AZ31" s="137"/>
      <c r="BA31" s="285">
        <f t="shared" si="10"/>
        <v>0</v>
      </c>
      <c r="BB31" s="286">
        <f t="shared" si="11"/>
        <v>0</v>
      </c>
      <c r="BC31" s="116" t="s">
        <v>408</v>
      </c>
      <c r="BD31" s="114"/>
      <c r="BE31" s="139"/>
      <c r="BF31" s="117"/>
      <c r="BG31" s="287">
        <f t="shared" si="12"/>
        <v>0</v>
      </c>
      <c r="BH31" s="289">
        <f t="shared" si="13"/>
        <v>0</v>
      </c>
      <c r="BI31" s="118" t="s">
        <v>409</v>
      </c>
      <c r="BJ31" s="114"/>
      <c r="BK31" s="117"/>
      <c r="BL31" s="290">
        <f t="shared" si="14"/>
        <v>0</v>
      </c>
      <c r="BM31" s="291">
        <f t="shared" si="15"/>
        <v>0</v>
      </c>
      <c r="DH31" s="119">
        <f t="shared" si="16"/>
        <v>4393.5625016131416</v>
      </c>
      <c r="DI31" s="120">
        <f t="shared" si="17"/>
        <v>0</v>
      </c>
      <c r="DJ31" s="120">
        <f t="shared" si="18"/>
        <v>0</v>
      </c>
      <c r="DK31" s="120">
        <f t="shared" si="19"/>
        <v>0</v>
      </c>
      <c r="DL31" s="120">
        <f t="shared" si="20"/>
        <v>0</v>
      </c>
      <c r="DM31" s="120">
        <f t="shared" si="21"/>
        <v>0</v>
      </c>
      <c r="DN31" s="120">
        <f t="shared" si="22"/>
        <v>0</v>
      </c>
      <c r="DO31" s="120">
        <f t="shared" si="23"/>
        <v>0</v>
      </c>
      <c r="DP31" s="120">
        <f t="shared" si="24"/>
        <v>0</v>
      </c>
      <c r="DQ31" s="120">
        <f t="shared" si="25"/>
        <v>0</v>
      </c>
      <c r="DR31" s="120">
        <f t="shared" si="26"/>
        <v>0</v>
      </c>
      <c r="DS31" s="120">
        <f t="shared" si="27"/>
        <v>0</v>
      </c>
      <c r="DT31" s="120">
        <f t="shared" si="28"/>
        <v>0</v>
      </c>
      <c r="DU31" s="120">
        <f t="shared" si="29"/>
        <v>0</v>
      </c>
      <c r="DV31" s="120">
        <f t="shared" si="30"/>
        <v>0</v>
      </c>
      <c r="DW31" s="120">
        <f t="shared" si="31"/>
        <v>0</v>
      </c>
      <c r="DX31" s="120">
        <f t="shared" si="32"/>
        <v>0</v>
      </c>
      <c r="DY31" s="120">
        <f t="shared" si="33"/>
        <v>0</v>
      </c>
      <c r="DZ31" s="120">
        <f t="shared" si="34"/>
        <v>0</v>
      </c>
      <c r="EA31" s="120">
        <f t="shared" si="35"/>
        <v>0</v>
      </c>
      <c r="EB31" s="120">
        <f t="shared" si="36"/>
        <v>0</v>
      </c>
      <c r="EC31" s="120">
        <f t="shared" si="37"/>
        <v>0</v>
      </c>
      <c r="ED31" s="120">
        <f t="shared" si="38"/>
        <v>0</v>
      </c>
      <c r="EE31" s="120">
        <f t="shared" si="39"/>
        <v>0</v>
      </c>
      <c r="EF31" s="120">
        <f t="shared" si="40"/>
        <v>0</v>
      </c>
      <c r="EG31" s="120">
        <f t="shared" si="41"/>
        <v>0</v>
      </c>
      <c r="EH31" s="120">
        <f t="shared" si="42"/>
        <v>0</v>
      </c>
      <c r="EI31" s="120">
        <f t="shared" si="43"/>
        <v>0</v>
      </c>
      <c r="EJ31" s="120">
        <f t="shared" si="44"/>
        <v>0</v>
      </c>
      <c r="EK31" s="120">
        <f t="shared" si="45"/>
        <v>0</v>
      </c>
      <c r="EL31" s="120">
        <f t="shared" si="46"/>
        <v>0</v>
      </c>
      <c r="EM31" s="120">
        <f t="shared" si="47"/>
        <v>0</v>
      </c>
      <c r="EN31" s="120">
        <f t="shared" si="48"/>
        <v>0</v>
      </c>
      <c r="EO31" s="120">
        <f t="shared" si="49"/>
        <v>0</v>
      </c>
      <c r="EP31" s="120">
        <f t="shared" si="50"/>
        <v>0</v>
      </c>
      <c r="EQ31" s="120">
        <f t="shared" si="51"/>
        <v>0</v>
      </c>
      <c r="ER31" s="121"/>
      <c r="ES31" s="122">
        <f t="shared" si="52"/>
        <v>0</v>
      </c>
      <c r="ET31" s="121"/>
      <c r="EU31" s="134"/>
      <c r="EV31" s="124"/>
      <c r="EW31" s="125">
        <f t="shared" si="53"/>
        <v>0</v>
      </c>
      <c r="EX31" s="72"/>
      <c r="EY31" s="119">
        <f t="shared" si="54"/>
        <v>4393.5625016131416</v>
      </c>
      <c r="EZ31" s="120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0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0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0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0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0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0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0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0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0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0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0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0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0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0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0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0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0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0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0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0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0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0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0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0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0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0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0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0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0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0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0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0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0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0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1"/>
      <c r="GJ31" s="122">
        <f t="shared" ca="1" si="55"/>
        <v>0</v>
      </c>
      <c r="GK31" s="121"/>
      <c r="GL31" s="134"/>
      <c r="GM31" s="124"/>
      <c r="GN31" s="125">
        <f t="shared" ca="1" si="56"/>
        <v>0</v>
      </c>
    </row>
    <row r="32" spans="1:196" ht="15">
      <c r="A32" s="135" t="s">
        <v>411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9"/>
      <c r="K32" s="69"/>
      <c r="L32" s="69"/>
      <c r="M32" s="69"/>
      <c r="N32" s="107"/>
      <c r="O32" s="281">
        <f t="shared" si="75"/>
        <v>4613.2406266937987</v>
      </c>
      <c r="P32" s="131">
        <f t="shared" si="4"/>
        <v>0</v>
      </c>
      <c r="Q32" s="131">
        <f t="shared" ca="1" si="5"/>
        <v>0</v>
      </c>
      <c r="R32" s="62"/>
      <c r="S32" s="240" t="str">
        <f t="shared" si="71"/>
        <v/>
      </c>
      <c r="T32" s="672">
        <f t="shared" si="73"/>
        <v>0</v>
      </c>
      <c r="U32" s="674"/>
      <c r="V32" s="673">
        <f t="shared" ca="1" si="59"/>
        <v>0</v>
      </c>
      <c r="W32" s="505" t="str">
        <f t="shared" si="77"/>
        <v/>
      </c>
      <c r="X32" s="505" t="str">
        <f t="shared" si="78"/>
        <v/>
      </c>
      <c r="Y32" s="503">
        <f>IFERROR(VLOOKUP($X32,HomeBroker!$A$22:$F$100,2,0),0)</f>
        <v>0</v>
      </c>
      <c r="Z32" s="503">
        <f>IFERROR(VLOOKUP($X32,HomeBroker!$A$22:$F$100,3,0),0)</f>
        <v>0</v>
      </c>
      <c r="AA32" s="237">
        <f>IFERROR(VLOOKUP($X32,HomeBroker!$A$22:$F$100,6,0),0)</f>
        <v>0</v>
      </c>
      <c r="AB32" s="503">
        <f>IFERROR(VLOOKUP($X32,HomeBroker!$A$22:$F$100,4,0),0)</f>
        <v>0</v>
      </c>
      <c r="AC32" s="503">
        <f>IFERROR(VLOOKUP($X32,HomeBroker!$A$22:$F$100,5,0),0)</f>
        <v>0</v>
      </c>
      <c r="AD32" s="506">
        <f>IFERROR(VLOOKUP($X32,HomeBroker!$A$22:$N$100,14,0),0)</f>
        <v>0</v>
      </c>
      <c r="AE32" s="241" t="str">
        <f t="shared" si="62"/>
        <v/>
      </c>
      <c r="AF32" s="110">
        <f t="shared" si="74"/>
        <v>0</v>
      </c>
      <c r="AG32" s="145"/>
      <c r="AH32" s="504">
        <f t="shared" ca="1" si="64"/>
        <v>0</v>
      </c>
      <c r="AI32" s="505" t="str">
        <f t="shared" si="79"/>
        <v/>
      </c>
      <c r="AJ32" s="505" t="str">
        <f t="shared" si="80"/>
        <v/>
      </c>
      <c r="AK32" s="507">
        <f>IFERROR(VLOOKUP($AJ32,HomeBroker!$A$22:$F$100,2,0),0)</f>
        <v>0</v>
      </c>
      <c r="AL32" s="503">
        <f>IFERROR(VLOOKUP($AJ32,HomeBroker!$A$22:$F$100,3,0),0)</f>
        <v>0</v>
      </c>
      <c r="AM32" s="237">
        <f>IFERROR(VLOOKUP($AJ32,HomeBroker!$A$22:$F$100,6,0),0)</f>
        <v>0</v>
      </c>
      <c r="AN32" s="503">
        <f>IFERROR(VLOOKUP($AJ32,HomeBroker!$A$22:$F$100,4,0),0)</f>
        <v>0</v>
      </c>
      <c r="AO32" s="507">
        <f>IFERROR(VLOOKUP($AJ32,HomeBroker!$A$22:$F$100,5,0),0)</f>
        <v>0</v>
      </c>
      <c r="AP32" s="507">
        <f>IFERROR(VLOOKUP($AJ32,HomeBroker!$A$22:$N$100,14,0),0)</f>
        <v>0</v>
      </c>
      <c r="AQ32" s="62"/>
      <c r="AR32" s="240" t="str">
        <f t="shared" si="67"/>
        <v>-</v>
      </c>
      <c r="AS32" s="240" t="str">
        <f t="shared" si="68"/>
        <v>-</v>
      </c>
      <c r="AT32" s="240" t="str">
        <f t="shared" si="69"/>
        <v>-</v>
      </c>
      <c r="AU32" s="62"/>
      <c r="AV32" s="112"/>
      <c r="AW32" s="132" t="s">
        <v>354</v>
      </c>
      <c r="AX32" s="114"/>
      <c r="AY32" s="136"/>
      <c r="AZ32" s="137"/>
      <c r="BA32" s="285">
        <f t="shared" si="10"/>
        <v>0</v>
      </c>
      <c r="BB32" s="286">
        <f t="shared" si="11"/>
        <v>0</v>
      </c>
      <c r="BC32" s="116" t="s">
        <v>408</v>
      </c>
      <c r="BD32" s="114"/>
      <c r="BE32" s="139"/>
      <c r="BF32" s="117"/>
      <c r="BG32" s="287">
        <f t="shared" si="12"/>
        <v>0</v>
      </c>
      <c r="BH32" s="289">
        <f t="shared" si="13"/>
        <v>0</v>
      </c>
      <c r="BI32" s="118" t="s">
        <v>409</v>
      </c>
      <c r="BJ32" s="114"/>
      <c r="BK32" s="117"/>
      <c r="BL32" s="290">
        <f t="shared" si="14"/>
        <v>0</v>
      </c>
      <c r="BM32" s="291">
        <f t="shared" si="15"/>
        <v>0</v>
      </c>
      <c r="DH32" s="119">
        <f t="shared" si="16"/>
        <v>4613.2406266937987</v>
      </c>
      <c r="DI32" s="120">
        <f t="shared" si="17"/>
        <v>0</v>
      </c>
      <c r="DJ32" s="120">
        <f t="shared" si="18"/>
        <v>0</v>
      </c>
      <c r="DK32" s="120">
        <f t="shared" si="19"/>
        <v>0</v>
      </c>
      <c r="DL32" s="120">
        <f t="shared" si="20"/>
        <v>0</v>
      </c>
      <c r="DM32" s="120">
        <f t="shared" si="21"/>
        <v>0</v>
      </c>
      <c r="DN32" s="120">
        <f t="shared" si="22"/>
        <v>0</v>
      </c>
      <c r="DO32" s="120">
        <f t="shared" si="23"/>
        <v>0</v>
      </c>
      <c r="DP32" s="120">
        <f t="shared" si="24"/>
        <v>0</v>
      </c>
      <c r="DQ32" s="120">
        <f t="shared" si="25"/>
        <v>0</v>
      </c>
      <c r="DR32" s="120">
        <f t="shared" si="26"/>
        <v>0</v>
      </c>
      <c r="DS32" s="120">
        <f t="shared" si="27"/>
        <v>0</v>
      </c>
      <c r="DT32" s="120">
        <f t="shared" si="28"/>
        <v>0</v>
      </c>
      <c r="DU32" s="120">
        <f t="shared" si="29"/>
        <v>0</v>
      </c>
      <c r="DV32" s="120">
        <f t="shared" si="30"/>
        <v>0</v>
      </c>
      <c r="DW32" s="120">
        <f t="shared" si="31"/>
        <v>0</v>
      </c>
      <c r="DX32" s="120">
        <f t="shared" si="32"/>
        <v>0</v>
      </c>
      <c r="DY32" s="120">
        <f t="shared" si="33"/>
        <v>0</v>
      </c>
      <c r="DZ32" s="120">
        <f t="shared" si="34"/>
        <v>0</v>
      </c>
      <c r="EA32" s="120">
        <f t="shared" si="35"/>
        <v>0</v>
      </c>
      <c r="EB32" s="120">
        <f t="shared" si="36"/>
        <v>0</v>
      </c>
      <c r="EC32" s="120">
        <f t="shared" si="37"/>
        <v>0</v>
      </c>
      <c r="ED32" s="120">
        <f t="shared" si="38"/>
        <v>0</v>
      </c>
      <c r="EE32" s="120">
        <f t="shared" si="39"/>
        <v>0</v>
      </c>
      <c r="EF32" s="120">
        <f t="shared" si="40"/>
        <v>0</v>
      </c>
      <c r="EG32" s="120">
        <f t="shared" si="41"/>
        <v>0</v>
      </c>
      <c r="EH32" s="120">
        <f t="shared" si="42"/>
        <v>0</v>
      </c>
      <c r="EI32" s="120">
        <f t="shared" si="43"/>
        <v>0</v>
      </c>
      <c r="EJ32" s="120">
        <f t="shared" si="44"/>
        <v>0</v>
      </c>
      <c r="EK32" s="120">
        <f t="shared" si="45"/>
        <v>0</v>
      </c>
      <c r="EL32" s="120">
        <f t="shared" si="46"/>
        <v>0</v>
      </c>
      <c r="EM32" s="120">
        <f t="shared" si="47"/>
        <v>0</v>
      </c>
      <c r="EN32" s="120">
        <f t="shared" si="48"/>
        <v>0</v>
      </c>
      <c r="EO32" s="120">
        <f t="shared" si="49"/>
        <v>0</v>
      </c>
      <c r="EP32" s="120">
        <f t="shared" si="50"/>
        <v>0</v>
      </c>
      <c r="EQ32" s="120">
        <f t="shared" si="51"/>
        <v>0</v>
      </c>
      <c r="ER32" s="121"/>
      <c r="ES32" s="122">
        <f t="shared" si="52"/>
        <v>0</v>
      </c>
      <c r="ET32" s="121"/>
      <c r="EU32" s="134"/>
      <c r="EV32" s="124"/>
      <c r="EW32" s="125">
        <f t="shared" si="53"/>
        <v>0</v>
      </c>
      <c r="EX32" s="72"/>
      <c r="EY32" s="119">
        <f t="shared" si="54"/>
        <v>4613.2406266937987</v>
      </c>
      <c r="EZ32" s="120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0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0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0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0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0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0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0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0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0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0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0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0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0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0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0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0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0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0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0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0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0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0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0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0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0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0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0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0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0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0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0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0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0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0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1"/>
      <c r="GJ32" s="122">
        <f t="shared" ca="1" si="55"/>
        <v>0</v>
      </c>
      <c r="GK32" s="121"/>
      <c r="GL32" s="134"/>
      <c r="GM32" s="124"/>
      <c r="GN32" s="125">
        <f t="shared" ca="1" si="56"/>
        <v>0</v>
      </c>
    </row>
    <row r="33" spans="1:196" ht="15">
      <c r="A33" s="105" t="s">
        <v>407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9"/>
      <c r="K33" s="69"/>
      <c r="L33" s="69"/>
      <c r="M33" s="69"/>
      <c r="N33" s="107"/>
      <c r="O33" s="281">
        <f t="shared" si="75"/>
        <v>4843.902658028489</v>
      </c>
      <c r="P33" s="138">
        <f t="shared" si="4"/>
        <v>0</v>
      </c>
      <c r="Q33" s="138">
        <f t="shared" ca="1" si="5"/>
        <v>0</v>
      </c>
      <c r="R33" s="62"/>
      <c r="S33" s="240" t="str">
        <f t="shared" si="71"/>
        <v/>
      </c>
      <c r="T33" s="672">
        <f t="shared" si="73"/>
        <v>0</v>
      </c>
      <c r="U33" s="674"/>
      <c r="V33" s="673">
        <f t="shared" ca="1" si="59"/>
        <v>0</v>
      </c>
      <c r="W33" s="505" t="str">
        <f t="shared" si="77"/>
        <v/>
      </c>
      <c r="X33" s="505" t="str">
        <f t="shared" si="78"/>
        <v/>
      </c>
      <c r="Y33" s="503">
        <f>IFERROR(VLOOKUP($X33,HomeBroker!$A$22:$F$100,2,0),0)</f>
        <v>0</v>
      </c>
      <c r="Z33" s="503">
        <f>IFERROR(VLOOKUP($X33,HomeBroker!$A$22:$F$100,3,0),0)</f>
        <v>0</v>
      </c>
      <c r="AA33" s="237">
        <f>IFERROR(VLOOKUP($X33,HomeBroker!$A$22:$F$100,6,0),0)</f>
        <v>0</v>
      </c>
      <c r="AB33" s="503">
        <f>IFERROR(VLOOKUP($X33,HomeBroker!$A$22:$F$100,4,0),0)</f>
        <v>0</v>
      </c>
      <c r="AC33" s="503">
        <f>IFERROR(VLOOKUP($X33,HomeBroker!$A$22:$F$100,5,0),0)</f>
        <v>0</v>
      </c>
      <c r="AD33" s="506">
        <f>IFERROR(VLOOKUP($X33,HomeBroker!$A$22:$N$100,14,0),0)</f>
        <v>0</v>
      </c>
      <c r="AE33" s="241" t="str">
        <f t="shared" si="62"/>
        <v/>
      </c>
      <c r="AF33" s="110">
        <f t="shared" si="74"/>
        <v>0</v>
      </c>
      <c r="AG33" s="145"/>
      <c r="AH33" s="504">
        <f t="shared" ca="1" si="64"/>
        <v>0</v>
      </c>
      <c r="AI33" s="505" t="str">
        <f t="shared" si="79"/>
        <v/>
      </c>
      <c r="AJ33" s="505" t="str">
        <f t="shared" si="80"/>
        <v/>
      </c>
      <c r="AK33" s="507">
        <f>IFERROR(VLOOKUP($AJ33,HomeBroker!$A$22:$F$100,2,0),0)</f>
        <v>0</v>
      </c>
      <c r="AL33" s="503">
        <f>IFERROR(VLOOKUP($AJ33,HomeBroker!$A$22:$F$100,3,0),0)</f>
        <v>0</v>
      </c>
      <c r="AM33" s="237">
        <f>IFERROR(VLOOKUP($AJ33,HomeBroker!$A$22:$F$100,6,0),0)</f>
        <v>0</v>
      </c>
      <c r="AN33" s="503">
        <f>IFERROR(VLOOKUP($AJ33,HomeBroker!$A$22:$F$100,4,0),0)</f>
        <v>0</v>
      </c>
      <c r="AO33" s="507">
        <f>IFERROR(VLOOKUP($AJ33,HomeBroker!$A$22:$F$100,5,0),0)</f>
        <v>0</v>
      </c>
      <c r="AP33" s="507">
        <f>IFERROR(VLOOKUP($AJ33,HomeBroker!$A$22:$N$100,14,0),0)</f>
        <v>0</v>
      </c>
      <c r="AQ33" s="62"/>
      <c r="AR33" s="240" t="str">
        <f t="shared" si="67"/>
        <v>-</v>
      </c>
      <c r="AS33" s="240" t="str">
        <f t="shared" si="68"/>
        <v>-</v>
      </c>
      <c r="AT33" s="240" t="str">
        <f t="shared" si="69"/>
        <v>-</v>
      </c>
      <c r="AU33" s="62"/>
      <c r="AV33" s="112"/>
      <c r="AW33" s="132" t="s">
        <v>354</v>
      </c>
      <c r="AX33" s="114"/>
      <c r="AY33" s="136"/>
      <c r="AZ33" s="137"/>
      <c r="BA33" s="285">
        <f t="shared" si="10"/>
        <v>0</v>
      </c>
      <c r="BB33" s="286">
        <f t="shared" si="11"/>
        <v>0</v>
      </c>
      <c r="BC33" s="116" t="s">
        <v>408</v>
      </c>
      <c r="BD33" s="114"/>
      <c r="BE33" s="139"/>
      <c r="BF33" s="117"/>
      <c r="BG33" s="287">
        <f t="shared" si="12"/>
        <v>0</v>
      </c>
      <c r="BH33" s="289">
        <f t="shared" si="13"/>
        <v>0</v>
      </c>
      <c r="BI33" s="118" t="s">
        <v>409</v>
      </c>
      <c r="BJ33" s="114"/>
      <c r="BK33" s="117"/>
      <c r="BL33" s="290">
        <f t="shared" si="14"/>
        <v>0</v>
      </c>
      <c r="BM33" s="291">
        <f t="shared" si="15"/>
        <v>0</v>
      </c>
      <c r="DH33" s="119">
        <f t="shared" si="16"/>
        <v>4843.902658028489</v>
      </c>
      <c r="DI33" s="120">
        <f t="shared" si="17"/>
        <v>0</v>
      </c>
      <c r="DJ33" s="120">
        <f t="shared" si="18"/>
        <v>0</v>
      </c>
      <c r="DK33" s="120">
        <f t="shared" si="19"/>
        <v>0</v>
      </c>
      <c r="DL33" s="120">
        <f t="shared" si="20"/>
        <v>0</v>
      </c>
      <c r="DM33" s="120">
        <f t="shared" si="21"/>
        <v>0</v>
      </c>
      <c r="DN33" s="120">
        <f t="shared" si="22"/>
        <v>0</v>
      </c>
      <c r="DO33" s="120">
        <f t="shared" si="23"/>
        <v>0</v>
      </c>
      <c r="DP33" s="120">
        <f t="shared" si="24"/>
        <v>0</v>
      </c>
      <c r="DQ33" s="120">
        <f t="shared" si="25"/>
        <v>0</v>
      </c>
      <c r="DR33" s="120">
        <f t="shared" si="26"/>
        <v>0</v>
      </c>
      <c r="DS33" s="120">
        <f t="shared" si="27"/>
        <v>0</v>
      </c>
      <c r="DT33" s="120">
        <f t="shared" si="28"/>
        <v>0</v>
      </c>
      <c r="DU33" s="120">
        <f t="shared" si="29"/>
        <v>0</v>
      </c>
      <c r="DV33" s="120">
        <f t="shared" si="30"/>
        <v>0</v>
      </c>
      <c r="DW33" s="120">
        <f t="shared" si="31"/>
        <v>0</v>
      </c>
      <c r="DX33" s="120">
        <f t="shared" si="32"/>
        <v>0</v>
      </c>
      <c r="DY33" s="120">
        <f t="shared" si="33"/>
        <v>0</v>
      </c>
      <c r="DZ33" s="120">
        <f t="shared" si="34"/>
        <v>0</v>
      </c>
      <c r="EA33" s="120">
        <f t="shared" si="35"/>
        <v>0</v>
      </c>
      <c r="EB33" s="120">
        <f t="shared" si="36"/>
        <v>0</v>
      </c>
      <c r="EC33" s="120">
        <f t="shared" si="37"/>
        <v>0</v>
      </c>
      <c r="ED33" s="120">
        <f t="shared" si="38"/>
        <v>0</v>
      </c>
      <c r="EE33" s="120">
        <f t="shared" si="39"/>
        <v>0</v>
      </c>
      <c r="EF33" s="120">
        <f t="shared" si="40"/>
        <v>0</v>
      </c>
      <c r="EG33" s="120">
        <f t="shared" si="41"/>
        <v>0</v>
      </c>
      <c r="EH33" s="120">
        <f t="shared" si="42"/>
        <v>0</v>
      </c>
      <c r="EI33" s="120">
        <f t="shared" si="43"/>
        <v>0</v>
      </c>
      <c r="EJ33" s="120">
        <f t="shared" si="44"/>
        <v>0</v>
      </c>
      <c r="EK33" s="120">
        <f t="shared" si="45"/>
        <v>0</v>
      </c>
      <c r="EL33" s="120">
        <f t="shared" si="46"/>
        <v>0</v>
      </c>
      <c r="EM33" s="120">
        <f t="shared" si="47"/>
        <v>0</v>
      </c>
      <c r="EN33" s="120">
        <f t="shared" si="48"/>
        <v>0</v>
      </c>
      <c r="EO33" s="120">
        <f t="shared" si="49"/>
        <v>0</v>
      </c>
      <c r="EP33" s="120">
        <f t="shared" si="50"/>
        <v>0</v>
      </c>
      <c r="EQ33" s="120">
        <f t="shared" si="51"/>
        <v>0</v>
      </c>
      <c r="ER33" s="121"/>
      <c r="ES33" s="122">
        <f t="shared" si="52"/>
        <v>0</v>
      </c>
      <c r="ET33" s="121"/>
      <c r="EU33" s="134"/>
      <c r="EV33" s="124"/>
      <c r="EW33" s="125">
        <f t="shared" si="53"/>
        <v>0</v>
      </c>
      <c r="EX33" s="72"/>
      <c r="EY33" s="119">
        <f t="shared" si="54"/>
        <v>4843.902658028489</v>
      </c>
      <c r="EZ33" s="120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0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0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0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0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0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0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0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0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0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0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0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0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0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0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0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0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0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0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0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0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0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0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0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0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0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0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0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0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0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0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0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0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0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0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1"/>
      <c r="GJ33" s="122">
        <f t="shared" ca="1" si="55"/>
        <v>0</v>
      </c>
      <c r="GK33" s="121"/>
      <c r="GL33" s="134"/>
      <c r="GM33" s="124"/>
      <c r="GN33" s="125">
        <f t="shared" ca="1" si="56"/>
        <v>0</v>
      </c>
    </row>
    <row r="34" spans="1:196" ht="15.75" thickBot="1">
      <c r="A34" s="126" t="s">
        <v>410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7" t="str">
        <f>IFERROR(D33/D34,"")</f>
        <v/>
      </c>
      <c r="K34" s="128" t="str">
        <f>IFERROR(G33/G34,"")</f>
        <v/>
      </c>
      <c r="L34" s="129" t="str">
        <f>IFERROR(K34/J34-1,"")</f>
        <v/>
      </c>
      <c r="M34" s="130">
        <f>I33+I34</f>
        <v>0</v>
      </c>
      <c r="N34" s="149"/>
      <c r="O34" s="282">
        <f t="shared" si="75"/>
        <v>5086.0977909299136</v>
      </c>
      <c r="P34" s="150">
        <f t="shared" si="4"/>
        <v>0</v>
      </c>
      <c r="Q34" s="150">
        <f t="shared" ca="1" si="5"/>
        <v>0</v>
      </c>
      <c r="R34" s="151"/>
      <c r="S34" s="240" t="str">
        <f t="shared" si="71"/>
        <v/>
      </c>
      <c r="T34" s="672">
        <f t="shared" si="73"/>
        <v>0</v>
      </c>
      <c r="U34" s="674"/>
      <c r="V34" s="673">
        <f t="shared" ca="1" si="59"/>
        <v>0</v>
      </c>
      <c r="W34" s="505" t="str">
        <f t="shared" si="77"/>
        <v/>
      </c>
      <c r="X34" s="505" t="str">
        <f t="shared" si="78"/>
        <v/>
      </c>
      <c r="Y34" s="503">
        <f>IFERROR(VLOOKUP($X34,HomeBroker!$A$22:$F$100,2,0),0)</f>
        <v>0</v>
      </c>
      <c r="Z34" s="503">
        <f>IFERROR(VLOOKUP($X34,HomeBroker!$A$22:$F$100,3,0),0)</f>
        <v>0</v>
      </c>
      <c r="AA34" s="237">
        <f>IFERROR(VLOOKUP($X34,HomeBroker!$A$22:$F$100,6,0),0)</f>
        <v>0</v>
      </c>
      <c r="AB34" s="503">
        <f>IFERROR(VLOOKUP($X34,HomeBroker!$A$22:$F$100,4,0),0)</f>
        <v>0</v>
      </c>
      <c r="AC34" s="503">
        <f>IFERROR(VLOOKUP($X34,HomeBroker!$A$22:$F$100,5,0),0)</f>
        <v>0</v>
      </c>
      <c r="AD34" s="506">
        <f>IFERROR(VLOOKUP($X34,HomeBroker!$A$22:$N$100,14,0),0)</f>
        <v>0</v>
      </c>
      <c r="AE34" s="241" t="str">
        <f t="shared" si="62"/>
        <v/>
      </c>
      <c r="AF34" s="110">
        <f t="shared" si="74"/>
        <v>0</v>
      </c>
      <c r="AG34" s="111"/>
      <c r="AH34" s="504">
        <f t="shared" ca="1" si="64"/>
        <v>0</v>
      </c>
      <c r="AI34" s="505" t="str">
        <f t="shared" si="79"/>
        <v/>
      </c>
      <c r="AJ34" s="505" t="str">
        <f t="shared" si="80"/>
        <v/>
      </c>
      <c r="AK34" s="507">
        <f>IFERROR(VLOOKUP($AJ34,HomeBroker!$A$22:$F$100,2,0),0)</f>
        <v>0</v>
      </c>
      <c r="AL34" s="503">
        <f>IFERROR(VLOOKUP($AJ34,HomeBroker!$A$22:$F$100,3,0),0)</f>
        <v>0</v>
      </c>
      <c r="AM34" s="237">
        <f>IFERROR(VLOOKUP($AJ34,HomeBroker!$A$22:$F$100,6,0),0)</f>
        <v>0</v>
      </c>
      <c r="AN34" s="503">
        <f>IFERROR(VLOOKUP($AJ34,HomeBroker!$A$22:$F$100,4,0),0)</f>
        <v>0</v>
      </c>
      <c r="AO34" s="507">
        <f>IFERROR(VLOOKUP($AJ34,HomeBroker!$A$22:$F$100,5,0),0)</f>
        <v>0</v>
      </c>
      <c r="AP34" s="507">
        <f>IFERROR(VLOOKUP($AJ34,HomeBroker!$A$22:$N$100,14,0),0)</f>
        <v>0</v>
      </c>
      <c r="AQ34" s="62"/>
      <c r="AR34" s="240" t="str">
        <f t="shared" si="67"/>
        <v>-</v>
      </c>
      <c r="AS34" s="240" t="str">
        <f t="shared" si="68"/>
        <v>-</v>
      </c>
      <c r="AT34" s="240" t="str">
        <f t="shared" si="69"/>
        <v>-</v>
      </c>
      <c r="AU34" s="62"/>
      <c r="AV34" s="112"/>
      <c r="AW34" s="132" t="s">
        <v>354</v>
      </c>
      <c r="AX34" s="114"/>
      <c r="AY34" s="136"/>
      <c r="AZ34" s="137"/>
      <c r="BA34" s="285">
        <f t="shared" si="10"/>
        <v>0</v>
      </c>
      <c r="BB34" s="286">
        <f t="shared" si="11"/>
        <v>0</v>
      </c>
      <c r="BC34" s="116" t="s">
        <v>408</v>
      </c>
      <c r="BD34" s="114"/>
      <c r="BE34" s="139"/>
      <c r="BF34" s="117"/>
      <c r="BG34" s="287">
        <f t="shared" si="12"/>
        <v>0</v>
      </c>
      <c r="BH34" s="289">
        <f t="shared" si="13"/>
        <v>0</v>
      </c>
      <c r="BI34" s="118" t="s">
        <v>409</v>
      </c>
      <c r="BJ34" s="114"/>
      <c r="BK34" s="117"/>
      <c r="BL34" s="290">
        <f t="shared" si="14"/>
        <v>0</v>
      </c>
      <c r="BM34" s="291">
        <f t="shared" si="15"/>
        <v>0</v>
      </c>
      <c r="DH34" s="119">
        <f t="shared" si="16"/>
        <v>5086.0977909299136</v>
      </c>
      <c r="DI34" s="120">
        <f t="shared" si="17"/>
        <v>0</v>
      </c>
      <c r="DJ34" s="120">
        <f t="shared" si="18"/>
        <v>0</v>
      </c>
      <c r="DK34" s="120">
        <f t="shared" si="19"/>
        <v>0</v>
      </c>
      <c r="DL34" s="120">
        <f t="shared" si="20"/>
        <v>0</v>
      </c>
      <c r="DM34" s="120">
        <f t="shared" si="21"/>
        <v>0</v>
      </c>
      <c r="DN34" s="120">
        <f t="shared" si="22"/>
        <v>0</v>
      </c>
      <c r="DO34" s="120">
        <f t="shared" si="23"/>
        <v>0</v>
      </c>
      <c r="DP34" s="120">
        <f t="shared" si="24"/>
        <v>0</v>
      </c>
      <c r="DQ34" s="120">
        <f t="shared" si="25"/>
        <v>0</v>
      </c>
      <c r="DR34" s="120">
        <f t="shared" si="26"/>
        <v>0</v>
      </c>
      <c r="DS34" s="120">
        <f t="shared" si="27"/>
        <v>0</v>
      </c>
      <c r="DT34" s="120">
        <f t="shared" si="28"/>
        <v>0</v>
      </c>
      <c r="DU34" s="120">
        <f t="shared" si="29"/>
        <v>0</v>
      </c>
      <c r="DV34" s="120">
        <f t="shared" si="30"/>
        <v>0</v>
      </c>
      <c r="DW34" s="120">
        <f t="shared" si="31"/>
        <v>0</v>
      </c>
      <c r="DX34" s="120">
        <f t="shared" si="32"/>
        <v>0</v>
      </c>
      <c r="DY34" s="120">
        <f t="shared" si="33"/>
        <v>0</v>
      </c>
      <c r="DZ34" s="120">
        <f t="shared" si="34"/>
        <v>0</v>
      </c>
      <c r="EA34" s="120">
        <f t="shared" si="35"/>
        <v>0</v>
      </c>
      <c r="EB34" s="120">
        <f t="shared" si="36"/>
        <v>0</v>
      </c>
      <c r="EC34" s="120">
        <f t="shared" si="37"/>
        <v>0</v>
      </c>
      <c r="ED34" s="120">
        <f t="shared" si="38"/>
        <v>0</v>
      </c>
      <c r="EE34" s="120">
        <f t="shared" si="39"/>
        <v>0</v>
      </c>
      <c r="EF34" s="120">
        <f t="shared" si="40"/>
        <v>0</v>
      </c>
      <c r="EG34" s="120">
        <f t="shared" si="41"/>
        <v>0</v>
      </c>
      <c r="EH34" s="120">
        <f t="shared" si="42"/>
        <v>0</v>
      </c>
      <c r="EI34" s="120">
        <f t="shared" si="43"/>
        <v>0</v>
      </c>
      <c r="EJ34" s="120">
        <f t="shared" si="44"/>
        <v>0</v>
      </c>
      <c r="EK34" s="120">
        <f t="shared" si="45"/>
        <v>0</v>
      </c>
      <c r="EL34" s="120">
        <f t="shared" si="46"/>
        <v>0</v>
      </c>
      <c r="EM34" s="120">
        <f t="shared" si="47"/>
        <v>0</v>
      </c>
      <c r="EN34" s="120">
        <f t="shared" si="48"/>
        <v>0</v>
      </c>
      <c r="EO34" s="120">
        <f t="shared" si="49"/>
        <v>0</v>
      </c>
      <c r="EP34" s="120">
        <f t="shared" si="50"/>
        <v>0</v>
      </c>
      <c r="EQ34" s="120">
        <f t="shared" si="51"/>
        <v>0</v>
      </c>
      <c r="ER34" s="121"/>
      <c r="ES34" s="122">
        <f t="shared" si="52"/>
        <v>0</v>
      </c>
      <c r="ET34" s="121"/>
      <c r="EU34" s="152"/>
      <c r="EV34" s="153"/>
      <c r="EW34" s="154">
        <f t="shared" si="53"/>
        <v>0</v>
      </c>
      <c r="EX34" s="72"/>
      <c r="EY34" s="119">
        <f t="shared" si="54"/>
        <v>5086.0977909299136</v>
      </c>
      <c r="EZ34" s="120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0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0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0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0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0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0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0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0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0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0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0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0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0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0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0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0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0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0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0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0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0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0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0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0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0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0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0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0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0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0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0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0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0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0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1"/>
      <c r="GJ34" s="122">
        <f t="shared" ca="1" si="55"/>
        <v>0</v>
      </c>
      <c r="GK34" s="121"/>
      <c r="GL34" s="152"/>
      <c r="GM34" s="153"/>
      <c r="GN34" s="154">
        <f t="shared" ca="1" si="56"/>
        <v>0</v>
      </c>
    </row>
    <row r="35" spans="1:196" ht="15">
      <c r="A35" s="135" t="s">
        <v>411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9"/>
      <c r="K35" s="69"/>
      <c r="L35" s="69"/>
      <c r="M35" s="69"/>
      <c r="N35" s="155"/>
      <c r="O35" s="155"/>
      <c r="P35" s="155"/>
      <c r="Q35" s="155"/>
      <c r="R35" s="62"/>
      <c r="S35" s="240" t="str">
        <f t="shared" si="71"/>
        <v/>
      </c>
      <c r="T35" s="672">
        <f t="shared" si="73"/>
        <v>0</v>
      </c>
      <c r="U35" s="674"/>
      <c r="V35" s="673">
        <f t="shared" ca="1" si="59"/>
        <v>0</v>
      </c>
      <c r="W35" s="505" t="str">
        <f t="shared" si="77"/>
        <v/>
      </c>
      <c r="X35" s="505" t="str">
        <f t="shared" si="78"/>
        <v/>
      </c>
      <c r="Y35" s="503">
        <f>IFERROR(VLOOKUP($X35,HomeBroker!$A$22:$F$100,2,0),0)</f>
        <v>0</v>
      </c>
      <c r="Z35" s="503">
        <f>IFERROR(VLOOKUP($X35,HomeBroker!$A$22:$F$100,3,0),0)</f>
        <v>0</v>
      </c>
      <c r="AA35" s="237">
        <f>IFERROR(VLOOKUP($X35,HomeBroker!$A$22:$F$100,6,0),0)</f>
        <v>0</v>
      </c>
      <c r="AB35" s="503">
        <f>IFERROR(VLOOKUP($X35,HomeBroker!$A$22:$F$100,4,0),0)</f>
        <v>0</v>
      </c>
      <c r="AC35" s="503">
        <f>IFERROR(VLOOKUP($X35,HomeBroker!$A$22:$F$100,5,0),0)</f>
        <v>0</v>
      </c>
      <c r="AD35" s="506">
        <f>IFERROR(VLOOKUP($X35,HomeBroker!$A$22:$N$100,14,0),0)</f>
        <v>0</v>
      </c>
      <c r="AE35" s="241" t="str">
        <f t="shared" si="62"/>
        <v/>
      </c>
      <c r="AF35" s="110">
        <f t="shared" si="74"/>
        <v>0</v>
      </c>
      <c r="AG35" s="111"/>
      <c r="AH35" s="504">
        <f t="shared" ca="1" si="64"/>
        <v>0</v>
      </c>
      <c r="AI35" s="505" t="str">
        <f t="shared" si="79"/>
        <v/>
      </c>
      <c r="AJ35" s="505" t="str">
        <f t="shared" si="80"/>
        <v/>
      </c>
      <c r="AK35" s="507">
        <f>IFERROR(VLOOKUP($AJ35,HomeBroker!$A$22:$F$100,2,0),0)</f>
        <v>0</v>
      </c>
      <c r="AL35" s="503">
        <f>IFERROR(VLOOKUP($AJ35,HomeBroker!$A$22:$F$100,3,0),0)</f>
        <v>0</v>
      </c>
      <c r="AM35" s="237">
        <f>IFERROR(VLOOKUP($AJ35,HomeBroker!$A$22:$F$100,6,0),0)</f>
        <v>0</v>
      </c>
      <c r="AN35" s="503">
        <f>IFERROR(VLOOKUP($AJ35,HomeBroker!$A$22:$F$100,4,0),0)</f>
        <v>0</v>
      </c>
      <c r="AO35" s="507">
        <f>IFERROR(VLOOKUP($AJ35,HomeBroker!$A$22:$F$100,5,0),0)</f>
        <v>0</v>
      </c>
      <c r="AP35" s="507">
        <f>IFERROR(VLOOKUP($AJ35,HomeBroker!$A$22:$N$100,14,0),0)</f>
        <v>0</v>
      </c>
      <c r="AQ35" s="62"/>
      <c r="AR35" s="240" t="str">
        <f t="shared" si="67"/>
        <v>-</v>
      </c>
      <c r="AS35" s="240" t="str">
        <f t="shared" si="68"/>
        <v>-</v>
      </c>
      <c r="AT35" s="240" t="str">
        <f t="shared" si="69"/>
        <v>-</v>
      </c>
      <c r="AU35" s="62"/>
      <c r="AV35" s="112"/>
      <c r="AW35" s="132" t="s">
        <v>354</v>
      </c>
      <c r="AX35" s="114"/>
      <c r="AY35" s="136"/>
      <c r="AZ35" s="137"/>
      <c r="BA35" s="285">
        <f t="shared" si="10"/>
        <v>0</v>
      </c>
      <c r="BB35" s="286">
        <f t="shared" si="11"/>
        <v>0</v>
      </c>
      <c r="BC35" s="116" t="s">
        <v>408</v>
      </c>
      <c r="BD35" s="114"/>
      <c r="BE35" s="139"/>
      <c r="BF35" s="117"/>
      <c r="BG35" s="287">
        <f t="shared" si="12"/>
        <v>0</v>
      </c>
      <c r="BH35" s="289">
        <f t="shared" si="13"/>
        <v>0</v>
      </c>
      <c r="BI35" s="118" t="s">
        <v>409</v>
      </c>
      <c r="BJ35" s="114"/>
      <c r="BK35" s="117"/>
      <c r="BL35" s="290">
        <f t="shared" si="14"/>
        <v>0</v>
      </c>
      <c r="BM35" s="291">
        <f t="shared" si="15"/>
        <v>0</v>
      </c>
      <c r="DH35" s="156" t="s">
        <v>351</v>
      </c>
      <c r="DI35" s="157" t="s">
        <v>412</v>
      </c>
      <c r="DJ35" s="157" t="s">
        <v>413</v>
      </c>
      <c r="DK35" s="157" t="s">
        <v>414</v>
      </c>
      <c r="DL35" s="157" t="s">
        <v>415</v>
      </c>
      <c r="DM35" s="157" t="s">
        <v>416</v>
      </c>
      <c r="DN35" s="157" t="s">
        <v>417</v>
      </c>
      <c r="DO35" s="157" t="s">
        <v>418</v>
      </c>
      <c r="DP35" s="157" t="s">
        <v>419</v>
      </c>
      <c r="DQ35" s="157" t="s">
        <v>420</v>
      </c>
      <c r="DR35" s="157" t="s">
        <v>421</v>
      </c>
      <c r="DS35" s="157" t="s">
        <v>422</v>
      </c>
      <c r="DT35" s="157" t="s">
        <v>423</v>
      </c>
      <c r="DU35" s="157" t="s">
        <v>424</v>
      </c>
      <c r="DV35" s="157" t="s">
        <v>425</v>
      </c>
      <c r="DW35" s="157" t="s">
        <v>426</v>
      </c>
      <c r="DX35" s="157" t="s">
        <v>427</v>
      </c>
      <c r="DY35" s="157" t="s">
        <v>428</v>
      </c>
      <c r="DZ35" s="157" t="s">
        <v>429</v>
      </c>
      <c r="EA35" s="157" t="s">
        <v>430</v>
      </c>
      <c r="EB35" s="157" t="s">
        <v>431</v>
      </c>
      <c r="EC35" s="157" t="s">
        <v>432</v>
      </c>
      <c r="ED35" s="157" t="s">
        <v>433</v>
      </c>
      <c r="EE35" s="157" t="s">
        <v>434</v>
      </c>
      <c r="EF35" s="157" t="s">
        <v>435</v>
      </c>
      <c r="EG35" s="157" t="s">
        <v>436</v>
      </c>
      <c r="EH35" s="157" t="s">
        <v>437</v>
      </c>
      <c r="EI35" s="157" t="s">
        <v>438</v>
      </c>
      <c r="EJ35" s="157" t="s">
        <v>439</v>
      </c>
      <c r="EK35" s="157" t="s">
        <v>440</v>
      </c>
      <c r="EL35" s="157" t="s">
        <v>441</v>
      </c>
      <c r="EM35" s="157" t="s">
        <v>442</v>
      </c>
      <c r="EN35" s="157" t="s">
        <v>443</v>
      </c>
      <c r="EO35" s="157" t="s">
        <v>444</v>
      </c>
      <c r="EP35" s="157" t="s">
        <v>445</v>
      </c>
      <c r="EQ35" s="157" t="s">
        <v>446</v>
      </c>
      <c r="ER35" s="158" t="s">
        <v>447</v>
      </c>
      <c r="ES35" s="158" t="s">
        <v>448</v>
      </c>
      <c r="ET35" s="158" t="s">
        <v>449</v>
      </c>
      <c r="EU35" s="158" t="s">
        <v>417</v>
      </c>
      <c r="EV35" s="121"/>
      <c r="EW35" s="159" t="s">
        <v>405</v>
      </c>
      <c r="EX35" s="72"/>
      <c r="EY35" s="156" t="s">
        <v>351</v>
      </c>
      <c r="EZ35" s="157" t="s">
        <v>412</v>
      </c>
      <c r="FA35" s="157" t="s">
        <v>413</v>
      </c>
      <c r="FB35" s="157" t="s">
        <v>414</v>
      </c>
      <c r="FC35" s="157" t="s">
        <v>415</v>
      </c>
      <c r="FD35" s="157" t="s">
        <v>416</v>
      </c>
      <c r="FE35" s="157" t="s">
        <v>417</v>
      </c>
      <c r="FF35" s="157" t="s">
        <v>418</v>
      </c>
      <c r="FG35" s="157" t="s">
        <v>419</v>
      </c>
      <c r="FH35" s="157" t="s">
        <v>420</v>
      </c>
      <c r="FI35" s="157" t="s">
        <v>421</v>
      </c>
      <c r="FJ35" s="157" t="s">
        <v>422</v>
      </c>
      <c r="FK35" s="157" t="s">
        <v>423</v>
      </c>
      <c r="FL35" s="157" t="s">
        <v>424</v>
      </c>
      <c r="FM35" s="157" t="s">
        <v>425</v>
      </c>
      <c r="FN35" s="157" t="s">
        <v>426</v>
      </c>
      <c r="FO35" s="157" t="s">
        <v>427</v>
      </c>
      <c r="FP35" s="157" t="s">
        <v>428</v>
      </c>
      <c r="FQ35" s="157" t="s">
        <v>429</v>
      </c>
      <c r="FR35" s="157" t="s">
        <v>430</v>
      </c>
      <c r="FS35" s="157" t="s">
        <v>431</v>
      </c>
      <c r="FT35" s="157" t="s">
        <v>432</v>
      </c>
      <c r="FU35" s="157" t="s">
        <v>433</v>
      </c>
      <c r="FV35" s="157" t="s">
        <v>434</v>
      </c>
      <c r="FW35" s="157" t="s">
        <v>435</v>
      </c>
      <c r="FX35" s="157" t="s">
        <v>436</v>
      </c>
      <c r="FY35" s="157" t="s">
        <v>437</v>
      </c>
      <c r="FZ35" s="157" t="s">
        <v>438</v>
      </c>
      <c r="GA35" s="157" t="s">
        <v>439</v>
      </c>
      <c r="GB35" s="157" t="s">
        <v>440</v>
      </c>
      <c r="GC35" s="157" t="s">
        <v>441</v>
      </c>
      <c r="GD35" s="157" t="s">
        <v>442</v>
      </c>
      <c r="GE35" s="157" t="s">
        <v>443</v>
      </c>
      <c r="GF35" s="157" t="s">
        <v>444</v>
      </c>
      <c r="GG35" s="157" t="s">
        <v>445</v>
      </c>
      <c r="GH35" s="157" t="s">
        <v>446</v>
      </c>
      <c r="GI35" s="158" t="s">
        <v>447</v>
      </c>
      <c r="GJ35" s="158" t="s">
        <v>448</v>
      </c>
      <c r="GK35" s="158" t="s">
        <v>449</v>
      </c>
      <c r="GL35" s="158" t="s">
        <v>417</v>
      </c>
      <c r="GM35" s="121"/>
      <c r="GN35" s="159" t="s">
        <v>405</v>
      </c>
    </row>
    <row r="36" spans="1:196" ht="15">
      <c r="A36" s="160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9"/>
      <c r="K36" s="69"/>
      <c r="L36" s="69"/>
      <c r="M36" s="69"/>
      <c r="N36" s="800" t="s">
        <v>450</v>
      </c>
      <c r="O36" s="795"/>
      <c r="P36" s="796"/>
      <c r="Q36" s="161">
        <f>SUM(BB:BB)+SUM(BH:BH)+SUM(BM:BM)+$F$76</f>
        <v>0</v>
      </c>
      <c r="R36" s="62"/>
      <c r="S36" s="240" t="str">
        <f t="shared" si="71"/>
        <v/>
      </c>
      <c r="T36" s="672">
        <f t="shared" si="73"/>
        <v>0</v>
      </c>
      <c r="U36" s="674"/>
      <c r="V36" s="673">
        <f t="shared" ca="1" si="59"/>
        <v>0</v>
      </c>
      <c r="W36" s="505" t="str">
        <f t="shared" si="77"/>
        <v/>
      </c>
      <c r="X36" s="505" t="str">
        <f t="shared" si="78"/>
        <v/>
      </c>
      <c r="Y36" s="503">
        <f>IFERROR(VLOOKUP($X36,HomeBroker!$A$22:$F$100,2,0),0)</f>
        <v>0</v>
      </c>
      <c r="Z36" s="503">
        <f>IFERROR(VLOOKUP($X36,HomeBroker!$A$22:$F$100,3,0),0)</f>
        <v>0</v>
      </c>
      <c r="AA36" s="237">
        <f>IFERROR(VLOOKUP($X36,HomeBroker!$A$22:$F$100,6,0),0)</f>
        <v>0</v>
      </c>
      <c r="AB36" s="503">
        <f>IFERROR(VLOOKUP($X36,HomeBroker!$A$22:$F$100,4,0),0)</f>
        <v>0</v>
      </c>
      <c r="AC36" s="503">
        <f>IFERROR(VLOOKUP($X36,HomeBroker!$A$22:$F$100,5,0),0)</f>
        <v>0</v>
      </c>
      <c r="AD36" s="506">
        <f>IFERROR(VLOOKUP($X36,HomeBroker!$A$22:$N$100,14,0),0)</f>
        <v>0</v>
      </c>
      <c r="AE36" s="241" t="str">
        <f t="shared" si="62"/>
        <v/>
      </c>
      <c r="AF36" s="110">
        <f t="shared" si="74"/>
        <v>0</v>
      </c>
      <c r="AG36" s="111"/>
      <c r="AH36" s="504">
        <f t="shared" ca="1" si="64"/>
        <v>0</v>
      </c>
      <c r="AI36" s="505" t="str">
        <f t="shared" si="79"/>
        <v/>
      </c>
      <c r="AJ36" s="505" t="str">
        <f t="shared" si="80"/>
        <v/>
      </c>
      <c r="AK36" s="507">
        <f>IFERROR(VLOOKUP($AJ36,HomeBroker!$A$22:$F$100,2,0),0)</f>
        <v>0</v>
      </c>
      <c r="AL36" s="503">
        <f>IFERROR(VLOOKUP($AJ36,HomeBroker!$A$22:$F$100,3,0),0)</f>
        <v>0</v>
      </c>
      <c r="AM36" s="237">
        <f>IFERROR(VLOOKUP($AJ36,HomeBroker!$A$22:$F$100,6,0),0)</f>
        <v>0</v>
      </c>
      <c r="AN36" s="503">
        <f>IFERROR(VLOOKUP($AJ36,HomeBroker!$A$22:$F$100,4,0),0)</f>
        <v>0</v>
      </c>
      <c r="AO36" s="507">
        <f>IFERROR(VLOOKUP($AJ36,HomeBroker!$A$22:$F$100,5,0),0)</f>
        <v>0</v>
      </c>
      <c r="AP36" s="507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2"/>
      <c r="AW36" s="132" t="s">
        <v>354</v>
      </c>
      <c r="AX36" s="114"/>
      <c r="AY36" s="136"/>
      <c r="AZ36" s="137"/>
      <c r="BA36" s="285">
        <f t="shared" si="10"/>
        <v>0</v>
      </c>
      <c r="BB36" s="286">
        <f t="shared" si="11"/>
        <v>0</v>
      </c>
      <c r="BC36" s="116" t="s">
        <v>408</v>
      </c>
      <c r="BD36" s="114"/>
      <c r="BE36" s="139"/>
      <c r="BF36" s="117"/>
      <c r="BG36" s="287">
        <f t="shared" si="12"/>
        <v>0</v>
      </c>
      <c r="BH36" s="289">
        <f t="shared" si="13"/>
        <v>0</v>
      </c>
      <c r="BI36" s="118" t="s">
        <v>409</v>
      </c>
      <c r="BJ36" s="114"/>
      <c r="BK36" s="117"/>
      <c r="BL36" s="290">
        <f t="shared" si="14"/>
        <v>0</v>
      </c>
      <c r="BM36" s="291">
        <f t="shared" si="15"/>
        <v>0</v>
      </c>
      <c r="DH36" s="119">
        <f t="shared" ref="DH36:DH67" si="81">DH3</f>
        <v>1079.4685662722245</v>
      </c>
      <c r="DI36" s="120">
        <f t="shared" ref="DI36:DI67" si="82">IF($DH36&lt;$C$38,$B$38*100*($C$38-$DH36),0)</f>
        <v>0</v>
      </c>
      <c r="DJ36" s="120">
        <f t="shared" ref="DJ36:DJ67" si="83">IF($DH36&lt;$C$39,$B$39*100*($C$39-$DH36),0)</f>
        <v>0</v>
      </c>
      <c r="DK36" s="120">
        <f t="shared" ref="DK36:DK67" si="84">IF($DH36&lt;$C$40,$B$40*100*($C$40-$DH36),0)</f>
        <v>0</v>
      </c>
      <c r="DL36" s="120">
        <f t="shared" ref="DL36:DL67" si="85">IF($DH36&lt;$C$41,$B$41*100*($C$41-$DH36),0)</f>
        <v>0</v>
      </c>
      <c r="DM36" s="120">
        <f t="shared" ref="DM36:DM67" si="86">IF($DH36&lt;$C$42,$B$42*100*($C$42-$DH36),0)</f>
        <v>0</v>
      </c>
      <c r="DN36" s="120">
        <f t="shared" ref="DN36:DN67" si="87">IF($DH36&lt;$C$43,$B$43*100*($C$43-$DH36),0)</f>
        <v>0</v>
      </c>
      <c r="DO36" s="120">
        <f t="shared" ref="DO36:DO67" si="88">IF($DH36&lt;$C$44,$B$44*100*($C$44-$DH36),0)</f>
        <v>0</v>
      </c>
      <c r="DP36" s="120">
        <f t="shared" ref="DP36:DP67" si="89">IF($DH36&lt;$C$45,$B$45*100*($C$45-$DH36),0)</f>
        <v>0</v>
      </c>
      <c r="DQ36" s="120">
        <f t="shared" ref="DQ36:DQ67" si="90">IF($DH36&lt;$C$46,$B$46*100*($C$46-$DH36),0)</f>
        <v>0</v>
      </c>
      <c r="DR36" s="120">
        <f t="shared" ref="DR36:DR67" si="91">IF($DH36&lt;$C$47,$B$47*100*($C$47-$DH36),0)</f>
        <v>0</v>
      </c>
      <c r="DS36" s="120">
        <f t="shared" ref="DS36:DS67" si="92">IF($DH36&lt;$C$48,$B$48*100*($C$48-$DH36),0)</f>
        <v>0</v>
      </c>
      <c r="DT36" s="120">
        <f t="shared" ref="DT36:DT67" si="93">IF($DH36&lt;$C$49,$B$49*100*($C$49-$DH36),0)</f>
        <v>0</v>
      </c>
      <c r="DU36" s="120">
        <f t="shared" ref="DU36:DU67" si="94">IF($DH36&lt;$C$50,$B$50*100*($C$50-$DH36),0)</f>
        <v>0</v>
      </c>
      <c r="DV36" s="120">
        <f t="shared" ref="DV36:DV67" si="95">IF($DH36&lt;$C$51,$B$51*100*($C$51-$DH36),0)</f>
        <v>0</v>
      </c>
      <c r="DW36" s="120">
        <f t="shared" ref="DW36:DW67" si="96">IF($DH36&lt;$C$52,$B$52*100*($C$52-$DH36),0)</f>
        <v>0</v>
      </c>
      <c r="DX36" s="120">
        <f t="shared" ref="DX36:DX67" si="97">IF($DH36&lt;$C$53,$B$53*100*($C$53-$DH36),0)</f>
        <v>0</v>
      </c>
      <c r="DY36" s="120">
        <f t="shared" ref="DY36:DY67" si="98">IF($DH36&lt;$C$54,$B$54*100*($C$54-$DH36),0)</f>
        <v>0</v>
      </c>
      <c r="DZ36" s="120">
        <f t="shared" ref="DZ36:DZ67" si="99">IF($DH36&lt;$C$55,$B$55*100*($C$55-$DH36),0)</f>
        <v>0</v>
      </c>
      <c r="EA36" s="120">
        <f t="shared" ref="EA36:EA67" si="100">IF($DH36&lt;$C$56,$B$56*100*($C$56-$DH36),0)</f>
        <v>0</v>
      </c>
      <c r="EB36" s="120">
        <f t="shared" ref="EB36:EB67" si="101">IF($DH36&lt;$C$57,$B$57*100*($C$57-$DH36),0)</f>
        <v>0</v>
      </c>
      <c r="EC36" s="120">
        <f t="shared" ref="EC36:EC67" si="102">IF($DH36&lt;$C$58,$B$58*100*($C$58-$DH36),0)</f>
        <v>0</v>
      </c>
      <c r="ED36" s="120">
        <f t="shared" ref="ED36:ED67" si="103">IF($DH36&lt;$C$59,$B$59*100*($C$59-$DH36),0)</f>
        <v>0</v>
      </c>
      <c r="EE36" s="120">
        <f t="shared" ref="EE36:EE67" si="104">IF($DH36&lt;$C$60,$B$60*100*($C$60-$DH36),0)</f>
        <v>0</v>
      </c>
      <c r="EF36" s="120">
        <f t="shared" ref="EF36:EF67" si="105">IF($DH36&lt;$C$61,$B$61*100*($C$61-$DH36),0)</f>
        <v>0</v>
      </c>
      <c r="EG36" s="120">
        <f t="shared" ref="EG36:EG67" si="106">IF($DH36&lt;$C$62,$B$62*100*($C$62-$DH36),0)</f>
        <v>0</v>
      </c>
      <c r="EH36" s="120">
        <f t="shared" ref="EH36:EH67" si="107">IF($DH36&lt;$C$63,$B$63*100*($C$63-$DH36),0)</f>
        <v>0</v>
      </c>
      <c r="EI36" s="120">
        <f t="shared" ref="EI36:EI67" si="108">IF($DH36&lt;$C$64,$B$64*100*($C$64-$DH36),0)</f>
        <v>0</v>
      </c>
      <c r="EJ36" s="120">
        <f t="shared" ref="EJ36:EJ67" si="109">IF($DH36&lt;$C$65,$B$65*100*($C$65-$DH36),0)</f>
        <v>0</v>
      </c>
      <c r="EK36" s="120">
        <f t="shared" ref="EK36:EK67" si="110">IF($DH36&lt;$C$66,$B$66*100*($C$66-$DH36),0)</f>
        <v>0</v>
      </c>
      <c r="EL36" s="120">
        <f t="shared" ref="EL36:EL67" si="111">IF($DH36&lt;$C$67,$B$67*100*($C$67-$DH36),0)</f>
        <v>0</v>
      </c>
      <c r="EM36" s="120">
        <f t="shared" ref="EM36:EM67" si="112">IF($DH36&lt;$C$68,$B$68*100*($C$68-$DH36),0)</f>
        <v>0</v>
      </c>
      <c r="EN36" s="120">
        <f t="shared" ref="EN36:EN67" si="113">IF($DH36&lt;$C$69,$B$69*100*($C$69-$DH36),0)</f>
        <v>0</v>
      </c>
      <c r="EO36" s="120">
        <f t="shared" ref="EO36:EO67" si="114">IF($DH36&lt;$C$70,$B$70*100*($C$70-$DH36),0)</f>
        <v>0</v>
      </c>
      <c r="EP36" s="120">
        <f t="shared" ref="EP36:EP67" si="115">IF($DH36&lt;$C$71,$B$71*100*($C$71-$DH36),0)</f>
        <v>0</v>
      </c>
      <c r="EQ36" s="120">
        <f t="shared" ref="EQ36:EQ67" si="116">IF($DH36&lt;$C$72,$B$72*100*($C$72-$DH36),0)</f>
        <v>0</v>
      </c>
      <c r="ER36" s="120">
        <f t="shared" ref="ER36:ER67" si="117">$DH36*$B$73</f>
        <v>0</v>
      </c>
      <c r="ES36" s="120">
        <f t="shared" ref="ES36:ES67" si="118">$DH36*$B$74</f>
        <v>0</v>
      </c>
      <c r="ET36" s="120">
        <f t="shared" ref="ET36:ET67" si="119">$DH36*$B$75</f>
        <v>0</v>
      </c>
      <c r="EU36" s="120">
        <f t="shared" ref="EU36:EU67" si="120">$DH36*$AE$43</f>
        <v>0</v>
      </c>
      <c r="EV36" s="121"/>
      <c r="EW36" s="162">
        <f t="shared" ref="EW36:EW67" si="121">SUM(DI36:EU36)</f>
        <v>0</v>
      </c>
      <c r="EX36" s="72"/>
      <c r="EY36" s="119">
        <f t="shared" ref="EY36:EY67" si="122">EY3</f>
        <v>1079.4685662722245</v>
      </c>
      <c r="EZ36" s="120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0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0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0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0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0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0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0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0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0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0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0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0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0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0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0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0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0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0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0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0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0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0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0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0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0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0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0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0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0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0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0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0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0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0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0">
        <f t="shared" ref="GI36:GI67" si="123">$EY36*$B$73</f>
        <v>0</v>
      </c>
      <c r="GJ36" s="120">
        <f t="shared" ref="GJ36:GJ67" si="124">$EY36*$B$74</f>
        <v>0</v>
      </c>
      <c r="GK36" s="120">
        <f t="shared" ref="GK36:GK67" si="125">$EY36*$B$75</f>
        <v>0</v>
      </c>
      <c r="GL36" s="120">
        <f t="shared" ref="GL36:GL67" si="126">$EY36*$AE$43</f>
        <v>0</v>
      </c>
      <c r="GM36" s="121"/>
      <c r="GN36" s="162">
        <f t="shared" ref="GN36:GN67" ca="1" si="127">SUM(EZ36:GL36)</f>
        <v>0</v>
      </c>
    </row>
    <row r="37" spans="1:196" ht="15.75" thickBot="1">
      <c r="A37" s="163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4"/>
      <c r="K37" s="165"/>
      <c r="L37" s="165"/>
      <c r="M37" s="166"/>
      <c r="N37" s="800" t="s">
        <v>451</v>
      </c>
      <c r="O37" s="795"/>
      <c r="P37" s="796"/>
      <c r="Q37" s="167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0" t="str">
        <f t="shared" si="71"/>
        <v/>
      </c>
      <c r="T37" s="672">
        <f t="shared" si="73"/>
        <v>0</v>
      </c>
      <c r="U37" s="674"/>
      <c r="V37" s="673">
        <f t="shared" ca="1" si="59"/>
        <v>0</v>
      </c>
      <c r="W37" s="505" t="str">
        <f t="shared" si="77"/>
        <v/>
      </c>
      <c r="X37" s="505" t="str">
        <f t="shared" si="78"/>
        <v/>
      </c>
      <c r="Y37" s="503">
        <f>IFERROR(VLOOKUP($X37,HomeBroker!$A$22:$F$100,2,0),0)</f>
        <v>0</v>
      </c>
      <c r="Z37" s="503">
        <f>IFERROR(VLOOKUP($X37,HomeBroker!$A$22:$F$100,3,0),0)</f>
        <v>0</v>
      </c>
      <c r="AA37" s="237">
        <f>IFERROR(VLOOKUP($X37,HomeBroker!$A$22:$F$100,6,0),0)</f>
        <v>0</v>
      </c>
      <c r="AB37" s="503">
        <f>IFERROR(VLOOKUP($X37,HomeBroker!$A$22:$F$100,4,0),0)</f>
        <v>0</v>
      </c>
      <c r="AC37" s="503">
        <f>IFERROR(VLOOKUP($X37,HomeBroker!$A$22:$F$100,5,0),0)</f>
        <v>0</v>
      </c>
      <c r="AD37" s="506">
        <f>IFERROR(VLOOKUP($X37,HomeBroker!$A$22:$N$100,14,0),0)</f>
        <v>0</v>
      </c>
      <c r="AE37" s="241" t="str">
        <f t="shared" si="62"/>
        <v/>
      </c>
      <c r="AF37" s="110">
        <f t="shared" si="74"/>
        <v>0</v>
      </c>
      <c r="AG37" s="111"/>
      <c r="AH37" s="504">
        <f t="shared" ca="1" si="64"/>
        <v>0</v>
      </c>
      <c r="AI37" s="505" t="str">
        <f t="shared" si="79"/>
        <v/>
      </c>
      <c r="AJ37" s="505" t="str">
        <f t="shared" si="80"/>
        <v/>
      </c>
      <c r="AK37" s="507">
        <f>IFERROR(VLOOKUP($AJ37,HomeBroker!$A$22:$F$100,2,0),0)</f>
        <v>0</v>
      </c>
      <c r="AL37" s="503">
        <f>IFERROR(VLOOKUP($AJ37,HomeBroker!$A$22:$F$100,3,0),0)</f>
        <v>0</v>
      </c>
      <c r="AM37" s="237">
        <f>IFERROR(VLOOKUP($AJ37,HomeBroker!$A$22:$F$100,6,0),0)</f>
        <v>0</v>
      </c>
      <c r="AN37" s="503">
        <f>IFERROR(VLOOKUP($AJ37,HomeBroker!$A$22:$F$100,4,0),0)</f>
        <v>0</v>
      </c>
      <c r="AO37" s="507">
        <f>IFERROR(VLOOKUP($AJ37,HomeBroker!$A$22:$F$100,5,0),0)</f>
        <v>0</v>
      </c>
      <c r="AP37" s="507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2"/>
      <c r="AW37" s="132" t="s">
        <v>354</v>
      </c>
      <c r="AX37" s="114"/>
      <c r="AY37" s="136"/>
      <c r="AZ37" s="137"/>
      <c r="BA37" s="285">
        <f t="shared" si="10"/>
        <v>0</v>
      </c>
      <c r="BB37" s="286">
        <f t="shared" si="11"/>
        <v>0</v>
      </c>
      <c r="BC37" s="116" t="s">
        <v>408</v>
      </c>
      <c r="BD37" s="114"/>
      <c r="BE37" s="139"/>
      <c r="BF37" s="117"/>
      <c r="BG37" s="287">
        <f t="shared" si="12"/>
        <v>0</v>
      </c>
      <c r="BH37" s="289">
        <f t="shared" si="13"/>
        <v>0</v>
      </c>
      <c r="BI37" s="118" t="s">
        <v>409</v>
      </c>
      <c r="BJ37" s="114"/>
      <c r="BK37" s="117"/>
      <c r="BL37" s="290">
        <f t="shared" si="14"/>
        <v>0</v>
      </c>
      <c r="BM37" s="291">
        <f t="shared" si="15"/>
        <v>0</v>
      </c>
      <c r="DH37" s="119">
        <f t="shared" si="81"/>
        <v>1136.2827013391839</v>
      </c>
      <c r="DI37" s="120">
        <f t="shared" si="82"/>
        <v>0</v>
      </c>
      <c r="DJ37" s="120">
        <f t="shared" si="83"/>
        <v>0</v>
      </c>
      <c r="DK37" s="120">
        <f t="shared" si="84"/>
        <v>0</v>
      </c>
      <c r="DL37" s="120">
        <f t="shared" si="85"/>
        <v>0</v>
      </c>
      <c r="DM37" s="120">
        <f t="shared" si="86"/>
        <v>0</v>
      </c>
      <c r="DN37" s="120">
        <f t="shared" si="87"/>
        <v>0</v>
      </c>
      <c r="DO37" s="120">
        <f t="shared" si="88"/>
        <v>0</v>
      </c>
      <c r="DP37" s="120">
        <f t="shared" si="89"/>
        <v>0</v>
      </c>
      <c r="DQ37" s="120">
        <f t="shared" si="90"/>
        <v>0</v>
      </c>
      <c r="DR37" s="120">
        <f t="shared" si="91"/>
        <v>0</v>
      </c>
      <c r="DS37" s="120">
        <f t="shared" si="92"/>
        <v>0</v>
      </c>
      <c r="DT37" s="120">
        <f t="shared" si="93"/>
        <v>0</v>
      </c>
      <c r="DU37" s="120">
        <f t="shared" si="94"/>
        <v>0</v>
      </c>
      <c r="DV37" s="120">
        <f t="shared" si="95"/>
        <v>0</v>
      </c>
      <c r="DW37" s="120">
        <f t="shared" si="96"/>
        <v>0</v>
      </c>
      <c r="DX37" s="120">
        <f t="shared" si="97"/>
        <v>0</v>
      </c>
      <c r="DY37" s="120">
        <f t="shared" si="98"/>
        <v>0</v>
      </c>
      <c r="DZ37" s="120">
        <f t="shared" si="99"/>
        <v>0</v>
      </c>
      <c r="EA37" s="120">
        <f t="shared" si="100"/>
        <v>0</v>
      </c>
      <c r="EB37" s="120">
        <f t="shared" si="101"/>
        <v>0</v>
      </c>
      <c r="EC37" s="120">
        <f t="shared" si="102"/>
        <v>0</v>
      </c>
      <c r="ED37" s="120">
        <f t="shared" si="103"/>
        <v>0</v>
      </c>
      <c r="EE37" s="120">
        <f t="shared" si="104"/>
        <v>0</v>
      </c>
      <c r="EF37" s="120">
        <f t="shared" si="105"/>
        <v>0</v>
      </c>
      <c r="EG37" s="120">
        <f t="shared" si="106"/>
        <v>0</v>
      </c>
      <c r="EH37" s="120">
        <f t="shared" si="107"/>
        <v>0</v>
      </c>
      <c r="EI37" s="120">
        <f t="shared" si="108"/>
        <v>0</v>
      </c>
      <c r="EJ37" s="120">
        <f t="shared" si="109"/>
        <v>0</v>
      </c>
      <c r="EK37" s="120">
        <f t="shared" si="110"/>
        <v>0</v>
      </c>
      <c r="EL37" s="120">
        <f t="shared" si="111"/>
        <v>0</v>
      </c>
      <c r="EM37" s="120">
        <f t="shared" si="112"/>
        <v>0</v>
      </c>
      <c r="EN37" s="120">
        <f t="shared" si="113"/>
        <v>0</v>
      </c>
      <c r="EO37" s="120">
        <f t="shared" si="114"/>
        <v>0</v>
      </c>
      <c r="EP37" s="120">
        <f t="shared" si="115"/>
        <v>0</v>
      </c>
      <c r="EQ37" s="120">
        <f t="shared" si="116"/>
        <v>0</v>
      </c>
      <c r="ER37" s="120">
        <f t="shared" si="117"/>
        <v>0</v>
      </c>
      <c r="ES37" s="120">
        <f t="shared" si="118"/>
        <v>0</v>
      </c>
      <c r="ET37" s="120">
        <f t="shared" si="119"/>
        <v>0</v>
      </c>
      <c r="EU37" s="120">
        <f t="shared" si="120"/>
        <v>0</v>
      </c>
      <c r="EV37" s="121"/>
      <c r="EW37" s="162">
        <f t="shared" si="121"/>
        <v>0</v>
      </c>
      <c r="EX37" s="72"/>
      <c r="EY37" s="119">
        <f t="shared" si="122"/>
        <v>1136.2827013391839</v>
      </c>
      <c r="EZ37" s="120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0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0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0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0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0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0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0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0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0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0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0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0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0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0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0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0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0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0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0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0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0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0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0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0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0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0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0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0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0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0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0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0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0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0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0">
        <f t="shared" si="123"/>
        <v>0</v>
      </c>
      <c r="GJ37" s="120">
        <f t="shared" si="124"/>
        <v>0</v>
      </c>
      <c r="GK37" s="120">
        <f t="shared" si="125"/>
        <v>0</v>
      </c>
      <c r="GL37" s="120">
        <f t="shared" si="126"/>
        <v>0</v>
      </c>
      <c r="GM37" s="121"/>
      <c r="GN37" s="162">
        <f t="shared" ca="1" si="127"/>
        <v>0</v>
      </c>
    </row>
    <row r="38" spans="1:196">
      <c r="A38" s="168" t="s">
        <v>407</v>
      </c>
      <c r="B38" s="169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9"/>
      <c r="K38" s="69"/>
      <c r="L38" s="69"/>
      <c r="M38" s="69"/>
      <c r="N38" s="801" t="s">
        <v>452</v>
      </c>
      <c r="O38" s="795"/>
      <c r="P38" s="796"/>
      <c r="Q38" s="170">
        <f>SUM(T3:T42)</f>
        <v>0</v>
      </c>
      <c r="R38" s="62"/>
      <c r="S38" s="240" t="str">
        <f t="shared" si="71"/>
        <v/>
      </c>
      <c r="T38" s="672">
        <f t="shared" si="73"/>
        <v>0</v>
      </c>
      <c r="U38" s="674"/>
      <c r="V38" s="673">
        <f t="shared" ca="1" si="59"/>
        <v>0</v>
      </c>
      <c r="W38" s="505" t="str">
        <f t="shared" si="77"/>
        <v/>
      </c>
      <c r="X38" s="505" t="str">
        <f t="shared" si="78"/>
        <v/>
      </c>
      <c r="Y38" s="503">
        <f>IFERROR(VLOOKUP($X38,HomeBroker!$A$22:$F$100,2,0),0)</f>
        <v>0</v>
      </c>
      <c r="Z38" s="503">
        <f>IFERROR(VLOOKUP($X38,HomeBroker!$A$22:$F$100,3,0),0)</f>
        <v>0</v>
      </c>
      <c r="AA38" s="237">
        <f>IFERROR(VLOOKUP($X38,HomeBroker!$A$22:$F$100,6,0),0)</f>
        <v>0</v>
      </c>
      <c r="AB38" s="503">
        <f>IFERROR(VLOOKUP($X38,HomeBroker!$A$22:$F$100,4,0),0)</f>
        <v>0</v>
      </c>
      <c r="AC38" s="503">
        <f>IFERROR(VLOOKUP($X38,HomeBroker!$A$22:$F$100,5,0),0)</f>
        <v>0</v>
      </c>
      <c r="AD38" s="506">
        <f>IFERROR(VLOOKUP($X38,HomeBroker!$A$22:$N$100,14,0),0)</f>
        <v>0</v>
      </c>
      <c r="AE38" s="241" t="str">
        <f t="shared" si="62"/>
        <v/>
      </c>
      <c r="AF38" s="110">
        <f t="shared" si="74"/>
        <v>0</v>
      </c>
      <c r="AG38" s="111"/>
      <c r="AH38" s="504">
        <f t="shared" ca="1" si="64"/>
        <v>0</v>
      </c>
      <c r="AI38" s="505" t="str">
        <f t="shared" si="79"/>
        <v/>
      </c>
      <c r="AJ38" s="505" t="str">
        <f t="shared" si="80"/>
        <v/>
      </c>
      <c r="AK38" s="507">
        <f>IFERROR(VLOOKUP($AJ38,HomeBroker!$A$22:$F$100,2,0),0)</f>
        <v>0</v>
      </c>
      <c r="AL38" s="503">
        <f>IFERROR(VLOOKUP($AJ38,HomeBroker!$A$22:$F$100,3,0),0)</f>
        <v>0</v>
      </c>
      <c r="AM38" s="237">
        <f>IFERROR(VLOOKUP($AJ38,HomeBroker!$A$22:$F$100,6,0),0)</f>
        <v>0</v>
      </c>
      <c r="AN38" s="503">
        <f>IFERROR(VLOOKUP($AJ38,HomeBroker!$A$22:$F$100,4,0),0)</f>
        <v>0</v>
      </c>
      <c r="AO38" s="507">
        <f>IFERROR(VLOOKUP($AJ38,HomeBroker!$A$22:$F$100,5,0),0)</f>
        <v>0</v>
      </c>
      <c r="AP38" s="507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1"/>
      <c r="AW38" s="172" t="s">
        <v>354</v>
      </c>
      <c r="AX38" s="114"/>
      <c r="AY38" s="136"/>
      <c r="AZ38" s="137"/>
      <c r="BA38" s="285">
        <f t="shared" si="10"/>
        <v>0</v>
      </c>
      <c r="BB38" s="286">
        <f t="shared" si="11"/>
        <v>0</v>
      </c>
      <c r="BC38" s="173" t="s">
        <v>408</v>
      </c>
      <c r="BD38" s="114"/>
      <c r="BE38" s="139"/>
      <c r="BF38" s="117"/>
      <c r="BG38" s="287">
        <f t="shared" si="12"/>
        <v>0</v>
      </c>
      <c r="BH38" s="289">
        <f t="shared" si="13"/>
        <v>0</v>
      </c>
      <c r="BI38" s="174" t="s">
        <v>409</v>
      </c>
      <c r="BJ38" s="114"/>
      <c r="BK38" s="117"/>
      <c r="BL38" s="290">
        <f t="shared" si="14"/>
        <v>0</v>
      </c>
      <c r="BM38" s="291">
        <f t="shared" si="15"/>
        <v>0</v>
      </c>
      <c r="DH38" s="119">
        <f t="shared" si="81"/>
        <v>1196.0870540412461</v>
      </c>
      <c r="DI38" s="120">
        <f t="shared" si="82"/>
        <v>0</v>
      </c>
      <c r="DJ38" s="120">
        <f t="shared" si="83"/>
        <v>0</v>
      </c>
      <c r="DK38" s="120">
        <f t="shared" si="84"/>
        <v>0</v>
      </c>
      <c r="DL38" s="120">
        <f t="shared" si="85"/>
        <v>0</v>
      </c>
      <c r="DM38" s="120">
        <f t="shared" si="86"/>
        <v>0</v>
      </c>
      <c r="DN38" s="120">
        <f t="shared" si="87"/>
        <v>0</v>
      </c>
      <c r="DO38" s="120">
        <f t="shared" si="88"/>
        <v>0</v>
      </c>
      <c r="DP38" s="120">
        <f t="shared" si="89"/>
        <v>0</v>
      </c>
      <c r="DQ38" s="120">
        <f t="shared" si="90"/>
        <v>0</v>
      </c>
      <c r="DR38" s="120">
        <f t="shared" si="91"/>
        <v>0</v>
      </c>
      <c r="DS38" s="120">
        <f t="shared" si="92"/>
        <v>0</v>
      </c>
      <c r="DT38" s="120">
        <f t="shared" si="93"/>
        <v>0</v>
      </c>
      <c r="DU38" s="120">
        <f t="shared" si="94"/>
        <v>0</v>
      </c>
      <c r="DV38" s="120">
        <f t="shared" si="95"/>
        <v>0</v>
      </c>
      <c r="DW38" s="120">
        <f t="shared" si="96"/>
        <v>0</v>
      </c>
      <c r="DX38" s="120">
        <f t="shared" si="97"/>
        <v>0</v>
      </c>
      <c r="DY38" s="120">
        <f t="shared" si="98"/>
        <v>0</v>
      </c>
      <c r="DZ38" s="120">
        <f t="shared" si="99"/>
        <v>0</v>
      </c>
      <c r="EA38" s="120">
        <f t="shared" si="100"/>
        <v>0</v>
      </c>
      <c r="EB38" s="120">
        <f t="shared" si="101"/>
        <v>0</v>
      </c>
      <c r="EC38" s="120">
        <f t="shared" si="102"/>
        <v>0</v>
      </c>
      <c r="ED38" s="120">
        <f t="shared" si="103"/>
        <v>0</v>
      </c>
      <c r="EE38" s="120">
        <f t="shared" si="104"/>
        <v>0</v>
      </c>
      <c r="EF38" s="120">
        <f t="shared" si="105"/>
        <v>0</v>
      </c>
      <c r="EG38" s="120">
        <f t="shared" si="106"/>
        <v>0</v>
      </c>
      <c r="EH38" s="120">
        <f t="shared" si="107"/>
        <v>0</v>
      </c>
      <c r="EI38" s="120">
        <f t="shared" si="108"/>
        <v>0</v>
      </c>
      <c r="EJ38" s="120">
        <f t="shared" si="109"/>
        <v>0</v>
      </c>
      <c r="EK38" s="120">
        <f t="shared" si="110"/>
        <v>0</v>
      </c>
      <c r="EL38" s="120">
        <f t="shared" si="111"/>
        <v>0</v>
      </c>
      <c r="EM38" s="120">
        <f t="shared" si="112"/>
        <v>0</v>
      </c>
      <c r="EN38" s="120">
        <f t="shared" si="113"/>
        <v>0</v>
      </c>
      <c r="EO38" s="120">
        <f t="shared" si="114"/>
        <v>0</v>
      </c>
      <c r="EP38" s="120">
        <f t="shared" si="115"/>
        <v>0</v>
      </c>
      <c r="EQ38" s="120">
        <f t="shared" si="116"/>
        <v>0</v>
      </c>
      <c r="ER38" s="120">
        <f t="shared" si="117"/>
        <v>0</v>
      </c>
      <c r="ES38" s="120">
        <f t="shared" si="118"/>
        <v>0</v>
      </c>
      <c r="ET38" s="120">
        <f t="shared" si="119"/>
        <v>0</v>
      </c>
      <c r="EU38" s="120">
        <f t="shared" si="120"/>
        <v>0</v>
      </c>
      <c r="EV38" s="121"/>
      <c r="EW38" s="162">
        <f t="shared" si="121"/>
        <v>0</v>
      </c>
      <c r="EX38" s="72"/>
      <c r="EY38" s="119">
        <f t="shared" si="122"/>
        <v>1196.0870540412461</v>
      </c>
      <c r="EZ38" s="120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0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0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0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0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0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0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0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0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0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0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0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0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0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0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0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0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0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0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0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0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0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0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0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0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0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0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0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0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0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0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0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0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0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0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0">
        <f t="shared" si="123"/>
        <v>0</v>
      </c>
      <c r="GJ38" s="120">
        <f t="shared" si="124"/>
        <v>0</v>
      </c>
      <c r="GK38" s="120">
        <f t="shared" si="125"/>
        <v>0</v>
      </c>
      <c r="GL38" s="120">
        <f t="shared" si="126"/>
        <v>0</v>
      </c>
      <c r="GM38" s="121"/>
      <c r="GN38" s="162">
        <f t="shared" ca="1" si="127"/>
        <v>0</v>
      </c>
    </row>
    <row r="39" spans="1:196">
      <c r="A39" s="175" t="s">
        <v>410</v>
      </c>
      <c r="B39" s="169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7" t="str">
        <f>IFERROR(D38/D39,"")</f>
        <v/>
      </c>
      <c r="K39" s="128" t="str">
        <f>IFERROR(G38/G39,"")</f>
        <v/>
      </c>
      <c r="L39" s="129" t="str">
        <f t="shared" ref="L39:L71" si="128">IFERROR(K39/J39-1,"")</f>
        <v/>
      </c>
      <c r="M39" s="130">
        <f>I39+I38</f>
        <v>0</v>
      </c>
      <c r="N39" s="802" t="s">
        <v>453</v>
      </c>
      <c r="O39" s="795"/>
      <c r="P39" s="796"/>
      <c r="Q39" s="176">
        <f>SUM(AF3:AF42)</f>
        <v>0</v>
      </c>
      <c r="R39" s="62"/>
      <c r="S39" s="240" t="str">
        <f t="shared" si="71"/>
        <v/>
      </c>
      <c r="T39" s="672">
        <f t="shared" si="73"/>
        <v>0</v>
      </c>
      <c r="U39" s="674"/>
      <c r="V39" s="673">
        <f t="shared" ca="1" si="59"/>
        <v>0</v>
      </c>
      <c r="W39" s="505" t="str">
        <f t="shared" si="77"/>
        <v/>
      </c>
      <c r="X39" s="505" t="str">
        <f t="shared" si="78"/>
        <v/>
      </c>
      <c r="Y39" s="503">
        <f>IFERROR(VLOOKUP($X39,HomeBroker!$A$22:$F$100,2,0),0)</f>
        <v>0</v>
      </c>
      <c r="Z39" s="503">
        <f>IFERROR(VLOOKUP($X39,HomeBroker!$A$22:$F$100,3,0),0)</f>
        <v>0</v>
      </c>
      <c r="AA39" s="237">
        <f>IFERROR(VLOOKUP($X39,HomeBroker!$A$22:$F$100,6,0),0)</f>
        <v>0</v>
      </c>
      <c r="AB39" s="503">
        <f>IFERROR(VLOOKUP($X39,HomeBroker!$A$22:$F$100,4,0),0)</f>
        <v>0</v>
      </c>
      <c r="AC39" s="503">
        <f>IFERROR(VLOOKUP($X39,HomeBroker!$A$22:$F$100,5,0),0)</f>
        <v>0</v>
      </c>
      <c r="AD39" s="506">
        <f>IFERROR(VLOOKUP($X39,HomeBroker!$A$22:$N$100,14,0),0)</f>
        <v>0</v>
      </c>
      <c r="AE39" s="241" t="str">
        <f t="shared" si="62"/>
        <v/>
      </c>
      <c r="AF39" s="110">
        <f t="shared" si="74"/>
        <v>0</v>
      </c>
      <c r="AG39" s="111"/>
      <c r="AH39" s="504">
        <f t="shared" ca="1" si="64"/>
        <v>0</v>
      </c>
      <c r="AI39" s="505" t="str">
        <f t="shared" si="79"/>
        <v/>
      </c>
      <c r="AJ39" s="505" t="str">
        <f t="shared" si="80"/>
        <v/>
      </c>
      <c r="AK39" s="507">
        <f>IFERROR(VLOOKUP($AJ39,HomeBroker!$A$22:$F$100,2,0),0)</f>
        <v>0</v>
      </c>
      <c r="AL39" s="503">
        <f>IFERROR(VLOOKUP($AJ39,HomeBroker!$A$22:$F$100,3,0),0)</f>
        <v>0</v>
      </c>
      <c r="AM39" s="237">
        <f>IFERROR(VLOOKUP($AJ39,HomeBroker!$A$22:$F$100,6,0),0)</f>
        <v>0</v>
      </c>
      <c r="AN39" s="503">
        <f>IFERROR(VLOOKUP($AJ39,HomeBroker!$A$22:$F$100,4,0),0)</f>
        <v>0</v>
      </c>
      <c r="AO39" s="507">
        <f>IFERROR(VLOOKUP($AJ39,HomeBroker!$A$22:$F$100,5,0),0)</f>
        <v>0</v>
      </c>
      <c r="AP39" s="507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1"/>
      <c r="AW39" s="172" t="s">
        <v>354</v>
      </c>
      <c r="AX39" s="114"/>
      <c r="AY39" s="136"/>
      <c r="AZ39" s="137"/>
      <c r="BA39" s="285">
        <f t="shared" si="10"/>
        <v>0</v>
      </c>
      <c r="BB39" s="286">
        <f t="shared" si="11"/>
        <v>0</v>
      </c>
      <c r="BC39" s="173" t="s">
        <v>408</v>
      </c>
      <c r="BD39" s="114"/>
      <c r="BE39" s="139"/>
      <c r="BF39" s="117"/>
      <c r="BG39" s="287">
        <f t="shared" si="12"/>
        <v>0</v>
      </c>
      <c r="BH39" s="289">
        <f t="shared" si="13"/>
        <v>0</v>
      </c>
      <c r="BI39" s="174" t="s">
        <v>409</v>
      </c>
      <c r="BJ39" s="114"/>
      <c r="BK39" s="117"/>
      <c r="BL39" s="290">
        <f t="shared" si="14"/>
        <v>0</v>
      </c>
      <c r="BM39" s="291">
        <f t="shared" si="15"/>
        <v>0</v>
      </c>
      <c r="DH39" s="119">
        <f t="shared" si="81"/>
        <v>1259.0390042539434</v>
      </c>
      <c r="DI39" s="120">
        <f t="shared" si="82"/>
        <v>0</v>
      </c>
      <c r="DJ39" s="120">
        <f t="shared" si="83"/>
        <v>0</v>
      </c>
      <c r="DK39" s="120">
        <f t="shared" si="84"/>
        <v>0</v>
      </c>
      <c r="DL39" s="120">
        <f t="shared" si="85"/>
        <v>0</v>
      </c>
      <c r="DM39" s="120">
        <f t="shared" si="86"/>
        <v>0</v>
      </c>
      <c r="DN39" s="120">
        <f t="shared" si="87"/>
        <v>0</v>
      </c>
      <c r="DO39" s="120">
        <f t="shared" si="88"/>
        <v>0</v>
      </c>
      <c r="DP39" s="120">
        <f t="shared" si="89"/>
        <v>0</v>
      </c>
      <c r="DQ39" s="120">
        <f t="shared" si="90"/>
        <v>0</v>
      </c>
      <c r="DR39" s="120">
        <f t="shared" si="91"/>
        <v>0</v>
      </c>
      <c r="DS39" s="120">
        <f t="shared" si="92"/>
        <v>0</v>
      </c>
      <c r="DT39" s="120">
        <f t="shared" si="93"/>
        <v>0</v>
      </c>
      <c r="DU39" s="120">
        <f t="shared" si="94"/>
        <v>0</v>
      </c>
      <c r="DV39" s="120">
        <f t="shared" si="95"/>
        <v>0</v>
      </c>
      <c r="DW39" s="120">
        <f t="shared" si="96"/>
        <v>0</v>
      </c>
      <c r="DX39" s="120">
        <f t="shared" si="97"/>
        <v>0</v>
      </c>
      <c r="DY39" s="120">
        <f t="shared" si="98"/>
        <v>0</v>
      </c>
      <c r="DZ39" s="120">
        <f t="shared" si="99"/>
        <v>0</v>
      </c>
      <c r="EA39" s="120">
        <f t="shared" si="100"/>
        <v>0</v>
      </c>
      <c r="EB39" s="120">
        <f t="shared" si="101"/>
        <v>0</v>
      </c>
      <c r="EC39" s="120">
        <f t="shared" si="102"/>
        <v>0</v>
      </c>
      <c r="ED39" s="120">
        <f t="shared" si="103"/>
        <v>0</v>
      </c>
      <c r="EE39" s="120">
        <f t="shared" si="104"/>
        <v>0</v>
      </c>
      <c r="EF39" s="120">
        <f t="shared" si="105"/>
        <v>0</v>
      </c>
      <c r="EG39" s="120">
        <f t="shared" si="106"/>
        <v>0</v>
      </c>
      <c r="EH39" s="120">
        <f t="shared" si="107"/>
        <v>0</v>
      </c>
      <c r="EI39" s="120">
        <f t="shared" si="108"/>
        <v>0</v>
      </c>
      <c r="EJ39" s="120">
        <f t="shared" si="109"/>
        <v>0</v>
      </c>
      <c r="EK39" s="120">
        <f t="shared" si="110"/>
        <v>0</v>
      </c>
      <c r="EL39" s="120">
        <f t="shared" si="111"/>
        <v>0</v>
      </c>
      <c r="EM39" s="120">
        <f t="shared" si="112"/>
        <v>0</v>
      </c>
      <c r="EN39" s="120">
        <f t="shared" si="113"/>
        <v>0</v>
      </c>
      <c r="EO39" s="120">
        <f t="shared" si="114"/>
        <v>0</v>
      </c>
      <c r="EP39" s="120">
        <f t="shared" si="115"/>
        <v>0</v>
      </c>
      <c r="EQ39" s="120">
        <f t="shared" si="116"/>
        <v>0</v>
      </c>
      <c r="ER39" s="120">
        <f t="shared" si="117"/>
        <v>0</v>
      </c>
      <c r="ES39" s="120">
        <f t="shared" si="118"/>
        <v>0</v>
      </c>
      <c r="ET39" s="120">
        <f t="shared" si="119"/>
        <v>0</v>
      </c>
      <c r="EU39" s="120">
        <f t="shared" si="120"/>
        <v>0</v>
      </c>
      <c r="EV39" s="121"/>
      <c r="EW39" s="162">
        <f t="shared" si="121"/>
        <v>0</v>
      </c>
      <c r="EX39" s="72"/>
      <c r="EY39" s="119">
        <f t="shared" si="122"/>
        <v>1259.0390042539434</v>
      </c>
      <c r="EZ39" s="120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0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0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0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0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0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0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0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0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0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0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0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0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0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0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0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0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0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0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0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0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0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0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0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0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0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0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0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0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0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0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0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0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0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0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0">
        <f t="shared" si="123"/>
        <v>0</v>
      </c>
      <c r="GJ39" s="120">
        <f t="shared" si="124"/>
        <v>0</v>
      </c>
      <c r="GK39" s="120">
        <f t="shared" si="125"/>
        <v>0</v>
      </c>
      <c r="GL39" s="120">
        <f t="shared" si="126"/>
        <v>0</v>
      </c>
      <c r="GM39" s="121"/>
      <c r="GN39" s="162">
        <f t="shared" ca="1" si="127"/>
        <v>0</v>
      </c>
    </row>
    <row r="40" spans="1:196">
      <c r="A40" s="177" t="s">
        <v>411</v>
      </c>
      <c r="B40" s="169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9"/>
      <c r="K40" s="69"/>
      <c r="L40" s="69"/>
      <c r="M40" s="69"/>
      <c r="N40" s="794" t="s">
        <v>0</v>
      </c>
      <c r="O40" s="795"/>
      <c r="P40" s="796"/>
      <c r="Q40" s="178">
        <f>AE43+SUM(B73:B75)</f>
        <v>0</v>
      </c>
      <c r="R40" s="62"/>
      <c r="S40" s="240" t="str">
        <f t="shared" si="71"/>
        <v/>
      </c>
      <c r="T40" s="672">
        <f t="shared" si="73"/>
        <v>0</v>
      </c>
      <c r="U40" s="674"/>
      <c r="V40" s="673">
        <f t="shared" ca="1" si="59"/>
        <v>0</v>
      </c>
      <c r="W40" s="505" t="str">
        <f t="shared" si="77"/>
        <v/>
      </c>
      <c r="X40" s="505" t="str">
        <f t="shared" si="78"/>
        <v/>
      </c>
      <c r="Y40" s="503">
        <f>IFERROR(VLOOKUP($X40,HomeBroker!$A$22:$F$100,2,0),0)</f>
        <v>0</v>
      </c>
      <c r="Z40" s="503">
        <f>IFERROR(VLOOKUP($X40,HomeBroker!$A$22:$F$100,3,0),0)</f>
        <v>0</v>
      </c>
      <c r="AA40" s="237">
        <f>IFERROR(VLOOKUP($X40,HomeBroker!$A$22:$F$100,6,0),0)</f>
        <v>0</v>
      </c>
      <c r="AB40" s="503">
        <f>IFERROR(VLOOKUP($X40,HomeBroker!$A$22:$F$100,4,0),0)</f>
        <v>0</v>
      </c>
      <c r="AC40" s="503">
        <f>IFERROR(VLOOKUP($X40,HomeBroker!$A$22:$F$100,5,0),0)</f>
        <v>0</v>
      </c>
      <c r="AD40" s="506">
        <f>IFERROR(VLOOKUP($X40,HomeBroker!$A$22:$N$100,14,0),0)</f>
        <v>0</v>
      </c>
      <c r="AE40" s="241" t="str">
        <f t="shared" si="62"/>
        <v/>
      </c>
      <c r="AF40" s="110">
        <f t="shared" si="74"/>
        <v>0</v>
      </c>
      <c r="AG40" s="111"/>
      <c r="AH40" s="504">
        <f t="shared" ca="1" si="64"/>
        <v>0</v>
      </c>
      <c r="AI40" s="505" t="str">
        <f t="shared" si="79"/>
        <v/>
      </c>
      <c r="AJ40" s="505" t="str">
        <f t="shared" si="80"/>
        <v/>
      </c>
      <c r="AK40" s="507">
        <f>IFERROR(VLOOKUP($AJ40,HomeBroker!$A$22:$F$100,2,0),0)</f>
        <v>0</v>
      </c>
      <c r="AL40" s="503">
        <f>IFERROR(VLOOKUP($AJ40,HomeBroker!$A$22:$F$100,3,0),0)</f>
        <v>0</v>
      </c>
      <c r="AM40" s="237">
        <f>IFERROR(VLOOKUP($AJ40,HomeBroker!$A$22:$F$100,6,0),0)</f>
        <v>0</v>
      </c>
      <c r="AN40" s="503">
        <f>IFERROR(VLOOKUP($AJ40,HomeBroker!$A$22:$F$100,4,0),0)</f>
        <v>0</v>
      </c>
      <c r="AO40" s="507">
        <f>IFERROR(VLOOKUP($AJ40,HomeBroker!$A$22:$F$100,5,0),0)</f>
        <v>0</v>
      </c>
      <c r="AP40" s="507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1"/>
      <c r="AW40" s="172" t="s">
        <v>354</v>
      </c>
      <c r="AX40" s="114"/>
      <c r="AY40" s="136"/>
      <c r="AZ40" s="137"/>
      <c r="BA40" s="285">
        <f t="shared" si="10"/>
        <v>0</v>
      </c>
      <c r="BB40" s="286">
        <f t="shared" si="11"/>
        <v>0</v>
      </c>
      <c r="BC40" s="173" t="s">
        <v>408</v>
      </c>
      <c r="BD40" s="114"/>
      <c r="BE40" s="139"/>
      <c r="BF40" s="117"/>
      <c r="BG40" s="287">
        <f t="shared" si="12"/>
        <v>0</v>
      </c>
      <c r="BH40" s="289">
        <f t="shared" si="13"/>
        <v>0</v>
      </c>
      <c r="BI40" s="174" t="s">
        <v>409</v>
      </c>
      <c r="BJ40" s="114"/>
      <c r="BK40" s="117"/>
      <c r="BL40" s="290">
        <f t="shared" si="14"/>
        <v>0</v>
      </c>
      <c r="BM40" s="291">
        <f t="shared" si="15"/>
        <v>0</v>
      </c>
      <c r="DH40" s="119">
        <f t="shared" si="81"/>
        <v>1325.304215004151</v>
      </c>
      <c r="DI40" s="120">
        <f t="shared" si="82"/>
        <v>0</v>
      </c>
      <c r="DJ40" s="120">
        <f t="shared" si="83"/>
        <v>0</v>
      </c>
      <c r="DK40" s="120">
        <f t="shared" si="84"/>
        <v>0</v>
      </c>
      <c r="DL40" s="120">
        <f t="shared" si="85"/>
        <v>0</v>
      </c>
      <c r="DM40" s="120">
        <f t="shared" si="86"/>
        <v>0</v>
      </c>
      <c r="DN40" s="120">
        <f t="shared" si="87"/>
        <v>0</v>
      </c>
      <c r="DO40" s="120">
        <f t="shared" si="88"/>
        <v>0</v>
      </c>
      <c r="DP40" s="120">
        <f t="shared" si="89"/>
        <v>0</v>
      </c>
      <c r="DQ40" s="120">
        <f t="shared" si="90"/>
        <v>0</v>
      </c>
      <c r="DR40" s="120">
        <f t="shared" si="91"/>
        <v>0</v>
      </c>
      <c r="DS40" s="120">
        <f t="shared" si="92"/>
        <v>0</v>
      </c>
      <c r="DT40" s="120">
        <f t="shared" si="93"/>
        <v>0</v>
      </c>
      <c r="DU40" s="120">
        <f t="shared" si="94"/>
        <v>0</v>
      </c>
      <c r="DV40" s="120">
        <f t="shared" si="95"/>
        <v>0</v>
      </c>
      <c r="DW40" s="120">
        <f t="shared" si="96"/>
        <v>0</v>
      </c>
      <c r="DX40" s="120">
        <f t="shared" si="97"/>
        <v>0</v>
      </c>
      <c r="DY40" s="120">
        <f t="shared" si="98"/>
        <v>0</v>
      </c>
      <c r="DZ40" s="120">
        <f t="shared" si="99"/>
        <v>0</v>
      </c>
      <c r="EA40" s="120">
        <f t="shared" si="100"/>
        <v>0</v>
      </c>
      <c r="EB40" s="120">
        <f t="shared" si="101"/>
        <v>0</v>
      </c>
      <c r="EC40" s="120">
        <f t="shared" si="102"/>
        <v>0</v>
      </c>
      <c r="ED40" s="120">
        <f t="shared" si="103"/>
        <v>0</v>
      </c>
      <c r="EE40" s="120">
        <f t="shared" si="104"/>
        <v>0</v>
      </c>
      <c r="EF40" s="120">
        <f t="shared" si="105"/>
        <v>0</v>
      </c>
      <c r="EG40" s="120">
        <f t="shared" si="106"/>
        <v>0</v>
      </c>
      <c r="EH40" s="120">
        <f t="shared" si="107"/>
        <v>0</v>
      </c>
      <c r="EI40" s="120">
        <f t="shared" si="108"/>
        <v>0</v>
      </c>
      <c r="EJ40" s="120">
        <f t="shared" si="109"/>
        <v>0</v>
      </c>
      <c r="EK40" s="120">
        <f t="shared" si="110"/>
        <v>0</v>
      </c>
      <c r="EL40" s="120">
        <f t="shared" si="111"/>
        <v>0</v>
      </c>
      <c r="EM40" s="120">
        <f t="shared" si="112"/>
        <v>0</v>
      </c>
      <c r="EN40" s="120">
        <f t="shared" si="113"/>
        <v>0</v>
      </c>
      <c r="EO40" s="120">
        <f t="shared" si="114"/>
        <v>0</v>
      </c>
      <c r="EP40" s="120">
        <f t="shared" si="115"/>
        <v>0</v>
      </c>
      <c r="EQ40" s="120">
        <f t="shared" si="116"/>
        <v>0</v>
      </c>
      <c r="ER40" s="120">
        <f t="shared" si="117"/>
        <v>0</v>
      </c>
      <c r="ES40" s="120">
        <f t="shared" si="118"/>
        <v>0</v>
      </c>
      <c r="ET40" s="120">
        <f t="shared" si="119"/>
        <v>0</v>
      </c>
      <c r="EU40" s="120">
        <f t="shared" si="120"/>
        <v>0</v>
      </c>
      <c r="EV40" s="121"/>
      <c r="EW40" s="162">
        <f t="shared" si="121"/>
        <v>0</v>
      </c>
      <c r="EX40" s="72"/>
      <c r="EY40" s="119">
        <f t="shared" si="122"/>
        <v>1325.304215004151</v>
      </c>
      <c r="EZ40" s="120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0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0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0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0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0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0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0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0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0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0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0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0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0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0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0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0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0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0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0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0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0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0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0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0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0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0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0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0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0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0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0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0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0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0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0">
        <f t="shared" si="123"/>
        <v>0</v>
      </c>
      <c r="GJ40" s="120">
        <f t="shared" si="124"/>
        <v>0</v>
      </c>
      <c r="GK40" s="120">
        <f t="shared" si="125"/>
        <v>0</v>
      </c>
      <c r="GL40" s="120">
        <f t="shared" si="126"/>
        <v>0</v>
      </c>
      <c r="GM40" s="121"/>
      <c r="GN40" s="162">
        <f t="shared" ca="1" si="127"/>
        <v>0</v>
      </c>
    </row>
    <row r="41" spans="1:196">
      <c r="A41" s="168" t="s">
        <v>407</v>
      </c>
      <c r="B41" s="169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7" t="str">
        <f>IFERROR(D40/D41,"")</f>
        <v/>
      </c>
      <c r="K41" s="128" t="str">
        <f>IFERROR(G40/G41,"")</f>
        <v/>
      </c>
      <c r="L41" s="129" t="str">
        <f t="shared" si="128"/>
        <v/>
      </c>
      <c r="M41" s="130">
        <f>I41+I40</f>
        <v>0</v>
      </c>
      <c r="N41" s="179"/>
      <c r="O41" s="179"/>
      <c r="P41" s="179"/>
      <c r="Q41" s="179"/>
      <c r="R41" s="62"/>
      <c r="S41" s="240" t="str">
        <f t="shared" si="71"/>
        <v/>
      </c>
      <c r="T41" s="672">
        <f t="shared" si="73"/>
        <v>0</v>
      </c>
      <c r="U41" s="674"/>
      <c r="V41" s="673">
        <f t="shared" ca="1" si="59"/>
        <v>0</v>
      </c>
      <c r="W41" s="505" t="str">
        <f t="shared" si="77"/>
        <v/>
      </c>
      <c r="X41" s="505" t="str">
        <f t="shared" si="78"/>
        <v/>
      </c>
      <c r="Y41" s="503">
        <f>IFERROR(VLOOKUP($X41,HomeBroker!$A$22:$F$100,2,0),0)</f>
        <v>0</v>
      </c>
      <c r="Z41" s="503">
        <f>IFERROR(VLOOKUP($X41,HomeBroker!$A$22:$F$100,3,0),0)</f>
        <v>0</v>
      </c>
      <c r="AA41" s="237">
        <f>IFERROR(VLOOKUP($X41,HomeBroker!$A$22:$F$100,6,0),0)</f>
        <v>0</v>
      </c>
      <c r="AB41" s="503">
        <f>IFERROR(VLOOKUP($X41,HomeBroker!$A$22:$F$100,4,0),0)</f>
        <v>0</v>
      </c>
      <c r="AC41" s="503">
        <f>IFERROR(VLOOKUP($X41,HomeBroker!$A$22:$F$100,5,0),0)</f>
        <v>0</v>
      </c>
      <c r="AD41" s="506">
        <f>IFERROR(VLOOKUP($X41,HomeBroker!$A$22:$N$100,14,0),0)</f>
        <v>0</v>
      </c>
      <c r="AE41" s="241" t="str">
        <f t="shared" si="62"/>
        <v/>
      </c>
      <c r="AF41" s="110">
        <f t="shared" si="74"/>
        <v>0</v>
      </c>
      <c r="AG41" s="111"/>
      <c r="AH41" s="504">
        <f t="shared" ca="1" si="64"/>
        <v>0</v>
      </c>
      <c r="AI41" s="505" t="str">
        <f t="shared" si="79"/>
        <v/>
      </c>
      <c r="AJ41" s="505" t="str">
        <f t="shared" si="80"/>
        <v/>
      </c>
      <c r="AK41" s="507">
        <f>IFERROR(VLOOKUP($AJ41,HomeBroker!$A$22:$F$100,2,0),0)</f>
        <v>0</v>
      </c>
      <c r="AL41" s="503">
        <f>IFERROR(VLOOKUP($AJ41,HomeBroker!$A$22:$F$100,3,0),0)</f>
        <v>0</v>
      </c>
      <c r="AM41" s="237">
        <f>IFERROR(VLOOKUP($AJ41,HomeBroker!$A$22:$F$100,6,0),0)</f>
        <v>0</v>
      </c>
      <c r="AN41" s="503">
        <f>IFERROR(VLOOKUP($AJ41,HomeBroker!$A$22:$F$100,4,0),0)</f>
        <v>0</v>
      </c>
      <c r="AO41" s="507">
        <f>IFERROR(VLOOKUP($AJ41,HomeBroker!$A$22:$F$100,5,0),0)</f>
        <v>0</v>
      </c>
      <c r="AP41" s="507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1"/>
      <c r="AW41" s="172" t="s">
        <v>354</v>
      </c>
      <c r="AX41" s="114"/>
      <c r="AY41" s="136"/>
      <c r="AZ41" s="137"/>
      <c r="BA41" s="285">
        <f t="shared" si="10"/>
        <v>0</v>
      </c>
      <c r="BB41" s="286">
        <f t="shared" si="11"/>
        <v>0</v>
      </c>
      <c r="BC41" s="173" t="s">
        <v>408</v>
      </c>
      <c r="BD41" s="114"/>
      <c r="BE41" s="139"/>
      <c r="BF41" s="117"/>
      <c r="BG41" s="287">
        <f t="shared" si="12"/>
        <v>0</v>
      </c>
      <c r="BH41" s="289">
        <f t="shared" si="13"/>
        <v>0</v>
      </c>
      <c r="BI41" s="174" t="s">
        <v>409</v>
      </c>
      <c r="BJ41" s="114"/>
      <c r="BK41" s="117"/>
      <c r="BL41" s="290">
        <f t="shared" si="14"/>
        <v>0</v>
      </c>
      <c r="BM41" s="291">
        <f t="shared" si="15"/>
        <v>0</v>
      </c>
      <c r="DH41" s="119">
        <f t="shared" si="81"/>
        <v>1395.0570684254221</v>
      </c>
      <c r="DI41" s="120">
        <f t="shared" si="82"/>
        <v>0</v>
      </c>
      <c r="DJ41" s="120">
        <f t="shared" si="83"/>
        <v>0</v>
      </c>
      <c r="DK41" s="120">
        <f t="shared" si="84"/>
        <v>0</v>
      </c>
      <c r="DL41" s="120">
        <f t="shared" si="85"/>
        <v>0</v>
      </c>
      <c r="DM41" s="120">
        <f t="shared" si="86"/>
        <v>0</v>
      </c>
      <c r="DN41" s="120">
        <f t="shared" si="87"/>
        <v>0</v>
      </c>
      <c r="DO41" s="120">
        <f t="shared" si="88"/>
        <v>0</v>
      </c>
      <c r="DP41" s="120">
        <f t="shared" si="89"/>
        <v>0</v>
      </c>
      <c r="DQ41" s="120">
        <f t="shared" si="90"/>
        <v>0</v>
      </c>
      <c r="DR41" s="120">
        <f t="shared" si="91"/>
        <v>0</v>
      </c>
      <c r="DS41" s="120">
        <f t="shared" si="92"/>
        <v>0</v>
      </c>
      <c r="DT41" s="120">
        <f t="shared" si="93"/>
        <v>0</v>
      </c>
      <c r="DU41" s="120">
        <f t="shared" si="94"/>
        <v>0</v>
      </c>
      <c r="DV41" s="120">
        <f t="shared" si="95"/>
        <v>0</v>
      </c>
      <c r="DW41" s="120">
        <f t="shared" si="96"/>
        <v>0</v>
      </c>
      <c r="DX41" s="120">
        <f t="shared" si="97"/>
        <v>0</v>
      </c>
      <c r="DY41" s="120">
        <f t="shared" si="98"/>
        <v>0</v>
      </c>
      <c r="DZ41" s="120">
        <f t="shared" si="99"/>
        <v>0</v>
      </c>
      <c r="EA41" s="120">
        <f t="shared" si="100"/>
        <v>0</v>
      </c>
      <c r="EB41" s="120">
        <f t="shared" si="101"/>
        <v>0</v>
      </c>
      <c r="EC41" s="120">
        <f t="shared" si="102"/>
        <v>0</v>
      </c>
      <c r="ED41" s="120">
        <f t="shared" si="103"/>
        <v>0</v>
      </c>
      <c r="EE41" s="120">
        <f t="shared" si="104"/>
        <v>0</v>
      </c>
      <c r="EF41" s="120">
        <f t="shared" si="105"/>
        <v>0</v>
      </c>
      <c r="EG41" s="120">
        <f t="shared" si="106"/>
        <v>0</v>
      </c>
      <c r="EH41" s="120">
        <f t="shared" si="107"/>
        <v>0</v>
      </c>
      <c r="EI41" s="120">
        <f t="shared" si="108"/>
        <v>0</v>
      </c>
      <c r="EJ41" s="120">
        <f t="shared" si="109"/>
        <v>0</v>
      </c>
      <c r="EK41" s="120">
        <f t="shared" si="110"/>
        <v>0</v>
      </c>
      <c r="EL41" s="120">
        <f t="shared" si="111"/>
        <v>0</v>
      </c>
      <c r="EM41" s="120">
        <f t="shared" si="112"/>
        <v>0</v>
      </c>
      <c r="EN41" s="120">
        <f t="shared" si="113"/>
        <v>0</v>
      </c>
      <c r="EO41" s="120">
        <f t="shared" si="114"/>
        <v>0</v>
      </c>
      <c r="EP41" s="120">
        <f t="shared" si="115"/>
        <v>0</v>
      </c>
      <c r="EQ41" s="120">
        <f t="shared" si="116"/>
        <v>0</v>
      </c>
      <c r="ER41" s="120">
        <f t="shared" si="117"/>
        <v>0</v>
      </c>
      <c r="ES41" s="120">
        <f t="shared" si="118"/>
        <v>0</v>
      </c>
      <c r="ET41" s="120">
        <f t="shared" si="119"/>
        <v>0</v>
      </c>
      <c r="EU41" s="120">
        <f t="shared" si="120"/>
        <v>0</v>
      </c>
      <c r="EV41" s="121"/>
      <c r="EW41" s="162">
        <f t="shared" si="121"/>
        <v>0</v>
      </c>
      <c r="EX41" s="72"/>
      <c r="EY41" s="119">
        <f t="shared" si="122"/>
        <v>1395.0570684254221</v>
      </c>
      <c r="EZ41" s="120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0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0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0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0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0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0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0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0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0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0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0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0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0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0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0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0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0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0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0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0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0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0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0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0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0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0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0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0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0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0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0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0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0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0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0">
        <f t="shared" si="123"/>
        <v>0</v>
      </c>
      <c r="GJ41" s="120">
        <f t="shared" si="124"/>
        <v>0</v>
      </c>
      <c r="GK41" s="120">
        <f t="shared" si="125"/>
        <v>0</v>
      </c>
      <c r="GL41" s="120">
        <f t="shared" si="126"/>
        <v>0</v>
      </c>
      <c r="GM41" s="121"/>
      <c r="GN41" s="162">
        <f t="shared" ca="1" si="127"/>
        <v>0</v>
      </c>
    </row>
    <row r="42" spans="1:196">
      <c r="A42" s="175" t="s">
        <v>410</v>
      </c>
      <c r="B42" s="169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9"/>
      <c r="K42" s="69"/>
      <c r="L42" s="69"/>
      <c r="M42" s="69"/>
      <c r="N42" s="797" t="s">
        <v>454</v>
      </c>
      <c r="O42" s="795"/>
      <c r="P42" s="796"/>
      <c r="Q42" s="180">
        <v>0.05</v>
      </c>
      <c r="R42" s="62"/>
      <c r="S42" s="240" t="str">
        <f t="shared" si="71"/>
        <v/>
      </c>
      <c r="T42" s="672">
        <f t="shared" si="73"/>
        <v>0</v>
      </c>
      <c r="U42" s="674"/>
      <c r="V42" s="673">
        <f t="shared" ca="1" si="59"/>
        <v>0</v>
      </c>
      <c r="W42" s="505" t="str">
        <f t="shared" si="77"/>
        <v/>
      </c>
      <c r="X42" s="505" t="str">
        <f t="shared" si="78"/>
        <v/>
      </c>
      <c r="Y42" s="503">
        <f>IFERROR(VLOOKUP($X42,HomeBroker!$A$22:$F$100,2,0),0)</f>
        <v>0</v>
      </c>
      <c r="Z42" s="503">
        <f>IFERROR(VLOOKUP($X42,HomeBroker!$A$22:$F$100,3,0),0)</f>
        <v>0</v>
      </c>
      <c r="AA42" s="237">
        <f>IFERROR(VLOOKUP($X42,HomeBroker!$A$22:$F$100,6,0),0)</f>
        <v>0</v>
      </c>
      <c r="AB42" s="503">
        <f>IFERROR(VLOOKUP($X42,HomeBroker!$A$22:$F$100,4,0),0)</f>
        <v>0</v>
      </c>
      <c r="AC42" s="503">
        <f>IFERROR(VLOOKUP($X42,HomeBroker!$A$22:$F$100,5,0),0)</f>
        <v>0</v>
      </c>
      <c r="AD42" s="506">
        <f>IFERROR(VLOOKUP($X42,HomeBroker!$A$22:$N$100,14,0),0)</f>
        <v>0</v>
      </c>
      <c r="AE42" s="241" t="str">
        <f t="shared" si="62"/>
        <v/>
      </c>
      <c r="AF42" s="110">
        <f t="shared" si="74"/>
        <v>0</v>
      </c>
      <c r="AG42" s="111"/>
      <c r="AH42" s="504">
        <f t="shared" ca="1" si="64"/>
        <v>0</v>
      </c>
      <c r="AI42" s="505" t="str">
        <f t="shared" si="79"/>
        <v/>
      </c>
      <c r="AJ42" s="505" t="str">
        <f t="shared" si="80"/>
        <v/>
      </c>
      <c r="AK42" s="507">
        <f>IFERROR(VLOOKUP($AJ42,HomeBroker!$A$22:$F$100,2,0),0)</f>
        <v>0</v>
      </c>
      <c r="AL42" s="503">
        <f>IFERROR(VLOOKUP($AJ42,HomeBroker!$A$22:$F$100,3,0),0)</f>
        <v>0</v>
      </c>
      <c r="AM42" s="237">
        <f>IFERROR(VLOOKUP($AJ42,HomeBroker!$A$22:$F$100,6,0),0)</f>
        <v>0</v>
      </c>
      <c r="AN42" s="503">
        <f>IFERROR(VLOOKUP($AJ42,HomeBroker!$A$22:$F$100,4,0),0)</f>
        <v>0</v>
      </c>
      <c r="AO42" s="507">
        <f>IFERROR(VLOOKUP($AJ42,HomeBroker!$A$22:$F$100,5,0),0)</f>
        <v>0</v>
      </c>
      <c r="AP42" s="507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1"/>
      <c r="AW42" s="172" t="s">
        <v>354</v>
      </c>
      <c r="AX42" s="114"/>
      <c r="AY42" s="136"/>
      <c r="AZ42" s="137"/>
      <c r="BA42" s="285">
        <f t="shared" si="10"/>
        <v>0</v>
      </c>
      <c r="BB42" s="286">
        <f t="shared" si="11"/>
        <v>0</v>
      </c>
      <c r="BC42" s="173" t="s">
        <v>408</v>
      </c>
      <c r="BD42" s="114"/>
      <c r="BE42" s="139"/>
      <c r="BF42" s="117"/>
      <c r="BG42" s="287">
        <f t="shared" si="12"/>
        <v>0</v>
      </c>
      <c r="BH42" s="289">
        <f t="shared" si="13"/>
        <v>0</v>
      </c>
      <c r="BI42" s="174" t="s">
        <v>409</v>
      </c>
      <c r="BJ42" s="114"/>
      <c r="BK42" s="117"/>
      <c r="BL42" s="290">
        <f t="shared" si="14"/>
        <v>0</v>
      </c>
      <c r="BM42" s="291">
        <f t="shared" si="15"/>
        <v>0</v>
      </c>
      <c r="DH42" s="119">
        <f t="shared" si="81"/>
        <v>1468.4811246583392</v>
      </c>
      <c r="DI42" s="120">
        <f t="shared" si="82"/>
        <v>0</v>
      </c>
      <c r="DJ42" s="120">
        <f t="shared" si="83"/>
        <v>0</v>
      </c>
      <c r="DK42" s="120">
        <f t="shared" si="84"/>
        <v>0</v>
      </c>
      <c r="DL42" s="120">
        <f t="shared" si="85"/>
        <v>0</v>
      </c>
      <c r="DM42" s="120">
        <f t="shared" si="86"/>
        <v>0</v>
      </c>
      <c r="DN42" s="120">
        <f t="shared" si="87"/>
        <v>0</v>
      </c>
      <c r="DO42" s="120">
        <f t="shared" si="88"/>
        <v>0</v>
      </c>
      <c r="DP42" s="120">
        <f t="shared" si="89"/>
        <v>0</v>
      </c>
      <c r="DQ42" s="120">
        <f t="shared" si="90"/>
        <v>0</v>
      </c>
      <c r="DR42" s="120">
        <f t="shared" si="91"/>
        <v>0</v>
      </c>
      <c r="DS42" s="120">
        <f t="shared" si="92"/>
        <v>0</v>
      </c>
      <c r="DT42" s="120">
        <f t="shared" si="93"/>
        <v>0</v>
      </c>
      <c r="DU42" s="120">
        <f t="shared" si="94"/>
        <v>0</v>
      </c>
      <c r="DV42" s="120">
        <f t="shared" si="95"/>
        <v>0</v>
      </c>
      <c r="DW42" s="120">
        <f t="shared" si="96"/>
        <v>0</v>
      </c>
      <c r="DX42" s="120">
        <f t="shared" si="97"/>
        <v>0</v>
      </c>
      <c r="DY42" s="120">
        <f t="shared" si="98"/>
        <v>0</v>
      </c>
      <c r="DZ42" s="120">
        <f t="shared" si="99"/>
        <v>0</v>
      </c>
      <c r="EA42" s="120">
        <f t="shared" si="100"/>
        <v>0</v>
      </c>
      <c r="EB42" s="120">
        <f t="shared" si="101"/>
        <v>0</v>
      </c>
      <c r="EC42" s="120">
        <f t="shared" si="102"/>
        <v>0</v>
      </c>
      <c r="ED42" s="120">
        <f t="shared" si="103"/>
        <v>0</v>
      </c>
      <c r="EE42" s="120">
        <f t="shared" si="104"/>
        <v>0</v>
      </c>
      <c r="EF42" s="120">
        <f t="shared" si="105"/>
        <v>0</v>
      </c>
      <c r="EG42" s="120">
        <f t="shared" si="106"/>
        <v>0</v>
      </c>
      <c r="EH42" s="120">
        <f t="shared" si="107"/>
        <v>0</v>
      </c>
      <c r="EI42" s="120">
        <f t="shared" si="108"/>
        <v>0</v>
      </c>
      <c r="EJ42" s="120">
        <f t="shared" si="109"/>
        <v>0</v>
      </c>
      <c r="EK42" s="120">
        <f t="shared" si="110"/>
        <v>0</v>
      </c>
      <c r="EL42" s="120">
        <f t="shared" si="111"/>
        <v>0</v>
      </c>
      <c r="EM42" s="120">
        <f t="shared" si="112"/>
        <v>0</v>
      </c>
      <c r="EN42" s="120">
        <f t="shared" si="113"/>
        <v>0</v>
      </c>
      <c r="EO42" s="120">
        <f t="shared" si="114"/>
        <v>0</v>
      </c>
      <c r="EP42" s="120">
        <f t="shared" si="115"/>
        <v>0</v>
      </c>
      <c r="EQ42" s="120">
        <f t="shared" si="116"/>
        <v>0</v>
      </c>
      <c r="ER42" s="120">
        <f t="shared" si="117"/>
        <v>0</v>
      </c>
      <c r="ES42" s="120">
        <f t="shared" si="118"/>
        <v>0</v>
      </c>
      <c r="ET42" s="120">
        <f t="shared" si="119"/>
        <v>0</v>
      </c>
      <c r="EU42" s="120">
        <f t="shared" si="120"/>
        <v>0</v>
      </c>
      <c r="EV42" s="121"/>
      <c r="EW42" s="162">
        <f t="shared" si="121"/>
        <v>0</v>
      </c>
      <c r="EX42" s="72"/>
      <c r="EY42" s="119">
        <f t="shared" si="122"/>
        <v>1468.4811246583392</v>
      </c>
      <c r="EZ42" s="120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0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0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0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0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0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0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0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0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0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0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0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0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0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0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0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0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0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0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0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0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0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0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0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0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0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0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0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0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0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0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0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0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0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0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0">
        <f t="shared" si="123"/>
        <v>0</v>
      </c>
      <c r="GJ42" s="120">
        <f t="shared" si="124"/>
        <v>0</v>
      </c>
      <c r="GK42" s="120">
        <f t="shared" si="125"/>
        <v>0</v>
      </c>
      <c r="GL42" s="120">
        <f t="shared" si="126"/>
        <v>0</v>
      </c>
      <c r="GM42" s="121"/>
      <c r="GN42" s="162">
        <f t="shared" ca="1" si="127"/>
        <v>0</v>
      </c>
    </row>
    <row r="43" spans="1:196">
      <c r="A43" s="177" t="s">
        <v>411</v>
      </c>
      <c r="B43" s="169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7" t="str">
        <f>IFERROR(D42/D43,"")</f>
        <v/>
      </c>
      <c r="K43" s="128" t="str">
        <f>IFERROR(G42/G43,"")</f>
        <v/>
      </c>
      <c r="L43" s="129" t="str">
        <f t="shared" si="128"/>
        <v/>
      </c>
      <c r="M43" s="130">
        <f>I43+I42</f>
        <v>0</v>
      </c>
      <c r="N43" s="181" t="s">
        <v>455</v>
      </c>
      <c r="O43" s="182" t="s">
        <v>456</v>
      </c>
      <c r="P43" s="183" t="s">
        <v>457</v>
      </c>
      <c r="Q43" s="182" t="s">
        <v>608</v>
      </c>
      <c r="R43" s="62"/>
      <c r="S43" s="803" t="s">
        <v>409</v>
      </c>
      <c r="T43" s="804"/>
      <c r="U43" s="804"/>
      <c r="V43" s="804"/>
      <c r="W43" s="804"/>
      <c r="X43" s="804"/>
      <c r="Y43" s="804"/>
      <c r="Z43" s="804"/>
      <c r="AA43" s="804"/>
      <c r="AB43" s="804"/>
      <c r="AC43" s="804"/>
      <c r="AD43" s="805"/>
      <c r="AE43" s="809">
        <f>SUMIFS(BJ:BJ,BI:BI,S43)</f>
        <v>0</v>
      </c>
      <c r="AF43" s="809"/>
      <c r="AG43" s="809"/>
      <c r="AH43" s="809"/>
      <c r="AI43" s="809"/>
      <c r="AJ43" s="809"/>
      <c r="AK43" s="809"/>
      <c r="AL43" s="809"/>
      <c r="AM43" s="809"/>
      <c r="AN43" s="809"/>
      <c r="AO43" s="809"/>
      <c r="AP43" s="810"/>
      <c r="AQ43" s="62"/>
      <c r="AR43" s="62"/>
      <c r="AS43" s="62"/>
      <c r="AT43" s="62"/>
      <c r="AU43" s="62"/>
      <c r="AV43" s="171"/>
      <c r="AW43" s="172" t="s">
        <v>354</v>
      </c>
      <c r="AX43" s="114"/>
      <c r="AY43" s="136"/>
      <c r="AZ43" s="137"/>
      <c r="BA43" s="285">
        <f t="shared" si="10"/>
        <v>0</v>
      </c>
      <c r="BB43" s="286">
        <f t="shared" si="11"/>
        <v>0</v>
      </c>
      <c r="BC43" s="173" t="s">
        <v>408</v>
      </c>
      <c r="BD43" s="114"/>
      <c r="BE43" s="139"/>
      <c r="BF43" s="117"/>
      <c r="BG43" s="287">
        <f t="shared" si="12"/>
        <v>0</v>
      </c>
      <c r="BH43" s="289">
        <f t="shared" si="13"/>
        <v>0</v>
      </c>
      <c r="BI43" s="174" t="s">
        <v>409</v>
      </c>
      <c r="BJ43" s="114"/>
      <c r="BK43" s="117"/>
      <c r="BL43" s="290">
        <f t="shared" si="14"/>
        <v>0</v>
      </c>
      <c r="BM43" s="291">
        <f t="shared" si="15"/>
        <v>0</v>
      </c>
      <c r="DH43" s="119">
        <f t="shared" si="81"/>
        <v>1545.7696049035151</v>
      </c>
      <c r="DI43" s="120">
        <f t="shared" si="82"/>
        <v>0</v>
      </c>
      <c r="DJ43" s="120">
        <f t="shared" si="83"/>
        <v>0</v>
      </c>
      <c r="DK43" s="120">
        <f t="shared" si="84"/>
        <v>0</v>
      </c>
      <c r="DL43" s="120">
        <f t="shared" si="85"/>
        <v>0</v>
      </c>
      <c r="DM43" s="120">
        <f t="shared" si="86"/>
        <v>0</v>
      </c>
      <c r="DN43" s="120">
        <f t="shared" si="87"/>
        <v>0</v>
      </c>
      <c r="DO43" s="120">
        <f t="shared" si="88"/>
        <v>0</v>
      </c>
      <c r="DP43" s="120">
        <f t="shared" si="89"/>
        <v>0</v>
      </c>
      <c r="DQ43" s="120">
        <f t="shared" si="90"/>
        <v>0</v>
      </c>
      <c r="DR43" s="120">
        <f t="shared" si="91"/>
        <v>0</v>
      </c>
      <c r="DS43" s="120">
        <f t="shared" si="92"/>
        <v>0</v>
      </c>
      <c r="DT43" s="120">
        <f t="shared" si="93"/>
        <v>0</v>
      </c>
      <c r="DU43" s="120">
        <f t="shared" si="94"/>
        <v>0</v>
      </c>
      <c r="DV43" s="120">
        <f t="shared" si="95"/>
        <v>0</v>
      </c>
      <c r="DW43" s="120">
        <f t="shared" si="96"/>
        <v>0</v>
      </c>
      <c r="DX43" s="120">
        <f t="shared" si="97"/>
        <v>0</v>
      </c>
      <c r="DY43" s="120">
        <f t="shared" si="98"/>
        <v>0</v>
      </c>
      <c r="DZ43" s="120">
        <f t="shared" si="99"/>
        <v>0</v>
      </c>
      <c r="EA43" s="120">
        <f t="shared" si="100"/>
        <v>0</v>
      </c>
      <c r="EB43" s="120">
        <f t="shared" si="101"/>
        <v>0</v>
      </c>
      <c r="EC43" s="120">
        <f t="shared" si="102"/>
        <v>0</v>
      </c>
      <c r="ED43" s="120">
        <f t="shared" si="103"/>
        <v>0</v>
      </c>
      <c r="EE43" s="120">
        <f t="shared" si="104"/>
        <v>0</v>
      </c>
      <c r="EF43" s="120">
        <f t="shared" si="105"/>
        <v>0</v>
      </c>
      <c r="EG43" s="120">
        <f t="shared" si="106"/>
        <v>0</v>
      </c>
      <c r="EH43" s="120">
        <f t="shared" si="107"/>
        <v>0</v>
      </c>
      <c r="EI43" s="120">
        <f t="shared" si="108"/>
        <v>0</v>
      </c>
      <c r="EJ43" s="120">
        <f t="shared" si="109"/>
        <v>0</v>
      </c>
      <c r="EK43" s="120">
        <f t="shared" si="110"/>
        <v>0</v>
      </c>
      <c r="EL43" s="120">
        <f t="shared" si="111"/>
        <v>0</v>
      </c>
      <c r="EM43" s="120">
        <f t="shared" si="112"/>
        <v>0</v>
      </c>
      <c r="EN43" s="120">
        <f t="shared" si="113"/>
        <v>0</v>
      </c>
      <c r="EO43" s="120">
        <f t="shared" si="114"/>
        <v>0</v>
      </c>
      <c r="EP43" s="120">
        <f t="shared" si="115"/>
        <v>0</v>
      </c>
      <c r="EQ43" s="120">
        <f t="shared" si="116"/>
        <v>0</v>
      </c>
      <c r="ER43" s="120">
        <f t="shared" si="117"/>
        <v>0</v>
      </c>
      <c r="ES43" s="120">
        <f t="shared" si="118"/>
        <v>0</v>
      </c>
      <c r="ET43" s="120">
        <f t="shared" si="119"/>
        <v>0</v>
      </c>
      <c r="EU43" s="120">
        <f t="shared" si="120"/>
        <v>0</v>
      </c>
      <c r="EV43" s="121"/>
      <c r="EW43" s="162">
        <f t="shared" si="121"/>
        <v>0</v>
      </c>
      <c r="EX43" s="72"/>
      <c r="EY43" s="119">
        <f t="shared" si="122"/>
        <v>1545.7696049035151</v>
      </c>
      <c r="EZ43" s="120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0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0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0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0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0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0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0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0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0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0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0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0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0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0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0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0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0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0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0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0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0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0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0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0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0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0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0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0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0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0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0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0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0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0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0">
        <f t="shared" si="123"/>
        <v>0</v>
      </c>
      <c r="GJ43" s="120">
        <f t="shared" si="124"/>
        <v>0</v>
      </c>
      <c r="GK43" s="120">
        <f t="shared" si="125"/>
        <v>0</v>
      </c>
      <c r="GL43" s="120">
        <f t="shared" si="126"/>
        <v>0</v>
      </c>
      <c r="GM43" s="121"/>
      <c r="GN43" s="162">
        <f t="shared" ca="1" si="127"/>
        <v>0</v>
      </c>
    </row>
    <row r="44" spans="1:196">
      <c r="A44" s="168" t="s">
        <v>407</v>
      </c>
      <c r="B44" s="169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9"/>
      <c r="K44" s="69"/>
      <c r="L44" s="69"/>
      <c r="M44" s="69"/>
      <c r="N44" s="813" t="s">
        <v>458</v>
      </c>
      <c r="O44" s="795"/>
      <c r="P44" s="796"/>
      <c r="Q44" s="184"/>
      <c r="R44" s="62"/>
      <c r="S44" s="806"/>
      <c r="T44" s="807"/>
      <c r="U44" s="807"/>
      <c r="V44" s="807"/>
      <c r="W44" s="807"/>
      <c r="X44" s="807"/>
      <c r="Y44" s="807"/>
      <c r="Z44" s="807"/>
      <c r="AA44" s="807"/>
      <c r="AB44" s="807"/>
      <c r="AC44" s="807"/>
      <c r="AD44" s="808"/>
      <c r="AE44" s="811"/>
      <c r="AF44" s="811"/>
      <c r="AG44" s="811"/>
      <c r="AH44" s="811"/>
      <c r="AI44" s="811"/>
      <c r="AJ44" s="811"/>
      <c r="AK44" s="811"/>
      <c r="AL44" s="811"/>
      <c r="AM44" s="811"/>
      <c r="AN44" s="811"/>
      <c r="AO44" s="811"/>
      <c r="AP44" s="812"/>
      <c r="AQ44" s="62"/>
      <c r="AR44" s="62"/>
      <c r="AS44" s="62"/>
      <c r="AT44" s="62"/>
      <c r="AU44" s="62"/>
      <c r="AV44" s="171"/>
      <c r="AW44" s="172" t="s">
        <v>354</v>
      </c>
      <c r="AX44" s="114"/>
      <c r="AY44" s="136"/>
      <c r="AZ44" s="137"/>
      <c r="BA44" s="285">
        <f t="shared" si="10"/>
        <v>0</v>
      </c>
      <c r="BB44" s="286">
        <f t="shared" si="11"/>
        <v>0</v>
      </c>
      <c r="BC44" s="173" t="s">
        <v>408</v>
      </c>
      <c r="BD44" s="114"/>
      <c r="BE44" s="139"/>
      <c r="BF44" s="117"/>
      <c r="BG44" s="287">
        <f t="shared" si="12"/>
        <v>0</v>
      </c>
      <c r="BH44" s="289">
        <f t="shared" si="13"/>
        <v>0</v>
      </c>
      <c r="BI44" s="174" t="s">
        <v>409</v>
      </c>
      <c r="BJ44" s="114"/>
      <c r="BK44" s="117"/>
      <c r="BL44" s="290">
        <f t="shared" si="14"/>
        <v>0</v>
      </c>
      <c r="BM44" s="291">
        <f t="shared" si="15"/>
        <v>0</v>
      </c>
      <c r="DH44" s="119">
        <f t="shared" si="81"/>
        <v>1627.125899898437</v>
      </c>
      <c r="DI44" s="120">
        <f t="shared" si="82"/>
        <v>0</v>
      </c>
      <c r="DJ44" s="120">
        <f t="shared" si="83"/>
        <v>0</v>
      </c>
      <c r="DK44" s="120">
        <f t="shared" si="84"/>
        <v>0</v>
      </c>
      <c r="DL44" s="120">
        <f t="shared" si="85"/>
        <v>0</v>
      </c>
      <c r="DM44" s="120">
        <f t="shared" si="86"/>
        <v>0</v>
      </c>
      <c r="DN44" s="120">
        <f t="shared" si="87"/>
        <v>0</v>
      </c>
      <c r="DO44" s="120">
        <f t="shared" si="88"/>
        <v>0</v>
      </c>
      <c r="DP44" s="120">
        <f t="shared" si="89"/>
        <v>0</v>
      </c>
      <c r="DQ44" s="120">
        <f t="shared" si="90"/>
        <v>0</v>
      </c>
      <c r="DR44" s="120">
        <f t="shared" si="91"/>
        <v>0</v>
      </c>
      <c r="DS44" s="120">
        <f t="shared" si="92"/>
        <v>0</v>
      </c>
      <c r="DT44" s="120">
        <f t="shared" si="93"/>
        <v>0</v>
      </c>
      <c r="DU44" s="120">
        <f t="shared" si="94"/>
        <v>0</v>
      </c>
      <c r="DV44" s="120">
        <f t="shared" si="95"/>
        <v>0</v>
      </c>
      <c r="DW44" s="120">
        <f t="shared" si="96"/>
        <v>0</v>
      </c>
      <c r="DX44" s="120">
        <f t="shared" si="97"/>
        <v>0</v>
      </c>
      <c r="DY44" s="120">
        <f t="shared" si="98"/>
        <v>0</v>
      </c>
      <c r="DZ44" s="120">
        <f t="shared" si="99"/>
        <v>0</v>
      </c>
      <c r="EA44" s="120">
        <f t="shared" si="100"/>
        <v>0</v>
      </c>
      <c r="EB44" s="120">
        <f t="shared" si="101"/>
        <v>0</v>
      </c>
      <c r="EC44" s="120">
        <f t="shared" si="102"/>
        <v>0</v>
      </c>
      <c r="ED44" s="120">
        <f t="shared" si="103"/>
        <v>0</v>
      </c>
      <c r="EE44" s="120">
        <f t="shared" si="104"/>
        <v>0</v>
      </c>
      <c r="EF44" s="120">
        <f t="shared" si="105"/>
        <v>0</v>
      </c>
      <c r="EG44" s="120">
        <f t="shared" si="106"/>
        <v>0</v>
      </c>
      <c r="EH44" s="120">
        <f t="shared" si="107"/>
        <v>0</v>
      </c>
      <c r="EI44" s="120">
        <f t="shared" si="108"/>
        <v>0</v>
      </c>
      <c r="EJ44" s="120">
        <f t="shared" si="109"/>
        <v>0</v>
      </c>
      <c r="EK44" s="120">
        <f t="shared" si="110"/>
        <v>0</v>
      </c>
      <c r="EL44" s="120">
        <f t="shared" si="111"/>
        <v>0</v>
      </c>
      <c r="EM44" s="120">
        <f t="shared" si="112"/>
        <v>0</v>
      </c>
      <c r="EN44" s="120">
        <f t="shared" si="113"/>
        <v>0</v>
      </c>
      <c r="EO44" s="120">
        <f t="shared" si="114"/>
        <v>0</v>
      </c>
      <c r="EP44" s="120">
        <f t="shared" si="115"/>
        <v>0</v>
      </c>
      <c r="EQ44" s="120">
        <f t="shared" si="116"/>
        <v>0</v>
      </c>
      <c r="ER44" s="120">
        <f t="shared" si="117"/>
        <v>0</v>
      </c>
      <c r="ES44" s="120">
        <f t="shared" si="118"/>
        <v>0</v>
      </c>
      <c r="ET44" s="120">
        <f t="shared" si="119"/>
        <v>0</v>
      </c>
      <c r="EU44" s="120">
        <f t="shared" si="120"/>
        <v>0</v>
      </c>
      <c r="EV44" s="121"/>
      <c r="EW44" s="162">
        <f t="shared" si="121"/>
        <v>0</v>
      </c>
      <c r="EX44" s="72"/>
      <c r="EY44" s="119">
        <f t="shared" si="122"/>
        <v>1627.125899898437</v>
      </c>
      <c r="EZ44" s="120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0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0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0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0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0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0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0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0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0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0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0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0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0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0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0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0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0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0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0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0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0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0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0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0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0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0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0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0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0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0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0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0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0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0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0">
        <f t="shared" si="123"/>
        <v>0</v>
      </c>
      <c r="GJ44" s="120">
        <f t="shared" si="124"/>
        <v>0</v>
      </c>
      <c r="GK44" s="120">
        <f t="shared" si="125"/>
        <v>0</v>
      </c>
      <c r="GL44" s="120">
        <f t="shared" si="126"/>
        <v>0</v>
      </c>
      <c r="GM44" s="121"/>
      <c r="GN44" s="162">
        <f t="shared" ca="1" si="127"/>
        <v>0</v>
      </c>
    </row>
    <row r="45" spans="1:196">
      <c r="A45" s="175" t="s">
        <v>410</v>
      </c>
      <c r="B45" s="169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7" t="str">
        <f>IFERROR(D44/D45,"")</f>
        <v/>
      </c>
      <c r="K45" s="128" t="str">
        <f>IFERROR(G44/G45,"")</f>
        <v/>
      </c>
      <c r="L45" s="129" t="str">
        <f t="shared" si="128"/>
        <v/>
      </c>
      <c r="M45" s="130">
        <f>I45+I44</f>
        <v>0</v>
      </c>
      <c r="N45" s="814" t="s">
        <v>459</v>
      </c>
      <c r="O45" s="795"/>
      <c r="P45" s="796"/>
      <c r="Q45" s="185"/>
      <c r="R45" s="62"/>
      <c r="S45" s="186"/>
      <c r="T45" s="187"/>
      <c r="U45" s="188"/>
      <c r="V45" s="187"/>
      <c r="W45" s="187"/>
      <c r="X45" s="187"/>
      <c r="Y45" s="187"/>
      <c r="Z45" s="187"/>
      <c r="AA45" s="187"/>
      <c r="AB45" s="187"/>
      <c r="AC45" s="187"/>
      <c r="AD45" s="187"/>
      <c r="AE45" s="186"/>
      <c r="AF45" s="187"/>
      <c r="AG45" s="188"/>
      <c r="AH45" s="187"/>
      <c r="AI45" s="187"/>
      <c r="AJ45" s="187"/>
      <c r="AK45" s="187"/>
      <c r="AL45" s="187"/>
      <c r="AM45" s="187"/>
      <c r="AN45" s="187"/>
      <c r="AO45" s="187"/>
      <c r="AP45" s="187"/>
      <c r="AQ45" s="62"/>
      <c r="AR45" s="62"/>
      <c r="AS45" s="62"/>
      <c r="AT45" s="62"/>
      <c r="AU45" s="62"/>
      <c r="AV45" s="171"/>
      <c r="AW45" s="172" t="s">
        <v>354</v>
      </c>
      <c r="AX45" s="114"/>
      <c r="AY45" s="136"/>
      <c r="AZ45" s="137"/>
      <c r="BA45" s="285">
        <f t="shared" si="10"/>
        <v>0</v>
      </c>
      <c r="BB45" s="286">
        <f t="shared" si="11"/>
        <v>0</v>
      </c>
      <c r="BC45" s="173" t="s">
        <v>408</v>
      </c>
      <c r="BD45" s="114"/>
      <c r="BE45" s="139"/>
      <c r="BF45" s="117"/>
      <c r="BG45" s="287">
        <f t="shared" si="12"/>
        <v>0</v>
      </c>
      <c r="BH45" s="289">
        <f t="shared" si="13"/>
        <v>0</v>
      </c>
      <c r="BI45" s="174" t="s">
        <v>409</v>
      </c>
      <c r="BJ45" s="114"/>
      <c r="BK45" s="117"/>
      <c r="BL45" s="290">
        <f t="shared" si="14"/>
        <v>0</v>
      </c>
      <c r="BM45" s="291">
        <f t="shared" si="15"/>
        <v>0</v>
      </c>
      <c r="DH45" s="119">
        <f t="shared" si="81"/>
        <v>1712.7641051562496</v>
      </c>
      <c r="DI45" s="120">
        <f t="shared" si="82"/>
        <v>0</v>
      </c>
      <c r="DJ45" s="120">
        <f t="shared" si="83"/>
        <v>0</v>
      </c>
      <c r="DK45" s="120">
        <f t="shared" si="84"/>
        <v>0</v>
      </c>
      <c r="DL45" s="120">
        <f t="shared" si="85"/>
        <v>0</v>
      </c>
      <c r="DM45" s="120">
        <f t="shared" si="86"/>
        <v>0</v>
      </c>
      <c r="DN45" s="120">
        <f t="shared" si="87"/>
        <v>0</v>
      </c>
      <c r="DO45" s="120">
        <f t="shared" si="88"/>
        <v>0</v>
      </c>
      <c r="DP45" s="120">
        <f t="shared" si="89"/>
        <v>0</v>
      </c>
      <c r="DQ45" s="120">
        <f t="shared" si="90"/>
        <v>0</v>
      </c>
      <c r="DR45" s="120">
        <f t="shared" si="91"/>
        <v>0</v>
      </c>
      <c r="DS45" s="120">
        <f t="shared" si="92"/>
        <v>0</v>
      </c>
      <c r="DT45" s="120">
        <f t="shared" si="93"/>
        <v>0</v>
      </c>
      <c r="DU45" s="120">
        <f t="shared" si="94"/>
        <v>0</v>
      </c>
      <c r="DV45" s="120">
        <f t="shared" si="95"/>
        <v>0</v>
      </c>
      <c r="DW45" s="120">
        <f t="shared" si="96"/>
        <v>0</v>
      </c>
      <c r="DX45" s="120">
        <f t="shared" si="97"/>
        <v>0</v>
      </c>
      <c r="DY45" s="120">
        <f t="shared" si="98"/>
        <v>0</v>
      </c>
      <c r="DZ45" s="120">
        <f t="shared" si="99"/>
        <v>0</v>
      </c>
      <c r="EA45" s="120">
        <f t="shared" si="100"/>
        <v>0</v>
      </c>
      <c r="EB45" s="120">
        <f t="shared" si="101"/>
        <v>0</v>
      </c>
      <c r="EC45" s="120">
        <f t="shared" si="102"/>
        <v>0</v>
      </c>
      <c r="ED45" s="120">
        <f t="shared" si="103"/>
        <v>0</v>
      </c>
      <c r="EE45" s="120">
        <f t="shared" si="104"/>
        <v>0</v>
      </c>
      <c r="EF45" s="120">
        <f t="shared" si="105"/>
        <v>0</v>
      </c>
      <c r="EG45" s="120">
        <f t="shared" si="106"/>
        <v>0</v>
      </c>
      <c r="EH45" s="120">
        <f t="shared" si="107"/>
        <v>0</v>
      </c>
      <c r="EI45" s="120">
        <f t="shared" si="108"/>
        <v>0</v>
      </c>
      <c r="EJ45" s="120">
        <f t="shared" si="109"/>
        <v>0</v>
      </c>
      <c r="EK45" s="120">
        <f t="shared" si="110"/>
        <v>0</v>
      </c>
      <c r="EL45" s="120">
        <f t="shared" si="111"/>
        <v>0</v>
      </c>
      <c r="EM45" s="120">
        <f t="shared" si="112"/>
        <v>0</v>
      </c>
      <c r="EN45" s="120">
        <f t="shared" si="113"/>
        <v>0</v>
      </c>
      <c r="EO45" s="120">
        <f t="shared" si="114"/>
        <v>0</v>
      </c>
      <c r="EP45" s="120">
        <f t="shared" si="115"/>
        <v>0</v>
      </c>
      <c r="EQ45" s="120">
        <f t="shared" si="116"/>
        <v>0</v>
      </c>
      <c r="ER45" s="120">
        <f t="shared" si="117"/>
        <v>0</v>
      </c>
      <c r="ES45" s="120">
        <f t="shared" si="118"/>
        <v>0</v>
      </c>
      <c r="ET45" s="120">
        <f t="shared" si="119"/>
        <v>0</v>
      </c>
      <c r="EU45" s="120">
        <f t="shared" si="120"/>
        <v>0</v>
      </c>
      <c r="EV45" s="121"/>
      <c r="EW45" s="162">
        <f t="shared" si="121"/>
        <v>0</v>
      </c>
      <c r="EX45" s="72"/>
      <c r="EY45" s="119">
        <f t="shared" si="122"/>
        <v>1712.7641051562496</v>
      </c>
      <c r="EZ45" s="120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0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0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0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0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0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0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0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0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0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0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0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0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0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0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0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0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0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0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0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0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0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0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0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0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0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0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0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0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0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0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0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0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0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0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0">
        <f t="shared" si="123"/>
        <v>0</v>
      </c>
      <c r="GJ45" s="120">
        <f t="shared" si="124"/>
        <v>0</v>
      </c>
      <c r="GK45" s="120">
        <f t="shared" si="125"/>
        <v>0</v>
      </c>
      <c r="GL45" s="120">
        <f t="shared" si="126"/>
        <v>0</v>
      </c>
      <c r="GM45" s="121"/>
      <c r="GN45" s="162">
        <f t="shared" ca="1" si="127"/>
        <v>0</v>
      </c>
    </row>
    <row r="46" spans="1:196">
      <c r="A46" s="177" t="s">
        <v>411</v>
      </c>
      <c r="B46" s="169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9"/>
      <c r="K46" s="69"/>
      <c r="L46" s="69"/>
      <c r="M46" s="69"/>
      <c r="N46" s="818" t="s">
        <v>460</v>
      </c>
      <c r="O46" s="795"/>
      <c r="P46" s="796"/>
      <c r="Q46" s="189">
        <f>Q48</f>
        <v>0.88550000000000006</v>
      </c>
      <c r="R46" s="62"/>
      <c r="S46" s="186"/>
      <c r="T46" s="187"/>
      <c r="U46" s="188"/>
      <c r="V46" s="187"/>
      <c r="W46" s="187"/>
      <c r="X46" s="187"/>
      <c r="Y46" s="187"/>
      <c r="Z46" s="187"/>
      <c r="AA46" s="187"/>
      <c r="AB46" s="187"/>
      <c r="AC46" s="187"/>
      <c r="AD46" s="187"/>
      <c r="AE46" s="186"/>
      <c r="AF46" s="187"/>
      <c r="AG46" s="188"/>
      <c r="AH46" s="187"/>
      <c r="AI46" s="187"/>
      <c r="AJ46" s="187"/>
      <c r="AK46" s="187"/>
      <c r="AL46" s="187"/>
      <c r="AM46" s="187"/>
      <c r="AN46" s="187"/>
      <c r="AO46" s="187"/>
      <c r="AP46" s="187"/>
      <c r="AQ46" s="62"/>
      <c r="AR46" s="62"/>
      <c r="AS46" s="62"/>
      <c r="AT46" s="62"/>
      <c r="AU46" s="62"/>
      <c r="AV46" s="171"/>
      <c r="AW46" s="172" t="s">
        <v>354</v>
      </c>
      <c r="AX46" s="114"/>
      <c r="AY46" s="136"/>
      <c r="AZ46" s="137"/>
      <c r="BA46" s="285">
        <f t="shared" si="10"/>
        <v>0</v>
      </c>
      <c r="BB46" s="286">
        <f t="shared" si="11"/>
        <v>0</v>
      </c>
      <c r="BC46" s="173" t="s">
        <v>408</v>
      </c>
      <c r="BD46" s="114"/>
      <c r="BE46" s="139"/>
      <c r="BF46" s="117"/>
      <c r="BG46" s="287">
        <f t="shared" si="12"/>
        <v>0</v>
      </c>
      <c r="BH46" s="289">
        <f t="shared" si="13"/>
        <v>0</v>
      </c>
      <c r="BI46" s="174" t="s">
        <v>409</v>
      </c>
      <c r="BJ46" s="114"/>
      <c r="BK46" s="117"/>
      <c r="BL46" s="290">
        <f t="shared" si="14"/>
        <v>0</v>
      </c>
      <c r="BM46" s="291">
        <f t="shared" si="15"/>
        <v>0</v>
      </c>
      <c r="DH46" s="119">
        <f t="shared" si="81"/>
        <v>1802.9095843749997</v>
      </c>
      <c r="DI46" s="120">
        <f t="shared" si="82"/>
        <v>0</v>
      </c>
      <c r="DJ46" s="120">
        <f t="shared" si="83"/>
        <v>0</v>
      </c>
      <c r="DK46" s="120">
        <f t="shared" si="84"/>
        <v>0</v>
      </c>
      <c r="DL46" s="120">
        <f t="shared" si="85"/>
        <v>0</v>
      </c>
      <c r="DM46" s="120">
        <f t="shared" si="86"/>
        <v>0</v>
      </c>
      <c r="DN46" s="120">
        <f t="shared" si="87"/>
        <v>0</v>
      </c>
      <c r="DO46" s="120">
        <f t="shared" si="88"/>
        <v>0</v>
      </c>
      <c r="DP46" s="120">
        <f t="shared" si="89"/>
        <v>0</v>
      </c>
      <c r="DQ46" s="120">
        <f t="shared" si="90"/>
        <v>0</v>
      </c>
      <c r="DR46" s="120">
        <f t="shared" si="91"/>
        <v>0</v>
      </c>
      <c r="DS46" s="120">
        <f t="shared" si="92"/>
        <v>0</v>
      </c>
      <c r="DT46" s="120">
        <f t="shared" si="93"/>
        <v>0</v>
      </c>
      <c r="DU46" s="120">
        <f t="shared" si="94"/>
        <v>0</v>
      </c>
      <c r="DV46" s="120">
        <f t="shared" si="95"/>
        <v>0</v>
      </c>
      <c r="DW46" s="120">
        <f t="shared" si="96"/>
        <v>0</v>
      </c>
      <c r="DX46" s="120">
        <f t="shared" si="97"/>
        <v>0</v>
      </c>
      <c r="DY46" s="120">
        <f t="shared" si="98"/>
        <v>0</v>
      </c>
      <c r="DZ46" s="120">
        <f t="shared" si="99"/>
        <v>0</v>
      </c>
      <c r="EA46" s="120">
        <f t="shared" si="100"/>
        <v>0</v>
      </c>
      <c r="EB46" s="120">
        <f t="shared" si="101"/>
        <v>0</v>
      </c>
      <c r="EC46" s="120">
        <f t="shared" si="102"/>
        <v>0</v>
      </c>
      <c r="ED46" s="120">
        <f t="shared" si="103"/>
        <v>0</v>
      </c>
      <c r="EE46" s="120">
        <f t="shared" si="104"/>
        <v>0</v>
      </c>
      <c r="EF46" s="120">
        <f t="shared" si="105"/>
        <v>0</v>
      </c>
      <c r="EG46" s="120">
        <f t="shared" si="106"/>
        <v>0</v>
      </c>
      <c r="EH46" s="120">
        <f t="shared" si="107"/>
        <v>0</v>
      </c>
      <c r="EI46" s="120">
        <f t="shared" si="108"/>
        <v>0</v>
      </c>
      <c r="EJ46" s="120">
        <f t="shared" si="109"/>
        <v>0</v>
      </c>
      <c r="EK46" s="120">
        <f t="shared" si="110"/>
        <v>0</v>
      </c>
      <c r="EL46" s="120">
        <f t="shared" si="111"/>
        <v>0</v>
      </c>
      <c r="EM46" s="120">
        <f t="shared" si="112"/>
        <v>0</v>
      </c>
      <c r="EN46" s="120">
        <f t="shared" si="113"/>
        <v>0</v>
      </c>
      <c r="EO46" s="120">
        <f t="shared" si="114"/>
        <v>0</v>
      </c>
      <c r="EP46" s="120">
        <f t="shared" si="115"/>
        <v>0</v>
      </c>
      <c r="EQ46" s="120">
        <f t="shared" si="116"/>
        <v>0</v>
      </c>
      <c r="ER46" s="120">
        <f t="shared" si="117"/>
        <v>0</v>
      </c>
      <c r="ES46" s="120">
        <f t="shared" si="118"/>
        <v>0</v>
      </c>
      <c r="ET46" s="120">
        <f t="shared" si="119"/>
        <v>0</v>
      </c>
      <c r="EU46" s="120">
        <f t="shared" si="120"/>
        <v>0</v>
      </c>
      <c r="EV46" s="121"/>
      <c r="EW46" s="162">
        <f t="shared" si="121"/>
        <v>0</v>
      </c>
      <c r="EX46" s="72"/>
      <c r="EY46" s="119">
        <f t="shared" si="122"/>
        <v>1802.9095843749997</v>
      </c>
      <c r="EZ46" s="120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0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0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0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0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0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0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0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0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0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0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0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0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0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0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0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0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0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0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0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0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0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0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0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0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0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0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0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0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0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0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0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0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0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0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0">
        <f t="shared" si="123"/>
        <v>0</v>
      </c>
      <c r="GJ46" s="120">
        <f t="shared" si="124"/>
        <v>0</v>
      </c>
      <c r="GK46" s="120">
        <f t="shared" si="125"/>
        <v>0</v>
      </c>
      <c r="GL46" s="120">
        <f t="shared" si="126"/>
        <v>0</v>
      </c>
      <c r="GM46" s="121"/>
      <c r="GN46" s="162">
        <f t="shared" ca="1" si="127"/>
        <v>0</v>
      </c>
    </row>
    <row r="47" spans="1:196">
      <c r="A47" s="168" t="s">
        <v>407</v>
      </c>
      <c r="B47" s="169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7" t="str">
        <f>IFERROR(D46/D47,"")</f>
        <v/>
      </c>
      <c r="K47" s="128" t="str">
        <f>IFERROR(G46/G47,"")</f>
        <v/>
      </c>
      <c r="L47" s="129" t="str">
        <f t="shared" si="128"/>
        <v/>
      </c>
      <c r="M47" s="130">
        <f>I47+I46</f>
        <v>0</v>
      </c>
      <c r="N47" s="822" t="s">
        <v>461</v>
      </c>
      <c r="O47" s="795"/>
      <c r="P47" s="796"/>
      <c r="Q47" s="189">
        <f>Q46</f>
        <v>0.88550000000000006</v>
      </c>
      <c r="R47" s="62"/>
      <c r="S47" s="186"/>
      <c r="T47" s="187"/>
      <c r="U47" s="188"/>
      <c r="V47" s="187"/>
      <c r="W47" s="187"/>
      <c r="X47" s="187"/>
      <c r="Y47" s="187"/>
      <c r="Z47" s="187"/>
      <c r="AA47" s="187"/>
      <c r="AB47" s="187"/>
      <c r="AC47" s="187"/>
      <c r="AD47" s="187"/>
      <c r="AE47" s="186"/>
      <c r="AF47" s="187"/>
      <c r="AG47" s="188"/>
      <c r="AH47" s="187"/>
      <c r="AI47" s="187"/>
      <c r="AJ47" s="187"/>
      <c r="AK47" s="187"/>
      <c r="AL47" s="187"/>
      <c r="AM47" s="187"/>
      <c r="AN47" s="187"/>
      <c r="AO47" s="187"/>
      <c r="AP47" s="187"/>
      <c r="AQ47" s="62"/>
      <c r="AR47" s="62"/>
      <c r="AS47" s="62"/>
      <c r="AT47" s="62"/>
      <c r="AU47" s="62"/>
      <c r="AV47" s="171"/>
      <c r="AW47" s="172" t="s">
        <v>354</v>
      </c>
      <c r="AX47" s="114"/>
      <c r="AY47" s="136"/>
      <c r="AZ47" s="137"/>
      <c r="BA47" s="285">
        <f t="shared" si="10"/>
        <v>0</v>
      </c>
      <c r="BB47" s="286">
        <f t="shared" si="11"/>
        <v>0</v>
      </c>
      <c r="BC47" s="173" t="s">
        <v>408</v>
      </c>
      <c r="BD47" s="114"/>
      <c r="BE47" s="139"/>
      <c r="BF47" s="117"/>
      <c r="BG47" s="287">
        <f t="shared" si="12"/>
        <v>0</v>
      </c>
      <c r="BH47" s="289">
        <f t="shared" si="13"/>
        <v>0</v>
      </c>
      <c r="BI47" s="174" t="s">
        <v>409</v>
      </c>
      <c r="BJ47" s="114"/>
      <c r="BK47" s="117"/>
      <c r="BL47" s="290">
        <f t="shared" si="14"/>
        <v>0</v>
      </c>
      <c r="BM47" s="291">
        <f t="shared" si="15"/>
        <v>0</v>
      </c>
      <c r="DH47" s="119">
        <f t="shared" si="81"/>
        <v>1897.7995624999996</v>
      </c>
      <c r="DI47" s="120">
        <f t="shared" si="82"/>
        <v>0</v>
      </c>
      <c r="DJ47" s="120">
        <f t="shared" si="83"/>
        <v>0</v>
      </c>
      <c r="DK47" s="120">
        <f t="shared" si="84"/>
        <v>0</v>
      </c>
      <c r="DL47" s="120">
        <f t="shared" si="85"/>
        <v>0</v>
      </c>
      <c r="DM47" s="120">
        <f t="shared" si="86"/>
        <v>0</v>
      </c>
      <c r="DN47" s="120">
        <f t="shared" si="87"/>
        <v>0</v>
      </c>
      <c r="DO47" s="120">
        <f t="shared" si="88"/>
        <v>0</v>
      </c>
      <c r="DP47" s="120">
        <f t="shared" si="89"/>
        <v>0</v>
      </c>
      <c r="DQ47" s="120">
        <f t="shared" si="90"/>
        <v>0</v>
      </c>
      <c r="DR47" s="120">
        <f t="shared" si="91"/>
        <v>0</v>
      </c>
      <c r="DS47" s="120">
        <f t="shared" si="92"/>
        <v>0</v>
      </c>
      <c r="DT47" s="120">
        <f t="shared" si="93"/>
        <v>0</v>
      </c>
      <c r="DU47" s="120">
        <f t="shared" si="94"/>
        <v>0</v>
      </c>
      <c r="DV47" s="120">
        <f t="shared" si="95"/>
        <v>0</v>
      </c>
      <c r="DW47" s="120">
        <f t="shared" si="96"/>
        <v>0</v>
      </c>
      <c r="DX47" s="120">
        <f t="shared" si="97"/>
        <v>0</v>
      </c>
      <c r="DY47" s="120">
        <f t="shared" si="98"/>
        <v>0</v>
      </c>
      <c r="DZ47" s="120">
        <f t="shared" si="99"/>
        <v>0</v>
      </c>
      <c r="EA47" s="120">
        <f t="shared" si="100"/>
        <v>0</v>
      </c>
      <c r="EB47" s="120">
        <f t="shared" si="101"/>
        <v>0</v>
      </c>
      <c r="EC47" s="120">
        <f t="shared" si="102"/>
        <v>0</v>
      </c>
      <c r="ED47" s="120">
        <f t="shared" si="103"/>
        <v>0</v>
      </c>
      <c r="EE47" s="120">
        <f t="shared" si="104"/>
        <v>0</v>
      </c>
      <c r="EF47" s="120">
        <f t="shared" si="105"/>
        <v>0</v>
      </c>
      <c r="EG47" s="120">
        <f t="shared" si="106"/>
        <v>0</v>
      </c>
      <c r="EH47" s="120">
        <f t="shared" si="107"/>
        <v>0</v>
      </c>
      <c r="EI47" s="120">
        <f t="shared" si="108"/>
        <v>0</v>
      </c>
      <c r="EJ47" s="120">
        <f t="shared" si="109"/>
        <v>0</v>
      </c>
      <c r="EK47" s="120">
        <f t="shared" si="110"/>
        <v>0</v>
      </c>
      <c r="EL47" s="120">
        <f t="shared" si="111"/>
        <v>0</v>
      </c>
      <c r="EM47" s="120">
        <f t="shared" si="112"/>
        <v>0</v>
      </c>
      <c r="EN47" s="120">
        <f t="shared" si="113"/>
        <v>0</v>
      </c>
      <c r="EO47" s="120">
        <f t="shared" si="114"/>
        <v>0</v>
      </c>
      <c r="EP47" s="120">
        <f t="shared" si="115"/>
        <v>0</v>
      </c>
      <c r="EQ47" s="120">
        <f t="shared" si="116"/>
        <v>0</v>
      </c>
      <c r="ER47" s="120">
        <f t="shared" si="117"/>
        <v>0</v>
      </c>
      <c r="ES47" s="120">
        <f t="shared" si="118"/>
        <v>0</v>
      </c>
      <c r="ET47" s="120">
        <f t="shared" si="119"/>
        <v>0</v>
      </c>
      <c r="EU47" s="120">
        <f t="shared" si="120"/>
        <v>0</v>
      </c>
      <c r="EV47" s="121"/>
      <c r="EW47" s="162">
        <f t="shared" si="121"/>
        <v>0</v>
      </c>
      <c r="EX47" s="72"/>
      <c r="EY47" s="119">
        <f t="shared" si="122"/>
        <v>1897.7995624999996</v>
      </c>
      <c r="EZ47" s="120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0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0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0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0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0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0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0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0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0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0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0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0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0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0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0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0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0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0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0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0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0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0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0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0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0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0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0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0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0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0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0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0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0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0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0">
        <f t="shared" si="123"/>
        <v>0</v>
      </c>
      <c r="GJ47" s="120">
        <f t="shared" si="124"/>
        <v>0</v>
      </c>
      <c r="GK47" s="120">
        <f t="shared" si="125"/>
        <v>0</v>
      </c>
      <c r="GL47" s="120">
        <f t="shared" si="126"/>
        <v>0</v>
      </c>
      <c r="GM47" s="121"/>
      <c r="GN47" s="162">
        <f t="shared" ca="1" si="127"/>
        <v>0</v>
      </c>
    </row>
    <row r="48" spans="1:196">
      <c r="A48" s="175" t="s">
        <v>410</v>
      </c>
      <c r="B48" s="169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9"/>
      <c r="K48" s="69"/>
      <c r="L48" s="69"/>
      <c r="M48" s="69"/>
      <c r="N48" s="813" t="s">
        <v>462</v>
      </c>
      <c r="O48" s="795"/>
      <c r="P48" s="796"/>
      <c r="Q48" s="189">
        <f>HomeBroker!AE1*365</f>
        <v>0.88550000000000006</v>
      </c>
      <c r="R48" s="62"/>
      <c r="S48" s="186"/>
      <c r="T48" s="187"/>
      <c r="U48" s="188"/>
      <c r="V48" s="187"/>
      <c r="W48" s="187"/>
      <c r="X48" s="187"/>
      <c r="Y48" s="187"/>
      <c r="Z48" s="187"/>
      <c r="AA48" s="187"/>
      <c r="AB48" s="187"/>
      <c r="AC48" s="187"/>
      <c r="AD48" s="187"/>
      <c r="AE48" s="186"/>
      <c r="AF48" s="187"/>
      <c r="AG48" s="188"/>
      <c r="AH48" s="187"/>
      <c r="AI48" s="187"/>
      <c r="AJ48" s="187"/>
      <c r="AK48" s="187"/>
      <c r="AL48" s="187"/>
      <c r="AM48" s="187"/>
      <c r="AN48" s="187"/>
      <c r="AO48" s="187"/>
      <c r="AP48" s="187"/>
      <c r="AQ48" s="62"/>
      <c r="AR48" s="62"/>
      <c r="AS48" s="62"/>
      <c r="AT48" s="62"/>
      <c r="AU48" s="62"/>
      <c r="AV48" s="171"/>
      <c r="AW48" s="172" t="s">
        <v>354</v>
      </c>
      <c r="AX48" s="114"/>
      <c r="AY48" s="136"/>
      <c r="AZ48" s="137"/>
      <c r="BA48" s="285">
        <f t="shared" si="10"/>
        <v>0</v>
      </c>
      <c r="BB48" s="286">
        <f t="shared" si="11"/>
        <v>0</v>
      </c>
      <c r="BC48" s="173" t="s">
        <v>408</v>
      </c>
      <c r="BD48" s="114"/>
      <c r="BE48" s="139"/>
      <c r="BF48" s="117"/>
      <c r="BG48" s="287">
        <f t="shared" si="12"/>
        <v>0</v>
      </c>
      <c r="BH48" s="289">
        <f t="shared" si="13"/>
        <v>0</v>
      </c>
      <c r="BI48" s="174" t="s">
        <v>409</v>
      </c>
      <c r="BJ48" s="114"/>
      <c r="BK48" s="117"/>
      <c r="BL48" s="290">
        <f t="shared" si="14"/>
        <v>0</v>
      </c>
      <c r="BM48" s="291">
        <f t="shared" si="15"/>
        <v>0</v>
      </c>
      <c r="DH48" s="119">
        <f t="shared" si="81"/>
        <v>1997.6837499999997</v>
      </c>
      <c r="DI48" s="120">
        <f t="shared" si="82"/>
        <v>0</v>
      </c>
      <c r="DJ48" s="120">
        <f t="shared" si="83"/>
        <v>0</v>
      </c>
      <c r="DK48" s="120">
        <f t="shared" si="84"/>
        <v>0</v>
      </c>
      <c r="DL48" s="120">
        <f t="shared" si="85"/>
        <v>0</v>
      </c>
      <c r="DM48" s="120">
        <f t="shared" si="86"/>
        <v>0</v>
      </c>
      <c r="DN48" s="120">
        <f t="shared" si="87"/>
        <v>0</v>
      </c>
      <c r="DO48" s="120">
        <f t="shared" si="88"/>
        <v>0</v>
      </c>
      <c r="DP48" s="120">
        <f t="shared" si="89"/>
        <v>0</v>
      </c>
      <c r="DQ48" s="120">
        <f t="shared" si="90"/>
        <v>0</v>
      </c>
      <c r="DR48" s="120">
        <f t="shared" si="91"/>
        <v>0</v>
      </c>
      <c r="DS48" s="120">
        <f t="shared" si="92"/>
        <v>0</v>
      </c>
      <c r="DT48" s="120">
        <f t="shared" si="93"/>
        <v>0</v>
      </c>
      <c r="DU48" s="120">
        <f t="shared" si="94"/>
        <v>0</v>
      </c>
      <c r="DV48" s="120">
        <f t="shared" si="95"/>
        <v>0</v>
      </c>
      <c r="DW48" s="120">
        <f t="shared" si="96"/>
        <v>0</v>
      </c>
      <c r="DX48" s="120">
        <f t="shared" si="97"/>
        <v>0</v>
      </c>
      <c r="DY48" s="120">
        <f t="shared" si="98"/>
        <v>0</v>
      </c>
      <c r="DZ48" s="120">
        <f t="shared" si="99"/>
        <v>0</v>
      </c>
      <c r="EA48" s="120">
        <f t="shared" si="100"/>
        <v>0</v>
      </c>
      <c r="EB48" s="120">
        <f t="shared" si="101"/>
        <v>0</v>
      </c>
      <c r="EC48" s="120">
        <f t="shared" si="102"/>
        <v>0</v>
      </c>
      <c r="ED48" s="120">
        <f t="shared" si="103"/>
        <v>0</v>
      </c>
      <c r="EE48" s="120">
        <f t="shared" si="104"/>
        <v>0</v>
      </c>
      <c r="EF48" s="120">
        <f t="shared" si="105"/>
        <v>0</v>
      </c>
      <c r="EG48" s="120">
        <f t="shared" si="106"/>
        <v>0</v>
      </c>
      <c r="EH48" s="120">
        <f t="shared" si="107"/>
        <v>0</v>
      </c>
      <c r="EI48" s="120">
        <f t="shared" si="108"/>
        <v>0</v>
      </c>
      <c r="EJ48" s="120">
        <f t="shared" si="109"/>
        <v>0</v>
      </c>
      <c r="EK48" s="120">
        <f t="shared" si="110"/>
        <v>0</v>
      </c>
      <c r="EL48" s="120">
        <f t="shared" si="111"/>
        <v>0</v>
      </c>
      <c r="EM48" s="120">
        <f t="shared" si="112"/>
        <v>0</v>
      </c>
      <c r="EN48" s="120">
        <f t="shared" si="113"/>
        <v>0</v>
      </c>
      <c r="EO48" s="120">
        <f t="shared" si="114"/>
        <v>0</v>
      </c>
      <c r="EP48" s="120">
        <f t="shared" si="115"/>
        <v>0</v>
      </c>
      <c r="EQ48" s="120">
        <f t="shared" si="116"/>
        <v>0</v>
      </c>
      <c r="ER48" s="120">
        <f t="shared" si="117"/>
        <v>0</v>
      </c>
      <c r="ES48" s="120">
        <f t="shared" si="118"/>
        <v>0</v>
      </c>
      <c r="ET48" s="120">
        <f t="shared" si="119"/>
        <v>0</v>
      </c>
      <c r="EU48" s="120">
        <f t="shared" si="120"/>
        <v>0</v>
      </c>
      <c r="EV48" s="121"/>
      <c r="EW48" s="162">
        <f t="shared" si="121"/>
        <v>0</v>
      </c>
      <c r="EX48" s="72"/>
      <c r="EY48" s="119">
        <f t="shared" si="122"/>
        <v>1997.6837499999997</v>
      </c>
      <c r="EZ48" s="120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0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0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0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0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0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0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0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0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0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0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0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0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0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0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0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0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0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0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0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0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0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0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0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0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0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0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0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0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0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0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0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0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0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0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0">
        <f t="shared" si="123"/>
        <v>0</v>
      </c>
      <c r="GJ48" s="120">
        <f t="shared" si="124"/>
        <v>0</v>
      </c>
      <c r="GK48" s="120">
        <f t="shared" si="125"/>
        <v>0</v>
      </c>
      <c r="GL48" s="120">
        <f t="shared" si="126"/>
        <v>0</v>
      </c>
      <c r="GM48" s="121"/>
      <c r="GN48" s="162">
        <f t="shared" ca="1" si="127"/>
        <v>0</v>
      </c>
    </row>
    <row r="49" spans="1:196">
      <c r="A49" s="177" t="s">
        <v>411</v>
      </c>
      <c r="B49" s="169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7" t="str">
        <f>IFERROR(D48/D49,"")</f>
        <v/>
      </c>
      <c r="K49" s="128" t="str">
        <f>IFERROR(G48/G49,"")</f>
        <v/>
      </c>
      <c r="L49" s="129" t="str">
        <f t="shared" si="128"/>
        <v/>
      </c>
      <c r="M49" s="130">
        <f>I49+I48</f>
        <v>0</v>
      </c>
      <c r="N49" s="823" t="s">
        <v>463</v>
      </c>
      <c r="O49" s="795"/>
      <c r="P49" s="796"/>
      <c r="Q49" s="190">
        <v>45338</v>
      </c>
      <c r="R49" s="62"/>
      <c r="S49" s="186"/>
      <c r="T49" s="187"/>
      <c r="U49" s="188"/>
      <c r="V49" s="187"/>
      <c r="W49" s="187"/>
      <c r="X49" s="187"/>
      <c r="Y49" s="187"/>
      <c r="Z49" s="187"/>
      <c r="AA49" s="187"/>
      <c r="AB49" s="187"/>
      <c r="AC49" s="187"/>
      <c r="AD49" s="187"/>
      <c r="AE49" s="186"/>
      <c r="AF49" s="187"/>
      <c r="AG49" s="188"/>
      <c r="AH49" s="187"/>
      <c r="AI49" s="187"/>
      <c r="AJ49" s="187"/>
      <c r="AK49" s="187"/>
      <c r="AL49" s="187"/>
      <c r="AM49" s="187"/>
      <c r="AN49" s="187"/>
      <c r="AO49" s="187"/>
      <c r="AP49" s="187"/>
      <c r="AQ49" s="62"/>
      <c r="AR49" s="62"/>
      <c r="AS49" s="62"/>
      <c r="AT49" s="62"/>
      <c r="AU49" s="62"/>
      <c r="AV49" s="171"/>
      <c r="AW49" s="172" t="s">
        <v>354</v>
      </c>
      <c r="AX49" s="114"/>
      <c r="AY49" s="136"/>
      <c r="AZ49" s="137"/>
      <c r="BA49" s="285">
        <f t="shared" si="10"/>
        <v>0</v>
      </c>
      <c r="BB49" s="286">
        <f t="shared" si="11"/>
        <v>0</v>
      </c>
      <c r="BC49" s="173" t="s">
        <v>408</v>
      </c>
      <c r="BD49" s="114"/>
      <c r="BE49" s="139"/>
      <c r="BF49" s="117"/>
      <c r="BG49" s="287">
        <f t="shared" si="12"/>
        <v>0</v>
      </c>
      <c r="BH49" s="289">
        <f t="shared" si="13"/>
        <v>0</v>
      </c>
      <c r="BI49" s="174" t="s">
        <v>409</v>
      </c>
      <c r="BJ49" s="114"/>
      <c r="BK49" s="117"/>
      <c r="BL49" s="290">
        <f t="shared" si="14"/>
        <v>0</v>
      </c>
      <c r="BM49" s="291">
        <f t="shared" si="15"/>
        <v>0</v>
      </c>
      <c r="DH49" s="119">
        <f t="shared" si="81"/>
        <v>2102.8249999999998</v>
      </c>
      <c r="DI49" s="120">
        <f t="shared" si="82"/>
        <v>0</v>
      </c>
      <c r="DJ49" s="120">
        <f t="shared" si="83"/>
        <v>0</v>
      </c>
      <c r="DK49" s="120">
        <f t="shared" si="84"/>
        <v>0</v>
      </c>
      <c r="DL49" s="120">
        <f t="shared" si="85"/>
        <v>0</v>
      </c>
      <c r="DM49" s="120">
        <f t="shared" si="86"/>
        <v>0</v>
      </c>
      <c r="DN49" s="120">
        <f t="shared" si="87"/>
        <v>0</v>
      </c>
      <c r="DO49" s="120">
        <f t="shared" si="88"/>
        <v>0</v>
      </c>
      <c r="DP49" s="120">
        <f t="shared" si="89"/>
        <v>0</v>
      </c>
      <c r="DQ49" s="120">
        <f t="shared" si="90"/>
        <v>0</v>
      </c>
      <c r="DR49" s="120">
        <f t="shared" si="91"/>
        <v>0</v>
      </c>
      <c r="DS49" s="120">
        <f t="shared" si="92"/>
        <v>0</v>
      </c>
      <c r="DT49" s="120">
        <f t="shared" si="93"/>
        <v>0</v>
      </c>
      <c r="DU49" s="120">
        <f t="shared" si="94"/>
        <v>0</v>
      </c>
      <c r="DV49" s="120">
        <f t="shared" si="95"/>
        <v>0</v>
      </c>
      <c r="DW49" s="120">
        <f t="shared" si="96"/>
        <v>0</v>
      </c>
      <c r="DX49" s="120">
        <f t="shared" si="97"/>
        <v>0</v>
      </c>
      <c r="DY49" s="120">
        <f t="shared" si="98"/>
        <v>0</v>
      </c>
      <c r="DZ49" s="120">
        <f t="shared" si="99"/>
        <v>0</v>
      </c>
      <c r="EA49" s="120">
        <f t="shared" si="100"/>
        <v>0</v>
      </c>
      <c r="EB49" s="120">
        <f t="shared" si="101"/>
        <v>0</v>
      </c>
      <c r="EC49" s="120">
        <f t="shared" si="102"/>
        <v>0</v>
      </c>
      <c r="ED49" s="120">
        <f t="shared" si="103"/>
        <v>0</v>
      </c>
      <c r="EE49" s="120">
        <f t="shared" si="104"/>
        <v>0</v>
      </c>
      <c r="EF49" s="120">
        <f t="shared" si="105"/>
        <v>0</v>
      </c>
      <c r="EG49" s="120">
        <f t="shared" si="106"/>
        <v>0</v>
      </c>
      <c r="EH49" s="120">
        <f t="shared" si="107"/>
        <v>0</v>
      </c>
      <c r="EI49" s="120">
        <f t="shared" si="108"/>
        <v>0</v>
      </c>
      <c r="EJ49" s="120">
        <f t="shared" si="109"/>
        <v>0</v>
      </c>
      <c r="EK49" s="120">
        <f t="shared" si="110"/>
        <v>0</v>
      </c>
      <c r="EL49" s="120">
        <f t="shared" si="111"/>
        <v>0</v>
      </c>
      <c r="EM49" s="120">
        <f t="shared" si="112"/>
        <v>0</v>
      </c>
      <c r="EN49" s="120">
        <f t="shared" si="113"/>
        <v>0</v>
      </c>
      <c r="EO49" s="120">
        <f t="shared" si="114"/>
        <v>0</v>
      </c>
      <c r="EP49" s="120">
        <f t="shared" si="115"/>
        <v>0</v>
      </c>
      <c r="EQ49" s="120">
        <f t="shared" si="116"/>
        <v>0</v>
      </c>
      <c r="ER49" s="120">
        <f t="shared" si="117"/>
        <v>0</v>
      </c>
      <c r="ES49" s="120">
        <f t="shared" si="118"/>
        <v>0</v>
      </c>
      <c r="ET49" s="120">
        <f t="shared" si="119"/>
        <v>0</v>
      </c>
      <c r="EU49" s="120">
        <f t="shared" si="120"/>
        <v>0</v>
      </c>
      <c r="EV49" s="121"/>
      <c r="EW49" s="162">
        <f t="shared" si="121"/>
        <v>0</v>
      </c>
      <c r="EX49" s="72"/>
      <c r="EY49" s="119">
        <f t="shared" si="122"/>
        <v>2102.8249999999998</v>
      </c>
      <c r="EZ49" s="120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0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0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0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0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0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0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0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0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0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0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0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0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0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0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0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0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0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0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0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0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0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0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0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0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0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0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0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0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0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0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0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0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0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0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0">
        <f t="shared" si="123"/>
        <v>0</v>
      </c>
      <c r="GJ49" s="120">
        <f t="shared" si="124"/>
        <v>0</v>
      </c>
      <c r="GK49" s="120">
        <f t="shared" si="125"/>
        <v>0</v>
      </c>
      <c r="GL49" s="120">
        <f t="shared" si="126"/>
        <v>0</v>
      </c>
      <c r="GM49" s="121"/>
      <c r="GN49" s="162">
        <f t="shared" ca="1" si="127"/>
        <v>0</v>
      </c>
    </row>
    <row r="50" spans="1:196">
      <c r="A50" s="168" t="s">
        <v>407</v>
      </c>
      <c r="B50" s="169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9"/>
      <c r="K50" s="69"/>
      <c r="L50" s="69"/>
      <c r="M50" s="69"/>
      <c r="N50" s="823" t="s">
        <v>464</v>
      </c>
      <c r="O50" s="795"/>
      <c r="P50" s="796"/>
      <c r="Q50" s="191">
        <f ca="1">Q49-TODAY()-Q44</f>
        <v>6</v>
      </c>
      <c r="R50" s="62"/>
      <c r="S50" s="186"/>
      <c r="T50" s="187"/>
      <c r="U50" s="188"/>
      <c r="V50" s="187"/>
      <c r="W50" s="187"/>
      <c r="X50" s="187"/>
      <c r="Y50" s="187"/>
      <c r="Z50" s="187"/>
      <c r="AA50" s="187"/>
      <c r="AB50" s="187"/>
      <c r="AC50" s="187"/>
      <c r="AD50" s="187"/>
      <c r="AE50" s="186"/>
      <c r="AF50" s="187"/>
      <c r="AG50" s="188"/>
      <c r="AH50" s="187"/>
      <c r="AI50" s="187"/>
      <c r="AJ50" s="187"/>
      <c r="AK50" s="187"/>
      <c r="AL50" s="187"/>
      <c r="AM50" s="187"/>
      <c r="AN50" s="187"/>
      <c r="AO50" s="187"/>
      <c r="AP50" s="187"/>
      <c r="AQ50" s="62"/>
      <c r="AR50" s="62"/>
      <c r="AS50" s="62"/>
      <c r="AT50" s="62"/>
      <c r="AU50" s="62"/>
      <c r="AV50" s="171"/>
      <c r="AW50" s="172" t="s">
        <v>354</v>
      </c>
      <c r="AX50" s="114"/>
      <c r="AY50" s="136"/>
      <c r="AZ50" s="137"/>
      <c r="BA50" s="285">
        <f t="shared" si="10"/>
        <v>0</v>
      </c>
      <c r="BB50" s="286">
        <f t="shared" si="11"/>
        <v>0</v>
      </c>
      <c r="BC50" s="173" t="s">
        <v>408</v>
      </c>
      <c r="BD50" s="114"/>
      <c r="BE50" s="139"/>
      <c r="BF50" s="117"/>
      <c r="BG50" s="287">
        <f t="shared" si="12"/>
        <v>0</v>
      </c>
      <c r="BH50" s="289">
        <f t="shared" si="13"/>
        <v>0</v>
      </c>
      <c r="BI50" s="174" t="s">
        <v>409</v>
      </c>
      <c r="BJ50" s="114"/>
      <c r="BK50" s="117"/>
      <c r="BL50" s="290">
        <f t="shared" si="14"/>
        <v>0</v>
      </c>
      <c r="BM50" s="291">
        <f t="shared" si="15"/>
        <v>0</v>
      </c>
      <c r="DH50" s="119">
        <f t="shared" si="81"/>
        <v>2213.5</v>
      </c>
      <c r="DI50" s="120">
        <f t="shared" si="82"/>
        <v>0</v>
      </c>
      <c r="DJ50" s="120">
        <f t="shared" si="83"/>
        <v>0</v>
      </c>
      <c r="DK50" s="120">
        <f t="shared" si="84"/>
        <v>0</v>
      </c>
      <c r="DL50" s="120">
        <f t="shared" si="85"/>
        <v>0</v>
      </c>
      <c r="DM50" s="120">
        <f t="shared" si="86"/>
        <v>0</v>
      </c>
      <c r="DN50" s="120">
        <f t="shared" si="87"/>
        <v>0</v>
      </c>
      <c r="DO50" s="120">
        <f t="shared" si="88"/>
        <v>0</v>
      </c>
      <c r="DP50" s="120">
        <f t="shared" si="89"/>
        <v>0</v>
      </c>
      <c r="DQ50" s="120">
        <f t="shared" si="90"/>
        <v>0</v>
      </c>
      <c r="DR50" s="120">
        <f t="shared" si="91"/>
        <v>0</v>
      </c>
      <c r="DS50" s="120">
        <f t="shared" si="92"/>
        <v>0</v>
      </c>
      <c r="DT50" s="120">
        <f t="shared" si="93"/>
        <v>0</v>
      </c>
      <c r="DU50" s="120">
        <f t="shared" si="94"/>
        <v>0</v>
      </c>
      <c r="DV50" s="120">
        <f t="shared" si="95"/>
        <v>0</v>
      </c>
      <c r="DW50" s="120">
        <f t="shared" si="96"/>
        <v>0</v>
      </c>
      <c r="DX50" s="120">
        <f t="shared" si="97"/>
        <v>0</v>
      </c>
      <c r="DY50" s="120">
        <f t="shared" si="98"/>
        <v>0</v>
      </c>
      <c r="DZ50" s="120">
        <f t="shared" si="99"/>
        <v>0</v>
      </c>
      <c r="EA50" s="120">
        <f t="shared" si="100"/>
        <v>0</v>
      </c>
      <c r="EB50" s="120">
        <f t="shared" si="101"/>
        <v>0</v>
      </c>
      <c r="EC50" s="120">
        <f t="shared" si="102"/>
        <v>0</v>
      </c>
      <c r="ED50" s="120">
        <f t="shared" si="103"/>
        <v>0</v>
      </c>
      <c r="EE50" s="120">
        <f t="shared" si="104"/>
        <v>0</v>
      </c>
      <c r="EF50" s="120">
        <f t="shared" si="105"/>
        <v>0</v>
      </c>
      <c r="EG50" s="120">
        <f t="shared" si="106"/>
        <v>0</v>
      </c>
      <c r="EH50" s="120">
        <f t="shared" si="107"/>
        <v>0</v>
      </c>
      <c r="EI50" s="120">
        <f t="shared" si="108"/>
        <v>0</v>
      </c>
      <c r="EJ50" s="120">
        <f t="shared" si="109"/>
        <v>0</v>
      </c>
      <c r="EK50" s="120">
        <f t="shared" si="110"/>
        <v>0</v>
      </c>
      <c r="EL50" s="120">
        <f t="shared" si="111"/>
        <v>0</v>
      </c>
      <c r="EM50" s="120">
        <f t="shared" si="112"/>
        <v>0</v>
      </c>
      <c r="EN50" s="120">
        <f t="shared" si="113"/>
        <v>0</v>
      </c>
      <c r="EO50" s="120">
        <f t="shared" si="114"/>
        <v>0</v>
      </c>
      <c r="EP50" s="120">
        <f t="shared" si="115"/>
        <v>0</v>
      </c>
      <c r="EQ50" s="120">
        <f t="shared" si="116"/>
        <v>0</v>
      </c>
      <c r="ER50" s="120">
        <f t="shared" si="117"/>
        <v>0</v>
      </c>
      <c r="ES50" s="120">
        <f t="shared" si="118"/>
        <v>0</v>
      </c>
      <c r="ET50" s="120">
        <f t="shared" si="119"/>
        <v>0</v>
      </c>
      <c r="EU50" s="120">
        <f t="shared" si="120"/>
        <v>0</v>
      </c>
      <c r="EV50" s="121"/>
      <c r="EW50" s="162">
        <f t="shared" si="121"/>
        <v>0</v>
      </c>
      <c r="EX50" s="72"/>
      <c r="EY50" s="119">
        <f t="shared" si="122"/>
        <v>2213.5</v>
      </c>
      <c r="EZ50" s="120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0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0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0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0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0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0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0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0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0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0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0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0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0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0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0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0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0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0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0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0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0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0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0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0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0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0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0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0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0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0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0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0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0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0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0">
        <f t="shared" si="123"/>
        <v>0</v>
      </c>
      <c r="GJ50" s="120">
        <f t="shared" si="124"/>
        <v>0</v>
      </c>
      <c r="GK50" s="120">
        <f t="shared" si="125"/>
        <v>0</v>
      </c>
      <c r="GL50" s="120">
        <f t="shared" si="126"/>
        <v>0</v>
      </c>
      <c r="GM50" s="121"/>
      <c r="GN50" s="162">
        <f t="shared" ca="1" si="127"/>
        <v>0</v>
      </c>
    </row>
    <row r="51" spans="1:196">
      <c r="A51" s="175" t="s">
        <v>410</v>
      </c>
      <c r="B51" s="169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7" t="str">
        <f>IFERROR(D50/D51,"")</f>
        <v/>
      </c>
      <c r="K51" s="128" t="str">
        <f>IFERROR(G50/G51,"")</f>
        <v/>
      </c>
      <c r="L51" s="129" t="str">
        <f t="shared" si="128"/>
        <v/>
      </c>
      <c r="M51" s="130">
        <f>I51+I50</f>
        <v>0</v>
      </c>
      <c r="N51" s="823" t="s">
        <v>465</v>
      </c>
      <c r="O51" s="795"/>
      <c r="P51" s="796"/>
      <c r="Q51" s="192">
        <f ca="1">Q50/365</f>
        <v>1.643835616438356E-2</v>
      </c>
      <c r="R51" s="187"/>
      <c r="S51" s="186"/>
      <c r="T51" s="187"/>
      <c r="U51" s="188"/>
      <c r="V51" s="187"/>
      <c r="W51" s="187"/>
      <c r="X51" s="187"/>
      <c r="Y51" s="187"/>
      <c r="Z51" s="187"/>
      <c r="AA51" s="187"/>
      <c r="AB51" s="187"/>
      <c r="AC51" s="187"/>
      <c r="AD51" s="187"/>
      <c r="AE51" s="186"/>
      <c r="AF51" s="187"/>
      <c r="AG51" s="188"/>
      <c r="AH51" s="187"/>
      <c r="AI51" s="187"/>
      <c r="AJ51" s="187"/>
      <c r="AK51" s="187"/>
      <c r="AL51" s="187"/>
      <c r="AM51" s="187"/>
      <c r="AN51" s="187"/>
      <c r="AO51" s="187"/>
      <c r="AP51" s="187"/>
      <c r="AQ51" s="62"/>
      <c r="AR51" s="62"/>
      <c r="AS51" s="62"/>
      <c r="AT51" s="62"/>
      <c r="AU51" s="62"/>
      <c r="AV51" s="171"/>
      <c r="AW51" s="172" t="s">
        <v>354</v>
      </c>
      <c r="AX51" s="114"/>
      <c r="AY51" s="136"/>
      <c r="AZ51" s="137"/>
      <c r="BA51" s="285">
        <f t="shared" si="10"/>
        <v>0</v>
      </c>
      <c r="BB51" s="286">
        <f t="shared" si="11"/>
        <v>0</v>
      </c>
      <c r="BC51" s="173" t="s">
        <v>408</v>
      </c>
      <c r="BD51" s="114"/>
      <c r="BE51" s="139"/>
      <c r="BF51" s="117"/>
      <c r="BG51" s="287">
        <f t="shared" si="12"/>
        <v>0</v>
      </c>
      <c r="BH51" s="289">
        <f t="shared" si="13"/>
        <v>0</v>
      </c>
      <c r="BI51" s="174" t="s">
        <v>409</v>
      </c>
      <c r="BJ51" s="114"/>
      <c r="BK51" s="117"/>
      <c r="BL51" s="290">
        <f t="shared" si="14"/>
        <v>0</v>
      </c>
      <c r="BM51" s="291">
        <f t="shared" si="15"/>
        <v>0</v>
      </c>
      <c r="DH51" s="119">
        <f t="shared" si="81"/>
        <v>2330</v>
      </c>
      <c r="DI51" s="120">
        <f t="shared" si="82"/>
        <v>0</v>
      </c>
      <c r="DJ51" s="120">
        <f t="shared" si="83"/>
        <v>0</v>
      </c>
      <c r="DK51" s="120">
        <f t="shared" si="84"/>
        <v>0</v>
      </c>
      <c r="DL51" s="120">
        <f t="shared" si="85"/>
        <v>0</v>
      </c>
      <c r="DM51" s="120">
        <f t="shared" si="86"/>
        <v>0</v>
      </c>
      <c r="DN51" s="120">
        <f t="shared" si="87"/>
        <v>0</v>
      </c>
      <c r="DO51" s="120">
        <f t="shared" si="88"/>
        <v>0</v>
      </c>
      <c r="DP51" s="120">
        <f t="shared" si="89"/>
        <v>0</v>
      </c>
      <c r="DQ51" s="120">
        <f t="shared" si="90"/>
        <v>0</v>
      </c>
      <c r="DR51" s="120">
        <f t="shared" si="91"/>
        <v>0</v>
      </c>
      <c r="DS51" s="120">
        <f t="shared" si="92"/>
        <v>0</v>
      </c>
      <c r="DT51" s="120">
        <f t="shared" si="93"/>
        <v>0</v>
      </c>
      <c r="DU51" s="120">
        <f t="shared" si="94"/>
        <v>0</v>
      </c>
      <c r="DV51" s="120">
        <f t="shared" si="95"/>
        <v>0</v>
      </c>
      <c r="DW51" s="120">
        <f t="shared" si="96"/>
        <v>0</v>
      </c>
      <c r="DX51" s="120">
        <f t="shared" si="97"/>
        <v>0</v>
      </c>
      <c r="DY51" s="120">
        <f t="shared" si="98"/>
        <v>0</v>
      </c>
      <c r="DZ51" s="120">
        <f t="shared" si="99"/>
        <v>0</v>
      </c>
      <c r="EA51" s="120">
        <f t="shared" si="100"/>
        <v>0</v>
      </c>
      <c r="EB51" s="120">
        <f t="shared" si="101"/>
        <v>0</v>
      </c>
      <c r="EC51" s="120">
        <f t="shared" si="102"/>
        <v>0</v>
      </c>
      <c r="ED51" s="120">
        <f t="shared" si="103"/>
        <v>0</v>
      </c>
      <c r="EE51" s="120">
        <f t="shared" si="104"/>
        <v>0</v>
      </c>
      <c r="EF51" s="120">
        <f t="shared" si="105"/>
        <v>0</v>
      </c>
      <c r="EG51" s="120">
        <f t="shared" si="106"/>
        <v>0</v>
      </c>
      <c r="EH51" s="120">
        <f t="shared" si="107"/>
        <v>0</v>
      </c>
      <c r="EI51" s="120">
        <f t="shared" si="108"/>
        <v>0</v>
      </c>
      <c r="EJ51" s="120">
        <f t="shared" si="109"/>
        <v>0</v>
      </c>
      <c r="EK51" s="120">
        <f t="shared" si="110"/>
        <v>0</v>
      </c>
      <c r="EL51" s="120">
        <f t="shared" si="111"/>
        <v>0</v>
      </c>
      <c r="EM51" s="120">
        <f t="shared" si="112"/>
        <v>0</v>
      </c>
      <c r="EN51" s="120">
        <f t="shared" si="113"/>
        <v>0</v>
      </c>
      <c r="EO51" s="120">
        <f t="shared" si="114"/>
        <v>0</v>
      </c>
      <c r="EP51" s="120">
        <f t="shared" si="115"/>
        <v>0</v>
      </c>
      <c r="EQ51" s="120">
        <f t="shared" si="116"/>
        <v>0</v>
      </c>
      <c r="ER51" s="120">
        <f t="shared" si="117"/>
        <v>0</v>
      </c>
      <c r="ES51" s="120">
        <f t="shared" si="118"/>
        <v>0</v>
      </c>
      <c r="ET51" s="120">
        <f t="shared" si="119"/>
        <v>0</v>
      </c>
      <c r="EU51" s="120">
        <f t="shared" si="120"/>
        <v>0</v>
      </c>
      <c r="EV51" s="121"/>
      <c r="EW51" s="162">
        <f t="shared" si="121"/>
        <v>0</v>
      </c>
      <c r="EX51" s="72"/>
      <c r="EY51" s="119">
        <f t="shared" si="122"/>
        <v>2330</v>
      </c>
      <c r="EZ51" s="120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0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0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0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0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0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0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0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0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0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0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0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0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0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0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0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0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0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0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0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0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0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0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0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0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0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0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0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0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0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0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0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0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0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0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0">
        <f t="shared" si="123"/>
        <v>0</v>
      </c>
      <c r="GJ51" s="120">
        <f t="shared" si="124"/>
        <v>0</v>
      </c>
      <c r="GK51" s="120">
        <f t="shared" si="125"/>
        <v>0</v>
      </c>
      <c r="GL51" s="120">
        <f t="shared" si="126"/>
        <v>0</v>
      </c>
      <c r="GM51" s="121"/>
      <c r="GN51" s="162">
        <f t="shared" ca="1" si="127"/>
        <v>0</v>
      </c>
    </row>
    <row r="52" spans="1:196">
      <c r="A52" s="177" t="s">
        <v>411</v>
      </c>
      <c r="B52" s="169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9"/>
      <c r="K52" s="69"/>
      <c r="L52" s="69"/>
      <c r="M52" s="69"/>
      <c r="N52" s="797" t="s">
        <v>0</v>
      </c>
      <c r="O52" s="795"/>
      <c r="P52" s="796"/>
      <c r="Q52" s="189">
        <v>5.1999999999999998E-3</v>
      </c>
      <c r="R52" s="187"/>
      <c r="S52" s="186"/>
      <c r="T52" s="187"/>
      <c r="U52" s="188"/>
      <c r="V52" s="187"/>
      <c r="W52" s="187"/>
      <c r="X52" s="187"/>
      <c r="Y52" s="187"/>
      <c r="Z52" s="187"/>
      <c r="AA52" s="187"/>
      <c r="AB52" s="187"/>
      <c r="AC52" s="187"/>
      <c r="AD52" s="187"/>
      <c r="AE52" s="186"/>
      <c r="AF52" s="187"/>
      <c r="AG52" s="188"/>
      <c r="AH52" s="187"/>
      <c r="AI52" s="187"/>
      <c r="AJ52" s="187"/>
      <c r="AK52" s="187"/>
      <c r="AL52" s="187"/>
      <c r="AM52" s="187"/>
      <c r="AN52" s="187"/>
      <c r="AO52" s="187"/>
      <c r="AP52" s="187"/>
      <c r="AQ52" s="62"/>
      <c r="AR52" s="62"/>
      <c r="AS52" s="62"/>
      <c r="AT52" s="62"/>
      <c r="AU52" s="62"/>
      <c r="AV52" s="171"/>
      <c r="AW52" s="172" t="s">
        <v>354</v>
      </c>
      <c r="AX52" s="114"/>
      <c r="AY52" s="136"/>
      <c r="AZ52" s="137"/>
      <c r="BA52" s="285">
        <f t="shared" si="10"/>
        <v>0</v>
      </c>
      <c r="BB52" s="286">
        <f t="shared" si="11"/>
        <v>0</v>
      </c>
      <c r="BC52" s="173" t="s">
        <v>408</v>
      </c>
      <c r="BD52" s="114"/>
      <c r="BE52" s="139"/>
      <c r="BF52" s="117"/>
      <c r="BG52" s="287">
        <f t="shared" si="12"/>
        <v>0</v>
      </c>
      <c r="BH52" s="289">
        <f t="shared" si="13"/>
        <v>0</v>
      </c>
      <c r="BI52" s="174" t="s">
        <v>409</v>
      </c>
      <c r="BJ52" s="114"/>
      <c r="BK52" s="117"/>
      <c r="BL52" s="290">
        <f t="shared" si="14"/>
        <v>0</v>
      </c>
      <c r="BM52" s="291">
        <f t="shared" si="15"/>
        <v>0</v>
      </c>
      <c r="DH52" s="119">
        <f t="shared" si="81"/>
        <v>2446.5</v>
      </c>
      <c r="DI52" s="120">
        <f t="shared" si="82"/>
        <v>0</v>
      </c>
      <c r="DJ52" s="120">
        <f t="shared" si="83"/>
        <v>0</v>
      </c>
      <c r="DK52" s="120">
        <f t="shared" si="84"/>
        <v>0</v>
      </c>
      <c r="DL52" s="120">
        <f t="shared" si="85"/>
        <v>0</v>
      </c>
      <c r="DM52" s="120">
        <f t="shared" si="86"/>
        <v>0</v>
      </c>
      <c r="DN52" s="120">
        <f t="shared" si="87"/>
        <v>0</v>
      </c>
      <c r="DO52" s="120">
        <f t="shared" si="88"/>
        <v>0</v>
      </c>
      <c r="DP52" s="120">
        <f t="shared" si="89"/>
        <v>0</v>
      </c>
      <c r="DQ52" s="120">
        <f t="shared" si="90"/>
        <v>0</v>
      </c>
      <c r="DR52" s="120">
        <f t="shared" si="91"/>
        <v>0</v>
      </c>
      <c r="DS52" s="120">
        <f t="shared" si="92"/>
        <v>0</v>
      </c>
      <c r="DT52" s="120">
        <f t="shared" si="93"/>
        <v>0</v>
      </c>
      <c r="DU52" s="120">
        <f t="shared" si="94"/>
        <v>0</v>
      </c>
      <c r="DV52" s="120">
        <f t="shared" si="95"/>
        <v>0</v>
      </c>
      <c r="DW52" s="120">
        <f t="shared" si="96"/>
        <v>0</v>
      </c>
      <c r="DX52" s="120">
        <f t="shared" si="97"/>
        <v>0</v>
      </c>
      <c r="DY52" s="120">
        <f t="shared" si="98"/>
        <v>0</v>
      </c>
      <c r="DZ52" s="120">
        <f t="shared" si="99"/>
        <v>0</v>
      </c>
      <c r="EA52" s="120">
        <f t="shared" si="100"/>
        <v>0</v>
      </c>
      <c r="EB52" s="120">
        <f t="shared" si="101"/>
        <v>0</v>
      </c>
      <c r="EC52" s="120">
        <f t="shared" si="102"/>
        <v>0</v>
      </c>
      <c r="ED52" s="120">
        <f t="shared" si="103"/>
        <v>0</v>
      </c>
      <c r="EE52" s="120">
        <f t="shared" si="104"/>
        <v>0</v>
      </c>
      <c r="EF52" s="120">
        <f t="shared" si="105"/>
        <v>0</v>
      </c>
      <c r="EG52" s="120">
        <f t="shared" si="106"/>
        <v>0</v>
      </c>
      <c r="EH52" s="120">
        <f t="shared" si="107"/>
        <v>0</v>
      </c>
      <c r="EI52" s="120">
        <f t="shared" si="108"/>
        <v>0</v>
      </c>
      <c r="EJ52" s="120">
        <f t="shared" si="109"/>
        <v>0</v>
      </c>
      <c r="EK52" s="120">
        <f t="shared" si="110"/>
        <v>0</v>
      </c>
      <c r="EL52" s="120">
        <f t="shared" si="111"/>
        <v>0</v>
      </c>
      <c r="EM52" s="120">
        <f t="shared" si="112"/>
        <v>0</v>
      </c>
      <c r="EN52" s="120">
        <f t="shared" si="113"/>
        <v>0</v>
      </c>
      <c r="EO52" s="120">
        <f t="shared" si="114"/>
        <v>0</v>
      </c>
      <c r="EP52" s="120">
        <f t="shared" si="115"/>
        <v>0</v>
      </c>
      <c r="EQ52" s="120">
        <f t="shared" si="116"/>
        <v>0</v>
      </c>
      <c r="ER52" s="120">
        <f t="shared" si="117"/>
        <v>0</v>
      </c>
      <c r="ES52" s="120">
        <f t="shared" si="118"/>
        <v>0</v>
      </c>
      <c r="ET52" s="120">
        <f t="shared" si="119"/>
        <v>0</v>
      </c>
      <c r="EU52" s="120">
        <f t="shared" si="120"/>
        <v>0</v>
      </c>
      <c r="EV52" s="121"/>
      <c r="EW52" s="162">
        <f t="shared" si="121"/>
        <v>0</v>
      </c>
      <c r="EX52" s="72"/>
      <c r="EY52" s="119">
        <f t="shared" si="122"/>
        <v>2446.5</v>
      </c>
      <c r="EZ52" s="120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0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0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0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0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0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0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0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0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0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0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0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0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0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0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0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0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0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0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0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0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0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0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0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0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0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0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0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0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0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0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0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0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0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0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0">
        <f t="shared" si="123"/>
        <v>0</v>
      </c>
      <c r="GJ52" s="120">
        <f t="shared" si="124"/>
        <v>0</v>
      </c>
      <c r="GK52" s="120">
        <f t="shared" si="125"/>
        <v>0</v>
      </c>
      <c r="GL52" s="120">
        <f t="shared" si="126"/>
        <v>0</v>
      </c>
      <c r="GM52" s="121"/>
      <c r="GN52" s="162">
        <f t="shared" ca="1" si="127"/>
        <v>0</v>
      </c>
    </row>
    <row r="53" spans="1:196">
      <c r="A53" s="168" t="s">
        <v>407</v>
      </c>
      <c r="B53" s="169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7" t="str">
        <f>IFERROR(D52/D53,"")</f>
        <v/>
      </c>
      <c r="K53" s="128" t="str">
        <f>IFERROR(G52/G53,"")</f>
        <v/>
      </c>
      <c r="L53" s="129" t="str">
        <f t="shared" si="128"/>
        <v/>
      </c>
      <c r="M53" s="130">
        <f>I53+I52</f>
        <v>0</v>
      </c>
      <c r="N53" s="815" t="s">
        <v>1</v>
      </c>
      <c r="O53" s="816"/>
      <c r="P53" s="817"/>
      <c r="Q53" s="193">
        <v>5.1999999999999998E-3</v>
      </c>
      <c r="R53" s="187"/>
      <c r="S53" s="186"/>
      <c r="T53" s="187"/>
      <c r="U53" s="188"/>
      <c r="V53" s="187"/>
      <c r="W53" s="187"/>
      <c r="X53" s="187"/>
      <c r="Y53" s="187"/>
      <c r="Z53" s="187"/>
      <c r="AA53" s="187"/>
      <c r="AB53" s="187"/>
      <c r="AC53" s="187"/>
      <c r="AD53" s="187"/>
      <c r="AE53" s="186"/>
      <c r="AF53" s="187"/>
      <c r="AG53" s="188"/>
      <c r="AH53" s="187"/>
      <c r="AI53" s="187"/>
      <c r="AJ53" s="187"/>
      <c r="AK53" s="187"/>
      <c r="AL53" s="187"/>
      <c r="AM53" s="187"/>
      <c r="AN53" s="187"/>
      <c r="AO53" s="187"/>
      <c r="AP53" s="187"/>
      <c r="AQ53" s="62"/>
      <c r="AR53" s="62"/>
      <c r="AS53" s="62"/>
      <c r="AT53" s="62"/>
      <c r="AU53" s="62"/>
      <c r="AV53" s="171"/>
      <c r="AW53" s="172" t="s">
        <v>354</v>
      </c>
      <c r="AX53" s="114"/>
      <c r="AY53" s="136"/>
      <c r="AZ53" s="137"/>
      <c r="BA53" s="285">
        <f t="shared" si="10"/>
        <v>0</v>
      </c>
      <c r="BB53" s="286">
        <f t="shared" si="11"/>
        <v>0</v>
      </c>
      <c r="BC53" s="173" t="s">
        <v>408</v>
      </c>
      <c r="BD53" s="114"/>
      <c r="BE53" s="139"/>
      <c r="BF53" s="117"/>
      <c r="BG53" s="287">
        <f t="shared" si="12"/>
        <v>0</v>
      </c>
      <c r="BH53" s="289">
        <f t="shared" si="13"/>
        <v>0</v>
      </c>
      <c r="BI53" s="174" t="s">
        <v>409</v>
      </c>
      <c r="BJ53" s="114"/>
      <c r="BK53" s="117"/>
      <c r="BL53" s="290">
        <f t="shared" si="14"/>
        <v>0</v>
      </c>
      <c r="BM53" s="291">
        <f t="shared" si="15"/>
        <v>0</v>
      </c>
      <c r="DH53" s="119">
        <f t="shared" si="81"/>
        <v>2568.8250000000003</v>
      </c>
      <c r="DI53" s="120">
        <f t="shared" si="82"/>
        <v>0</v>
      </c>
      <c r="DJ53" s="120">
        <f t="shared" si="83"/>
        <v>0</v>
      </c>
      <c r="DK53" s="120">
        <f t="shared" si="84"/>
        <v>0</v>
      </c>
      <c r="DL53" s="120">
        <f t="shared" si="85"/>
        <v>0</v>
      </c>
      <c r="DM53" s="120">
        <f t="shared" si="86"/>
        <v>0</v>
      </c>
      <c r="DN53" s="120">
        <f t="shared" si="87"/>
        <v>0</v>
      </c>
      <c r="DO53" s="120">
        <f t="shared" si="88"/>
        <v>0</v>
      </c>
      <c r="DP53" s="120">
        <f t="shared" si="89"/>
        <v>0</v>
      </c>
      <c r="DQ53" s="120">
        <f t="shared" si="90"/>
        <v>0</v>
      </c>
      <c r="DR53" s="120">
        <f t="shared" si="91"/>
        <v>0</v>
      </c>
      <c r="DS53" s="120">
        <f t="shared" si="92"/>
        <v>0</v>
      </c>
      <c r="DT53" s="120">
        <f t="shared" si="93"/>
        <v>0</v>
      </c>
      <c r="DU53" s="120">
        <f t="shared" si="94"/>
        <v>0</v>
      </c>
      <c r="DV53" s="120">
        <f t="shared" si="95"/>
        <v>0</v>
      </c>
      <c r="DW53" s="120">
        <f t="shared" si="96"/>
        <v>0</v>
      </c>
      <c r="DX53" s="120">
        <f t="shared" si="97"/>
        <v>0</v>
      </c>
      <c r="DY53" s="120">
        <f t="shared" si="98"/>
        <v>0</v>
      </c>
      <c r="DZ53" s="120">
        <f t="shared" si="99"/>
        <v>0</v>
      </c>
      <c r="EA53" s="120">
        <f t="shared" si="100"/>
        <v>0</v>
      </c>
      <c r="EB53" s="120">
        <f t="shared" si="101"/>
        <v>0</v>
      </c>
      <c r="EC53" s="120">
        <f t="shared" si="102"/>
        <v>0</v>
      </c>
      <c r="ED53" s="120">
        <f t="shared" si="103"/>
        <v>0</v>
      </c>
      <c r="EE53" s="120">
        <f t="shared" si="104"/>
        <v>0</v>
      </c>
      <c r="EF53" s="120">
        <f t="shared" si="105"/>
        <v>0</v>
      </c>
      <c r="EG53" s="120">
        <f t="shared" si="106"/>
        <v>0</v>
      </c>
      <c r="EH53" s="120">
        <f t="shared" si="107"/>
        <v>0</v>
      </c>
      <c r="EI53" s="120">
        <f t="shared" si="108"/>
        <v>0</v>
      </c>
      <c r="EJ53" s="120">
        <f t="shared" si="109"/>
        <v>0</v>
      </c>
      <c r="EK53" s="120">
        <f t="shared" si="110"/>
        <v>0</v>
      </c>
      <c r="EL53" s="120">
        <f t="shared" si="111"/>
        <v>0</v>
      </c>
      <c r="EM53" s="120">
        <f t="shared" si="112"/>
        <v>0</v>
      </c>
      <c r="EN53" s="120">
        <f t="shared" si="113"/>
        <v>0</v>
      </c>
      <c r="EO53" s="120">
        <f t="shared" si="114"/>
        <v>0</v>
      </c>
      <c r="EP53" s="120">
        <f t="shared" si="115"/>
        <v>0</v>
      </c>
      <c r="EQ53" s="120">
        <f t="shared" si="116"/>
        <v>0</v>
      </c>
      <c r="ER53" s="120">
        <f t="shared" si="117"/>
        <v>0</v>
      </c>
      <c r="ES53" s="120">
        <f t="shared" si="118"/>
        <v>0</v>
      </c>
      <c r="ET53" s="120">
        <f t="shared" si="119"/>
        <v>0</v>
      </c>
      <c r="EU53" s="120">
        <f t="shared" si="120"/>
        <v>0</v>
      </c>
      <c r="EV53" s="121"/>
      <c r="EW53" s="162">
        <f t="shared" si="121"/>
        <v>0</v>
      </c>
      <c r="EX53" s="72"/>
      <c r="EY53" s="119">
        <f t="shared" si="122"/>
        <v>2568.8250000000003</v>
      </c>
      <c r="EZ53" s="120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0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0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0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0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0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0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0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0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0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0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0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0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0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0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0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0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0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0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0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0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0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0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0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0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0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0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0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0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0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0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0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0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0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0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0">
        <f t="shared" si="123"/>
        <v>0</v>
      </c>
      <c r="GJ53" s="120">
        <f t="shared" si="124"/>
        <v>0</v>
      </c>
      <c r="GK53" s="120">
        <f t="shared" si="125"/>
        <v>0</v>
      </c>
      <c r="GL53" s="120">
        <f t="shared" si="126"/>
        <v>0</v>
      </c>
      <c r="GM53" s="121"/>
      <c r="GN53" s="162">
        <f t="shared" ca="1" si="127"/>
        <v>0</v>
      </c>
    </row>
    <row r="54" spans="1:196">
      <c r="A54" s="175" t="s">
        <v>410</v>
      </c>
      <c r="B54" s="169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9"/>
      <c r="K54" s="69"/>
      <c r="L54" s="69"/>
      <c r="M54" s="69"/>
      <c r="N54" s="62"/>
      <c r="O54" s="187"/>
      <c r="P54" s="187"/>
      <c r="Q54" s="187"/>
      <c r="R54" s="187"/>
      <c r="S54" s="186"/>
      <c r="T54" s="187"/>
      <c r="U54" s="188"/>
      <c r="V54" s="187"/>
      <c r="W54" s="187"/>
      <c r="X54" s="187"/>
      <c r="Y54" s="187"/>
      <c r="Z54" s="187"/>
      <c r="AA54" s="187"/>
      <c r="AB54" s="187"/>
      <c r="AC54" s="187"/>
      <c r="AD54" s="187"/>
      <c r="AE54" s="186"/>
      <c r="AF54" s="187"/>
      <c r="AG54" s="188"/>
      <c r="AH54" s="194"/>
      <c r="AI54" s="194"/>
      <c r="AJ54" s="194"/>
      <c r="AK54" s="194"/>
      <c r="AL54" s="194"/>
      <c r="AM54" s="194"/>
      <c r="AN54" s="194"/>
      <c r="AO54" s="194"/>
      <c r="AP54" s="194"/>
      <c r="AQ54" s="66"/>
      <c r="AR54" s="66"/>
      <c r="AS54" s="66"/>
      <c r="AT54" s="66"/>
      <c r="AU54" s="66"/>
      <c r="AV54" s="171"/>
      <c r="AW54" s="172" t="s">
        <v>354</v>
      </c>
      <c r="AX54" s="114"/>
      <c r="AY54" s="136"/>
      <c r="AZ54" s="137"/>
      <c r="BA54" s="285">
        <f t="shared" si="10"/>
        <v>0</v>
      </c>
      <c r="BB54" s="286">
        <f t="shared" si="11"/>
        <v>0</v>
      </c>
      <c r="BC54" s="173" t="s">
        <v>408</v>
      </c>
      <c r="BD54" s="114"/>
      <c r="BE54" s="139"/>
      <c r="BF54" s="117"/>
      <c r="BG54" s="287">
        <f t="shared" si="12"/>
        <v>0</v>
      </c>
      <c r="BH54" s="289">
        <f t="shared" si="13"/>
        <v>0</v>
      </c>
      <c r="BI54" s="174" t="s">
        <v>409</v>
      </c>
      <c r="BJ54" s="114"/>
      <c r="BK54" s="117"/>
      <c r="BL54" s="290">
        <f t="shared" si="14"/>
        <v>0</v>
      </c>
      <c r="BM54" s="291">
        <f t="shared" si="15"/>
        <v>0</v>
      </c>
      <c r="DH54" s="119">
        <f t="shared" si="81"/>
        <v>2697.2662500000006</v>
      </c>
      <c r="DI54" s="120">
        <f t="shared" si="82"/>
        <v>0</v>
      </c>
      <c r="DJ54" s="120">
        <f t="shared" si="83"/>
        <v>0</v>
      </c>
      <c r="DK54" s="120">
        <f t="shared" si="84"/>
        <v>0</v>
      </c>
      <c r="DL54" s="120">
        <f t="shared" si="85"/>
        <v>0</v>
      </c>
      <c r="DM54" s="120">
        <f t="shared" si="86"/>
        <v>0</v>
      </c>
      <c r="DN54" s="120">
        <f t="shared" si="87"/>
        <v>0</v>
      </c>
      <c r="DO54" s="120">
        <f t="shared" si="88"/>
        <v>0</v>
      </c>
      <c r="DP54" s="120">
        <f t="shared" si="89"/>
        <v>0</v>
      </c>
      <c r="DQ54" s="120">
        <f t="shared" si="90"/>
        <v>0</v>
      </c>
      <c r="DR54" s="120">
        <f t="shared" si="91"/>
        <v>0</v>
      </c>
      <c r="DS54" s="120">
        <f t="shared" si="92"/>
        <v>0</v>
      </c>
      <c r="DT54" s="120">
        <f t="shared" si="93"/>
        <v>0</v>
      </c>
      <c r="DU54" s="120">
        <f t="shared" si="94"/>
        <v>0</v>
      </c>
      <c r="DV54" s="120">
        <f t="shared" si="95"/>
        <v>0</v>
      </c>
      <c r="DW54" s="120">
        <f t="shared" si="96"/>
        <v>0</v>
      </c>
      <c r="DX54" s="120">
        <f t="shared" si="97"/>
        <v>0</v>
      </c>
      <c r="DY54" s="120">
        <f t="shared" si="98"/>
        <v>0</v>
      </c>
      <c r="DZ54" s="120">
        <f t="shared" si="99"/>
        <v>0</v>
      </c>
      <c r="EA54" s="120">
        <f t="shared" si="100"/>
        <v>0</v>
      </c>
      <c r="EB54" s="120">
        <f t="shared" si="101"/>
        <v>0</v>
      </c>
      <c r="EC54" s="120">
        <f t="shared" si="102"/>
        <v>0</v>
      </c>
      <c r="ED54" s="120">
        <f t="shared" si="103"/>
        <v>0</v>
      </c>
      <c r="EE54" s="120">
        <f t="shared" si="104"/>
        <v>0</v>
      </c>
      <c r="EF54" s="120">
        <f t="shared" si="105"/>
        <v>0</v>
      </c>
      <c r="EG54" s="120">
        <f t="shared" si="106"/>
        <v>0</v>
      </c>
      <c r="EH54" s="120">
        <f t="shared" si="107"/>
        <v>0</v>
      </c>
      <c r="EI54" s="120">
        <f t="shared" si="108"/>
        <v>0</v>
      </c>
      <c r="EJ54" s="120">
        <f t="shared" si="109"/>
        <v>0</v>
      </c>
      <c r="EK54" s="120">
        <f t="shared" si="110"/>
        <v>0</v>
      </c>
      <c r="EL54" s="120">
        <f t="shared" si="111"/>
        <v>0</v>
      </c>
      <c r="EM54" s="120">
        <f t="shared" si="112"/>
        <v>0</v>
      </c>
      <c r="EN54" s="120">
        <f t="shared" si="113"/>
        <v>0</v>
      </c>
      <c r="EO54" s="120">
        <f t="shared" si="114"/>
        <v>0</v>
      </c>
      <c r="EP54" s="120">
        <f t="shared" si="115"/>
        <v>0</v>
      </c>
      <c r="EQ54" s="120">
        <f t="shared" si="116"/>
        <v>0</v>
      </c>
      <c r="ER54" s="120">
        <f t="shared" si="117"/>
        <v>0</v>
      </c>
      <c r="ES54" s="120">
        <f t="shared" si="118"/>
        <v>0</v>
      </c>
      <c r="ET54" s="120">
        <f t="shared" si="119"/>
        <v>0</v>
      </c>
      <c r="EU54" s="120">
        <f t="shared" si="120"/>
        <v>0</v>
      </c>
      <c r="EV54" s="121"/>
      <c r="EW54" s="162">
        <f t="shared" si="121"/>
        <v>0</v>
      </c>
      <c r="EX54" s="72"/>
      <c r="EY54" s="119">
        <f t="shared" si="122"/>
        <v>2697.2662500000006</v>
      </c>
      <c r="EZ54" s="120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0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0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0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0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0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0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0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0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0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0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0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0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0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0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0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0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0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0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0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0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0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0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0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0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0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0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0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0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0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0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0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0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0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0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0">
        <f t="shared" si="123"/>
        <v>0</v>
      </c>
      <c r="GJ54" s="120">
        <f t="shared" si="124"/>
        <v>0</v>
      </c>
      <c r="GK54" s="120">
        <f t="shared" si="125"/>
        <v>0</v>
      </c>
      <c r="GL54" s="120">
        <f t="shared" si="126"/>
        <v>0</v>
      </c>
      <c r="GM54" s="121"/>
      <c r="GN54" s="162">
        <f t="shared" ca="1" si="127"/>
        <v>0</v>
      </c>
    </row>
    <row r="55" spans="1:196">
      <c r="A55" s="177" t="s">
        <v>411</v>
      </c>
      <c r="B55" s="169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7" t="str">
        <f>IFERROR(D54/D55,"")</f>
        <v/>
      </c>
      <c r="K55" s="128" t="str">
        <f>IFERROR(G54/G55,"")</f>
        <v/>
      </c>
      <c r="L55" s="129" t="str">
        <f t="shared" si="128"/>
        <v/>
      </c>
      <c r="M55" s="130">
        <f>I55+I54</f>
        <v>0</v>
      </c>
      <c r="N55" s="62"/>
      <c r="O55" s="187"/>
      <c r="P55" s="187"/>
      <c r="Q55" s="187"/>
      <c r="R55" s="187"/>
      <c r="S55" s="186"/>
      <c r="T55" s="187"/>
      <c r="U55" s="188"/>
      <c r="V55" s="187"/>
      <c r="W55" s="187"/>
      <c r="X55" s="187"/>
      <c r="Y55" s="187"/>
      <c r="Z55" s="187"/>
      <c r="AA55" s="187"/>
      <c r="AB55" s="187"/>
      <c r="AC55" s="187"/>
      <c r="AD55" s="187"/>
      <c r="AE55" s="186"/>
      <c r="AF55" s="187"/>
      <c r="AG55" s="188"/>
      <c r="AH55" s="194"/>
      <c r="AI55" s="194"/>
      <c r="AJ55" s="194"/>
      <c r="AK55" s="194"/>
      <c r="AL55" s="194"/>
      <c r="AM55" s="194"/>
      <c r="AN55" s="194"/>
      <c r="AO55" s="194"/>
      <c r="AP55" s="194"/>
      <c r="AQ55" s="66"/>
      <c r="AR55" s="66"/>
      <c r="AS55" s="66"/>
      <c r="AT55" s="66"/>
      <c r="AU55" s="66"/>
      <c r="AV55" s="171"/>
      <c r="AW55" s="172" t="s">
        <v>354</v>
      </c>
      <c r="AX55" s="114"/>
      <c r="AY55" s="136"/>
      <c r="AZ55" s="137"/>
      <c r="BA55" s="285">
        <f t="shared" si="10"/>
        <v>0</v>
      </c>
      <c r="BB55" s="286">
        <f t="shared" si="11"/>
        <v>0</v>
      </c>
      <c r="BC55" s="173" t="s">
        <v>408</v>
      </c>
      <c r="BD55" s="114"/>
      <c r="BE55" s="139"/>
      <c r="BF55" s="117"/>
      <c r="BG55" s="287">
        <f t="shared" si="12"/>
        <v>0</v>
      </c>
      <c r="BH55" s="289">
        <f t="shared" si="13"/>
        <v>0</v>
      </c>
      <c r="BI55" s="174" t="s">
        <v>409</v>
      </c>
      <c r="BJ55" s="114"/>
      <c r="BK55" s="117"/>
      <c r="BL55" s="290">
        <f t="shared" si="14"/>
        <v>0</v>
      </c>
      <c r="BM55" s="291">
        <f t="shared" si="15"/>
        <v>0</v>
      </c>
      <c r="DH55" s="119">
        <f t="shared" si="81"/>
        <v>2832.1295625000007</v>
      </c>
      <c r="DI55" s="120">
        <f t="shared" si="82"/>
        <v>0</v>
      </c>
      <c r="DJ55" s="120">
        <f t="shared" si="83"/>
        <v>0</v>
      </c>
      <c r="DK55" s="120">
        <f t="shared" si="84"/>
        <v>0</v>
      </c>
      <c r="DL55" s="120">
        <f t="shared" si="85"/>
        <v>0</v>
      </c>
      <c r="DM55" s="120">
        <f t="shared" si="86"/>
        <v>0</v>
      </c>
      <c r="DN55" s="120">
        <f t="shared" si="87"/>
        <v>0</v>
      </c>
      <c r="DO55" s="120">
        <f t="shared" si="88"/>
        <v>0</v>
      </c>
      <c r="DP55" s="120">
        <f t="shared" si="89"/>
        <v>0</v>
      </c>
      <c r="DQ55" s="120">
        <f t="shared" si="90"/>
        <v>0</v>
      </c>
      <c r="DR55" s="120">
        <f t="shared" si="91"/>
        <v>0</v>
      </c>
      <c r="DS55" s="120">
        <f t="shared" si="92"/>
        <v>0</v>
      </c>
      <c r="DT55" s="120">
        <f t="shared" si="93"/>
        <v>0</v>
      </c>
      <c r="DU55" s="120">
        <f t="shared" si="94"/>
        <v>0</v>
      </c>
      <c r="DV55" s="120">
        <f t="shared" si="95"/>
        <v>0</v>
      </c>
      <c r="DW55" s="120">
        <f t="shared" si="96"/>
        <v>0</v>
      </c>
      <c r="DX55" s="120">
        <f t="shared" si="97"/>
        <v>0</v>
      </c>
      <c r="DY55" s="120">
        <f t="shared" si="98"/>
        <v>0</v>
      </c>
      <c r="DZ55" s="120">
        <f t="shared" si="99"/>
        <v>0</v>
      </c>
      <c r="EA55" s="120">
        <f t="shared" si="100"/>
        <v>0</v>
      </c>
      <c r="EB55" s="120">
        <f t="shared" si="101"/>
        <v>0</v>
      </c>
      <c r="EC55" s="120">
        <f t="shared" si="102"/>
        <v>0</v>
      </c>
      <c r="ED55" s="120">
        <f t="shared" si="103"/>
        <v>0</v>
      </c>
      <c r="EE55" s="120">
        <f t="shared" si="104"/>
        <v>0</v>
      </c>
      <c r="EF55" s="120">
        <f t="shared" si="105"/>
        <v>0</v>
      </c>
      <c r="EG55" s="120">
        <f t="shared" si="106"/>
        <v>0</v>
      </c>
      <c r="EH55" s="120">
        <f t="shared" si="107"/>
        <v>0</v>
      </c>
      <c r="EI55" s="120">
        <f t="shared" si="108"/>
        <v>0</v>
      </c>
      <c r="EJ55" s="120">
        <f t="shared" si="109"/>
        <v>0</v>
      </c>
      <c r="EK55" s="120">
        <f t="shared" si="110"/>
        <v>0</v>
      </c>
      <c r="EL55" s="120">
        <f t="shared" si="111"/>
        <v>0</v>
      </c>
      <c r="EM55" s="120">
        <f t="shared" si="112"/>
        <v>0</v>
      </c>
      <c r="EN55" s="120">
        <f t="shared" si="113"/>
        <v>0</v>
      </c>
      <c r="EO55" s="120">
        <f t="shared" si="114"/>
        <v>0</v>
      </c>
      <c r="EP55" s="120">
        <f t="shared" si="115"/>
        <v>0</v>
      </c>
      <c r="EQ55" s="120">
        <f t="shared" si="116"/>
        <v>0</v>
      </c>
      <c r="ER55" s="120">
        <f t="shared" si="117"/>
        <v>0</v>
      </c>
      <c r="ES55" s="120">
        <f t="shared" si="118"/>
        <v>0</v>
      </c>
      <c r="ET55" s="120">
        <f t="shared" si="119"/>
        <v>0</v>
      </c>
      <c r="EU55" s="120">
        <f t="shared" si="120"/>
        <v>0</v>
      </c>
      <c r="EV55" s="121"/>
      <c r="EW55" s="162">
        <f t="shared" si="121"/>
        <v>0</v>
      </c>
      <c r="EX55" s="72"/>
      <c r="EY55" s="119">
        <f t="shared" si="122"/>
        <v>2832.1295625000007</v>
      </c>
      <c r="EZ55" s="120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0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0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0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0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0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0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0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0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0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0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0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0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0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0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0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0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0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0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0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0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0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0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0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0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0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0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0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0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0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0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0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0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0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0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0">
        <f t="shared" si="123"/>
        <v>0</v>
      </c>
      <c r="GJ55" s="120">
        <f t="shared" si="124"/>
        <v>0</v>
      </c>
      <c r="GK55" s="120">
        <f t="shared" si="125"/>
        <v>0</v>
      </c>
      <c r="GL55" s="120">
        <f t="shared" si="126"/>
        <v>0</v>
      </c>
      <c r="GM55" s="121"/>
      <c r="GN55" s="162">
        <f t="shared" ca="1" si="127"/>
        <v>0</v>
      </c>
    </row>
    <row r="56" spans="1:196">
      <c r="A56" s="168" t="s">
        <v>407</v>
      </c>
      <c r="B56" s="169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9"/>
      <c r="K56" s="69"/>
      <c r="L56" s="69"/>
      <c r="M56" s="69"/>
      <c r="N56" s="62"/>
      <c r="O56" s="187"/>
      <c r="P56" s="187"/>
      <c r="Q56" s="187"/>
      <c r="R56" s="186"/>
      <c r="S56" s="186"/>
      <c r="T56" s="187"/>
      <c r="U56" s="188"/>
      <c r="V56" s="187"/>
      <c r="W56" s="187"/>
      <c r="X56" s="187"/>
      <c r="Y56" s="187"/>
      <c r="Z56" s="187"/>
      <c r="AA56" s="187"/>
      <c r="AB56" s="187"/>
      <c r="AC56" s="187"/>
      <c r="AD56" s="187"/>
      <c r="AE56" s="186"/>
      <c r="AF56" s="187"/>
      <c r="AG56" s="188"/>
      <c r="AH56" s="194"/>
      <c r="AI56" s="194"/>
      <c r="AJ56" s="194"/>
      <c r="AK56" s="194"/>
      <c r="AL56" s="194"/>
      <c r="AM56" s="194"/>
      <c r="AN56" s="194"/>
      <c r="AO56" s="194"/>
      <c r="AP56" s="194"/>
      <c r="AQ56" s="66"/>
      <c r="AR56" s="66"/>
      <c r="AS56" s="66"/>
      <c r="AT56" s="66"/>
      <c r="AU56" s="66"/>
      <c r="AV56" s="171"/>
      <c r="AW56" s="172" t="s">
        <v>354</v>
      </c>
      <c r="AX56" s="114"/>
      <c r="AY56" s="136"/>
      <c r="AZ56" s="137"/>
      <c r="BA56" s="285">
        <f t="shared" si="10"/>
        <v>0</v>
      </c>
      <c r="BB56" s="286">
        <f t="shared" si="11"/>
        <v>0</v>
      </c>
      <c r="BC56" s="173" t="s">
        <v>408</v>
      </c>
      <c r="BD56" s="114"/>
      <c r="BE56" s="139"/>
      <c r="BF56" s="117"/>
      <c r="BG56" s="287">
        <f t="shared" si="12"/>
        <v>0</v>
      </c>
      <c r="BH56" s="289">
        <f t="shared" si="13"/>
        <v>0</v>
      </c>
      <c r="BI56" s="174" t="s">
        <v>409</v>
      </c>
      <c r="BJ56" s="114"/>
      <c r="BK56" s="117"/>
      <c r="BL56" s="290">
        <f t="shared" si="14"/>
        <v>0</v>
      </c>
      <c r="BM56" s="291">
        <f t="shared" si="15"/>
        <v>0</v>
      </c>
      <c r="DH56" s="119">
        <f t="shared" si="81"/>
        <v>2973.7360406250009</v>
      </c>
      <c r="DI56" s="120">
        <f t="shared" si="82"/>
        <v>0</v>
      </c>
      <c r="DJ56" s="120">
        <f t="shared" si="83"/>
        <v>0</v>
      </c>
      <c r="DK56" s="120">
        <f t="shared" si="84"/>
        <v>0</v>
      </c>
      <c r="DL56" s="120">
        <f t="shared" si="85"/>
        <v>0</v>
      </c>
      <c r="DM56" s="120">
        <f t="shared" si="86"/>
        <v>0</v>
      </c>
      <c r="DN56" s="120">
        <f t="shared" si="87"/>
        <v>0</v>
      </c>
      <c r="DO56" s="120">
        <f t="shared" si="88"/>
        <v>0</v>
      </c>
      <c r="DP56" s="120">
        <f t="shared" si="89"/>
        <v>0</v>
      </c>
      <c r="DQ56" s="120">
        <f t="shared" si="90"/>
        <v>0</v>
      </c>
      <c r="DR56" s="120">
        <f t="shared" si="91"/>
        <v>0</v>
      </c>
      <c r="DS56" s="120">
        <f t="shared" si="92"/>
        <v>0</v>
      </c>
      <c r="DT56" s="120">
        <f t="shared" si="93"/>
        <v>0</v>
      </c>
      <c r="DU56" s="120">
        <f t="shared" si="94"/>
        <v>0</v>
      </c>
      <c r="DV56" s="120">
        <f t="shared" si="95"/>
        <v>0</v>
      </c>
      <c r="DW56" s="120">
        <f t="shared" si="96"/>
        <v>0</v>
      </c>
      <c r="DX56" s="120">
        <f t="shared" si="97"/>
        <v>0</v>
      </c>
      <c r="DY56" s="120">
        <f t="shared" si="98"/>
        <v>0</v>
      </c>
      <c r="DZ56" s="120">
        <f t="shared" si="99"/>
        <v>0</v>
      </c>
      <c r="EA56" s="120">
        <f t="shared" si="100"/>
        <v>0</v>
      </c>
      <c r="EB56" s="120">
        <f t="shared" si="101"/>
        <v>0</v>
      </c>
      <c r="EC56" s="120">
        <f t="shared" si="102"/>
        <v>0</v>
      </c>
      <c r="ED56" s="120">
        <f t="shared" si="103"/>
        <v>0</v>
      </c>
      <c r="EE56" s="120">
        <f t="shared" si="104"/>
        <v>0</v>
      </c>
      <c r="EF56" s="120">
        <f t="shared" si="105"/>
        <v>0</v>
      </c>
      <c r="EG56" s="120">
        <f t="shared" si="106"/>
        <v>0</v>
      </c>
      <c r="EH56" s="120">
        <f t="shared" si="107"/>
        <v>0</v>
      </c>
      <c r="EI56" s="120">
        <f t="shared" si="108"/>
        <v>0</v>
      </c>
      <c r="EJ56" s="120">
        <f t="shared" si="109"/>
        <v>0</v>
      </c>
      <c r="EK56" s="120">
        <f t="shared" si="110"/>
        <v>0</v>
      </c>
      <c r="EL56" s="120">
        <f t="shared" si="111"/>
        <v>0</v>
      </c>
      <c r="EM56" s="120">
        <f t="shared" si="112"/>
        <v>0</v>
      </c>
      <c r="EN56" s="120">
        <f t="shared" si="113"/>
        <v>0</v>
      </c>
      <c r="EO56" s="120">
        <f t="shared" si="114"/>
        <v>0</v>
      </c>
      <c r="EP56" s="120">
        <f t="shared" si="115"/>
        <v>0</v>
      </c>
      <c r="EQ56" s="120">
        <f t="shared" si="116"/>
        <v>0</v>
      </c>
      <c r="ER56" s="120">
        <f t="shared" si="117"/>
        <v>0</v>
      </c>
      <c r="ES56" s="120">
        <f t="shared" si="118"/>
        <v>0</v>
      </c>
      <c r="ET56" s="120">
        <f t="shared" si="119"/>
        <v>0</v>
      </c>
      <c r="EU56" s="120">
        <f t="shared" si="120"/>
        <v>0</v>
      </c>
      <c r="EV56" s="121"/>
      <c r="EW56" s="162">
        <f t="shared" si="121"/>
        <v>0</v>
      </c>
      <c r="EX56" s="72"/>
      <c r="EY56" s="119">
        <f t="shared" si="122"/>
        <v>2973.7360406250009</v>
      </c>
      <c r="EZ56" s="120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0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0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0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0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0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0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0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0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0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0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0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0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0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0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0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0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0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0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0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0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0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0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0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0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0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0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0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0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0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0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0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0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0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0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0">
        <f t="shared" si="123"/>
        <v>0</v>
      </c>
      <c r="GJ56" s="120">
        <f t="shared" si="124"/>
        <v>0</v>
      </c>
      <c r="GK56" s="120">
        <f t="shared" si="125"/>
        <v>0</v>
      </c>
      <c r="GL56" s="120">
        <f t="shared" si="126"/>
        <v>0</v>
      </c>
      <c r="GM56" s="121"/>
      <c r="GN56" s="162">
        <f t="shared" ca="1" si="127"/>
        <v>0</v>
      </c>
    </row>
    <row r="57" spans="1:196">
      <c r="A57" s="175" t="s">
        <v>410</v>
      </c>
      <c r="B57" s="169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7" t="str">
        <f>IFERROR(D56/D57,"")</f>
        <v/>
      </c>
      <c r="K57" s="128" t="str">
        <f>IFERROR(G56/G57,"")</f>
        <v/>
      </c>
      <c r="L57" s="129" t="str">
        <f t="shared" si="128"/>
        <v/>
      </c>
      <c r="M57" s="130">
        <f>I57+I56</f>
        <v>0</v>
      </c>
      <c r="N57" s="62"/>
      <c r="O57" s="187"/>
      <c r="P57" s="187"/>
      <c r="Q57" s="187"/>
      <c r="R57" s="187"/>
      <c r="S57" s="186"/>
      <c r="T57" s="187"/>
      <c r="U57" s="188"/>
      <c r="V57" s="187"/>
      <c r="W57" s="187"/>
      <c r="X57" s="187"/>
      <c r="Y57" s="187"/>
      <c r="Z57" s="187"/>
      <c r="AA57" s="187"/>
      <c r="AB57" s="187"/>
      <c r="AC57" s="187"/>
      <c r="AD57" s="187"/>
      <c r="AE57" s="186"/>
      <c r="AF57" s="187"/>
      <c r="AG57" s="188"/>
      <c r="AH57" s="194"/>
      <c r="AI57" s="194"/>
      <c r="AJ57" s="194"/>
      <c r="AK57" s="194"/>
      <c r="AL57" s="194"/>
      <c r="AM57" s="194"/>
      <c r="AN57" s="194"/>
      <c r="AO57" s="194"/>
      <c r="AP57" s="194"/>
      <c r="AQ57" s="66"/>
      <c r="AR57" s="66"/>
      <c r="AS57" s="66"/>
      <c r="AT57" s="66"/>
      <c r="AU57" s="66"/>
      <c r="AV57" s="171"/>
      <c r="AW57" s="172" t="s">
        <v>354</v>
      </c>
      <c r="AX57" s="114"/>
      <c r="AY57" s="136"/>
      <c r="AZ57" s="137"/>
      <c r="BA57" s="285">
        <f t="shared" si="10"/>
        <v>0</v>
      </c>
      <c r="BB57" s="286">
        <f t="shared" si="11"/>
        <v>0</v>
      </c>
      <c r="BC57" s="173" t="s">
        <v>408</v>
      </c>
      <c r="BD57" s="114"/>
      <c r="BE57" s="139"/>
      <c r="BF57" s="117"/>
      <c r="BG57" s="287">
        <f t="shared" si="12"/>
        <v>0</v>
      </c>
      <c r="BH57" s="289">
        <f t="shared" si="13"/>
        <v>0</v>
      </c>
      <c r="BI57" s="174" t="s">
        <v>409</v>
      </c>
      <c r="BJ57" s="114"/>
      <c r="BK57" s="117"/>
      <c r="BL57" s="290">
        <f t="shared" si="14"/>
        <v>0</v>
      </c>
      <c r="BM57" s="291">
        <f t="shared" si="15"/>
        <v>0</v>
      </c>
      <c r="DH57" s="119">
        <f t="shared" si="81"/>
        <v>3122.4228426562509</v>
      </c>
      <c r="DI57" s="120">
        <f t="shared" si="82"/>
        <v>0</v>
      </c>
      <c r="DJ57" s="120">
        <f t="shared" si="83"/>
        <v>0</v>
      </c>
      <c r="DK57" s="120">
        <f t="shared" si="84"/>
        <v>0</v>
      </c>
      <c r="DL57" s="120">
        <f t="shared" si="85"/>
        <v>0</v>
      </c>
      <c r="DM57" s="120">
        <f t="shared" si="86"/>
        <v>0</v>
      </c>
      <c r="DN57" s="120">
        <f t="shared" si="87"/>
        <v>0</v>
      </c>
      <c r="DO57" s="120">
        <f t="shared" si="88"/>
        <v>0</v>
      </c>
      <c r="DP57" s="120">
        <f t="shared" si="89"/>
        <v>0</v>
      </c>
      <c r="DQ57" s="120">
        <f t="shared" si="90"/>
        <v>0</v>
      </c>
      <c r="DR57" s="120">
        <f t="shared" si="91"/>
        <v>0</v>
      </c>
      <c r="DS57" s="120">
        <f t="shared" si="92"/>
        <v>0</v>
      </c>
      <c r="DT57" s="120">
        <f t="shared" si="93"/>
        <v>0</v>
      </c>
      <c r="DU57" s="120">
        <f t="shared" si="94"/>
        <v>0</v>
      </c>
      <c r="DV57" s="120">
        <f t="shared" si="95"/>
        <v>0</v>
      </c>
      <c r="DW57" s="120">
        <f t="shared" si="96"/>
        <v>0</v>
      </c>
      <c r="DX57" s="120">
        <f t="shared" si="97"/>
        <v>0</v>
      </c>
      <c r="DY57" s="120">
        <f t="shared" si="98"/>
        <v>0</v>
      </c>
      <c r="DZ57" s="120">
        <f t="shared" si="99"/>
        <v>0</v>
      </c>
      <c r="EA57" s="120">
        <f t="shared" si="100"/>
        <v>0</v>
      </c>
      <c r="EB57" s="120">
        <f t="shared" si="101"/>
        <v>0</v>
      </c>
      <c r="EC57" s="120">
        <f t="shared" si="102"/>
        <v>0</v>
      </c>
      <c r="ED57" s="120">
        <f t="shared" si="103"/>
        <v>0</v>
      </c>
      <c r="EE57" s="120">
        <f t="shared" si="104"/>
        <v>0</v>
      </c>
      <c r="EF57" s="120">
        <f t="shared" si="105"/>
        <v>0</v>
      </c>
      <c r="EG57" s="120">
        <f t="shared" si="106"/>
        <v>0</v>
      </c>
      <c r="EH57" s="120">
        <f t="shared" si="107"/>
        <v>0</v>
      </c>
      <c r="EI57" s="120">
        <f t="shared" si="108"/>
        <v>0</v>
      </c>
      <c r="EJ57" s="120">
        <f t="shared" si="109"/>
        <v>0</v>
      </c>
      <c r="EK57" s="120">
        <f t="shared" si="110"/>
        <v>0</v>
      </c>
      <c r="EL57" s="120">
        <f t="shared" si="111"/>
        <v>0</v>
      </c>
      <c r="EM57" s="120">
        <f t="shared" si="112"/>
        <v>0</v>
      </c>
      <c r="EN57" s="120">
        <f t="shared" si="113"/>
        <v>0</v>
      </c>
      <c r="EO57" s="120">
        <f t="shared" si="114"/>
        <v>0</v>
      </c>
      <c r="EP57" s="120">
        <f t="shared" si="115"/>
        <v>0</v>
      </c>
      <c r="EQ57" s="120">
        <f t="shared" si="116"/>
        <v>0</v>
      </c>
      <c r="ER57" s="120">
        <f t="shared" si="117"/>
        <v>0</v>
      </c>
      <c r="ES57" s="120">
        <f t="shared" si="118"/>
        <v>0</v>
      </c>
      <c r="ET57" s="120">
        <f t="shared" si="119"/>
        <v>0</v>
      </c>
      <c r="EU57" s="120">
        <f t="shared" si="120"/>
        <v>0</v>
      </c>
      <c r="EV57" s="121"/>
      <c r="EW57" s="162">
        <f t="shared" si="121"/>
        <v>0</v>
      </c>
      <c r="EX57" s="72"/>
      <c r="EY57" s="119">
        <f t="shared" si="122"/>
        <v>3122.4228426562509</v>
      </c>
      <c r="EZ57" s="120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0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0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0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0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0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0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0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0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0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0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0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0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0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0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0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0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0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0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0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0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0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0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0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0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0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0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0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0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0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0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0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0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0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0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0">
        <f t="shared" si="123"/>
        <v>0</v>
      </c>
      <c r="GJ57" s="120">
        <f t="shared" si="124"/>
        <v>0</v>
      </c>
      <c r="GK57" s="120">
        <f t="shared" si="125"/>
        <v>0</v>
      </c>
      <c r="GL57" s="120">
        <f t="shared" si="126"/>
        <v>0</v>
      </c>
      <c r="GM57" s="121"/>
      <c r="GN57" s="162">
        <f t="shared" ca="1" si="127"/>
        <v>0</v>
      </c>
    </row>
    <row r="58" spans="1:196">
      <c r="A58" s="177" t="s">
        <v>411</v>
      </c>
      <c r="B58" s="169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9"/>
      <c r="K58" s="69"/>
      <c r="L58" s="69"/>
      <c r="M58" s="69"/>
      <c r="N58" s="62"/>
      <c r="O58" s="187"/>
      <c r="P58" s="187"/>
      <c r="Q58" s="187"/>
      <c r="R58" s="187"/>
      <c r="S58" s="186"/>
      <c r="T58" s="187"/>
      <c r="U58" s="188"/>
      <c r="V58" s="187"/>
      <c r="W58" s="187"/>
      <c r="X58" s="187"/>
      <c r="Y58" s="187"/>
      <c r="Z58" s="187"/>
      <c r="AA58" s="187"/>
      <c r="AB58" s="187"/>
      <c r="AC58" s="187"/>
      <c r="AD58" s="187"/>
      <c r="AE58" s="186"/>
      <c r="AF58" s="187"/>
      <c r="AG58" s="188"/>
      <c r="AH58" s="194"/>
      <c r="AI58" s="194"/>
      <c r="AJ58" s="194"/>
      <c r="AK58" s="194"/>
      <c r="AL58" s="194"/>
      <c r="AM58" s="194"/>
      <c r="AN58" s="194"/>
      <c r="AO58" s="194"/>
      <c r="AP58" s="194"/>
      <c r="AQ58" s="66"/>
      <c r="AR58" s="66"/>
      <c r="AS58" s="66"/>
      <c r="AT58" s="66"/>
      <c r="AU58" s="66"/>
      <c r="AV58" s="171"/>
      <c r="AW58" s="172" t="s">
        <v>354</v>
      </c>
      <c r="AX58" s="114"/>
      <c r="AY58" s="136"/>
      <c r="AZ58" s="137"/>
      <c r="BA58" s="285">
        <f t="shared" si="10"/>
        <v>0</v>
      </c>
      <c r="BB58" s="286">
        <f t="shared" si="11"/>
        <v>0</v>
      </c>
      <c r="BC58" s="173" t="s">
        <v>408</v>
      </c>
      <c r="BD58" s="114"/>
      <c r="BE58" s="139"/>
      <c r="BF58" s="117"/>
      <c r="BG58" s="287">
        <f t="shared" si="12"/>
        <v>0</v>
      </c>
      <c r="BH58" s="289">
        <f t="shared" si="13"/>
        <v>0</v>
      </c>
      <c r="BI58" s="174" t="s">
        <v>409</v>
      </c>
      <c r="BJ58" s="114"/>
      <c r="BK58" s="117"/>
      <c r="BL58" s="290">
        <f t="shared" si="14"/>
        <v>0</v>
      </c>
      <c r="BM58" s="291">
        <f t="shared" si="15"/>
        <v>0</v>
      </c>
      <c r="DH58" s="119">
        <f t="shared" si="81"/>
        <v>3278.5439847890634</v>
      </c>
      <c r="DI58" s="120">
        <f t="shared" si="82"/>
        <v>0</v>
      </c>
      <c r="DJ58" s="120">
        <f t="shared" si="83"/>
        <v>0</v>
      </c>
      <c r="DK58" s="120">
        <f t="shared" si="84"/>
        <v>0</v>
      </c>
      <c r="DL58" s="120">
        <f t="shared" si="85"/>
        <v>0</v>
      </c>
      <c r="DM58" s="120">
        <f t="shared" si="86"/>
        <v>0</v>
      </c>
      <c r="DN58" s="120">
        <f t="shared" si="87"/>
        <v>0</v>
      </c>
      <c r="DO58" s="120">
        <f t="shared" si="88"/>
        <v>0</v>
      </c>
      <c r="DP58" s="120">
        <f t="shared" si="89"/>
        <v>0</v>
      </c>
      <c r="DQ58" s="120">
        <f t="shared" si="90"/>
        <v>0</v>
      </c>
      <c r="DR58" s="120">
        <f t="shared" si="91"/>
        <v>0</v>
      </c>
      <c r="DS58" s="120">
        <f t="shared" si="92"/>
        <v>0</v>
      </c>
      <c r="DT58" s="120">
        <f t="shared" si="93"/>
        <v>0</v>
      </c>
      <c r="DU58" s="120">
        <f t="shared" si="94"/>
        <v>0</v>
      </c>
      <c r="DV58" s="120">
        <f t="shared" si="95"/>
        <v>0</v>
      </c>
      <c r="DW58" s="120">
        <f t="shared" si="96"/>
        <v>0</v>
      </c>
      <c r="DX58" s="120">
        <f t="shared" si="97"/>
        <v>0</v>
      </c>
      <c r="DY58" s="120">
        <f t="shared" si="98"/>
        <v>0</v>
      </c>
      <c r="DZ58" s="120">
        <f t="shared" si="99"/>
        <v>0</v>
      </c>
      <c r="EA58" s="120">
        <f t="shared" si="100"/>
        <v>0</v>
      </c>
      <c r="EB58" s="120">
        <f t="shared" si="101"/>
        <v>0</v>
      </c>
      <c r="EC58" s="120">
        <f t="shared" si="102"/>
        <v>0</v>
      </c>
      <c r="ED58" s="120">
        <f t="shared" si="103"/>
        <v>0</v>
      </c>
      <c r="EE58" s="120">
        <f t="shared" si="104"/>
        <v>0</v>
      </c>
      <c r="EF58" s="120">
        <f t="shared" si="105"/>
        <v>0</v>
      </c>
      <c r="EG58" s="120">
        <f t="shared" si="106"/>
        <v>0</v>
      </c>
      <c r="EH58" s="120">
        <f t="shared" si="107"/>
        <v>0</v>
      </c>
      <c r="EI58" s="120">
        <f t="shared" si="108"/>
        <v>0</v>
      </c>
      <c r="EJ58" s="120">
        <f t="shared" si="109"/>
        <v>0</v>
      </c>
      <c r="EK58" s="120">
        <f t="shared" si="110"/>
        <v>0</v>
      </c>
      <c r="EL58" s="120">
        <f t="shared" si="111"/>
        <v>0</v>
      </c>
      <c r="EM58" s="120">
        <f t="shared" si="112"/>
        <v>0</v>
      </c>
      <c r="EN58" s="120">
        <f t="shared" si="113"/>
        <v>0</v>
      </c>
      <c r="EO58" s="120">
        <f t="shared" si="114"/>
        <v>0</v>
      </c>
      <c r="EP58" s="120">
        <f t="shared" si="115"/>
        <v>0</v>
      </c>
      <c r="EQ58" s="120">
        <f t="shared" si="116"/>
        <v>0</v>
      </c>
      <c r="ER58" s="120">
        <f t="shared" si="117"/>
        <v>0</v>
      </c>
      <c r="ES58" s="120">
        <f t="shared" si="118"/>
        <v>0</v>
      </c>
      <c r="ET58" s="120">
        <f t="shared" si="119"/>
        <v>0</v>
      </c>
      <c r="EU58" s="120">
        <f t="shared" si="120"/>
        <v>0</v>
      </c>
      <c r="EV58" s="121"/>
      <c r="EW58" s="162">
        <f t="shared" si="121"/>
        <v>0</v>
      </c>
      <c r="EX58" s="72"/>
      <c r="EY58" s="119">
        <f t="shared" si="122"/>
        <v>3278.5439847890634</v>
      </c>
      <c r="EZ58" s="120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0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0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0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0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0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0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0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0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0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0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0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0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0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0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0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0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0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0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0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0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0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0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0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0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0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0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0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0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0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0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0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0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0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0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0">
        <f t="shared" si="123"/>
        <v>0</v>
      </c>
      <c r="GJ58" s="120">
        <f t="shared" si="124"/>
        <v>0</v>
      </c>
      <c r="GK58" s="120">
        <f t="shared" si="125"/>
        <v>0</v>
      </c>
      <c r="GL58" s="120">
        <f t="shared" si="126"/>
        <v>0</v>
      </c>
      <c r="GM58" s="121"/>
      <c r="GN58" s="162">
        <f t="shared" ca="1" si="127"/>
        <v>0</v>
      </c>
    </row>
    <row r="59" spans="1:196">
      <c r="A59" s="168" t="s">
        <v>407</v>
      </c>
      <c r="B59" s="169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7" t="str">
        <f>IFERROR(D58/D59,"")</f>
        <v/>
      </c>
      <c r="K59" s="128" t="str">
        <f>IFERROR(G58/G59,"")</f>
        <v/>
      </c>
      <c r="L59" s="129" t="str">
        <f t="shared" si="128"/>
        <v/>
      </c>
      <c r="M59" s="130">
        <f>I59+I58</f>
        <v>0</v>
      </c>
      <c r="N59" s="62"/>
      <c r="O59" s="187"/>
      <c r="P59" s="187"/>
      <c r="Q59" s="187"/>
      <c r="R59" s="187"/>
      <c r="S59" s="186"/>
      <c r="T59" s="187"/>
      <c r="U59" s="188"/>
      <c r="V59" s="187"/>
      <c r="W59" s="187"/>
      <c r="X59" s="187"/>
      <c r="Y59" s="187"/>
      <c r="Z59" s="187"/>
      <c r="AA59" s="187"/>
      <c r="AB59" s="187"/>
      <c r="AC59" s="187"/>
      <c r="AD59" s="187"/>
      <c r="AE59" s="186"/>
      <c r="AF59" s="187"/>
      <c r="AG59" s="188"/>
      <c r="AH59" s="194"/>
      <c r="AI59" s="194"/>
      <c r="AJ59" s="194"/>
      <c r="AK59" s="194"/>
      <c r="AL59" s="194"/>
      <c r="AM59" s="194"/>
      <c r="AN59" s="194"/>
      <c r="AO59" s="194"/>
      <c r="AP59" s="194"/>
      <c r="AQ59" s="66"/>
      <c r="AR59" s="66"/>
      <c r="AS59" s="66"/>
      <c r="AT59" s="66"/>
      <c r="AU59" s="66"/>
      <c r="AV59" s="171"/>
      <c r="AW59" s="172" t="s">
        <v>354</v>
      </c>
      <c r="AX59" s="114"/>
      <c r="AY59" s="136"/>
      <c r="AZ59" s="137"/>
      <c r="BA59" s="285">
        <f t="shared" si="10"/>
        <v>0</v>
      </c>
      <c r="BB59" s="286">
        <f t="shared" si="11"/>
        <v>0</v>
      </c>
      <c r="BC59" s="173" t="s">
        <v>408</v>
      </c>
      <c r="BD59" s="114"/>
      <c r="BE59" s="139"/>
      <c r="BF59" s="117"/>
      <c r="BG59" s="287">
        <f t="shared" si="12"/>
        <v>0</v>
      </c>
      <c r="BH59" s="289">
        <f t="shared" si="13"/>
        <v>0</v>
      </c>
      <c r="BI59" s="174" t="s">
        <v>409</v>
      </c>
      <c r="BJ59" s="114"/>
      <c r="BK59" s="117"/>
      <c r="BL59" s="290">
        <f t="shared" si="14"/>
        <v>0</v>
      </c>
      <c r="BM59" s="291">
        <f t="shared" si="15"/>
        <v>0</v>
      </c>
      <c r="DH59" s="119">
        <f t="shared" si="81"/>
        <v>3442.4711840285167</v>
      </c>
      <c r="DI59" s="120">
        <f t="shared" si="82"/>
        <v>0</v>
      </c>
      <c r="DJ59" s="120">
        <f t="shared" si="83"/>
        <v>0</v>
      </c>
      <c r="DK59" s="120">
        <f t="shared" si="84"/>
        <v>0</v>
      </c>
      <c r="DL59" s="120">
        <f t="shared" si="85"/>
        <v>0</v>
      </c>
      <c r="DM59" s="120">
        <f t="shared" si="86"/>
        <v>0</v>
      </c>
      <c r="DN59" s="120">
        <f t="shared" si="87"/>
        <v>0</v>
      </c>
      <c r="DO59" s="120">
        <f t="shared" si="88"/>
        <v>0</v>
      </c>
      <c r="DP59" s="120">
        <f t="shared" si="89"/>
        <v>0</v>
      </c>
      <c r="DQ59" s="120">
        <f t="shared" si="90"/>
        <v>0</v>
      </c>
      <c r="DR59" s="120">
        <f t="shared" si="91"/>
        <v>0</v>
      </c>
      <c r="DS59" s="120">
        <f t="shared" si="92"/>
        <v>0</v>
      </c>
      <c r="DT59" s="120">
        <f t="shared" si="93"/>
        <v>0</v>
      </c>
      <c r="DU59" s="120">
        <f t="shared" si="94"/>
        <v>0</v>
      </c>
      <c r="DV59" s="120">
        <f t="shared" si="95"/>
        <v>0</v>
      </c>
      <c r="DW59" s="120">
        <f t="shared" si="96"/>
        <v>0</v>
      </c>
      <c r="DX59" s="120">
        <f t="shared" si="97"/>
        <v>0</v>
      </c>
      <c r="DY59" s="120">
        <f t="shared" si="98"/>
        <v>0</v>
      </c>
      <c r="DZ59" s="120">
        <f t="shared" si="99"/>
        <v>0</v>
      </c>
      <c r="EA59" s="120">
        <f t="shared" si="100"/>
        <v>0</v>
      </c>
      <c r="EB59" s="120">
        <f t="shared" si="101"/>
        <v>0</v>
      </c>
      <c r="EC59" s="120">
        <f t="shared" si="102"/>
        <v>0</v>
      </c>
      <c r="ED59" s="120">
        <f t="shared" si="103"/>
        <v>0</v>
      </c>
      <c r="EE59" s="120">
        <f t="shared" si="104"/>
        <v>0</v>
      </c>
      <c r="EF59" s="120">
        <f t="shared" si="105"/>
        <v>0</v>
      </c>
      <c r="EG59" s="120">
        <f t="shared" si="106"/>
        <v>0</v>
      </c>
      <c r="EH59" s="120">
        <f t="shared" si="107"/>
        <v>0</v>
      </c>
      <c r="EI59" s="120">
        <f t="shared" si="108"/>
        <v>0</v>
      </c>
      <c r="EJ59" s="120">
        <f t="shared" si="109"/>
        <v>0</v>
      </c>
      <c r="EK59" s="120">
        <f t="shared" si="110"/>
        <v>0</v>
      </c>
      <c r="EL59" s="120">
        <f t="shared" si="111"/>
        <v>0</v>
      </c>
      <c r="EM59" s="120">
        <f t="shared" si="112"/>
        <v>0</v>
      </c>
      <c r="EN59" s="120">
        <f t="shared" si="113"/>
        <v>0</v>
      </c>
      <c r="EO59" s="120">
        <f t="shared" si="114"/>
        <v>0</v>
      </c>
      <c r="EP59" s="120">
        <f t="shared" si="115"/>
        <v>0</v>
      </c>
      <c r="EQ59" s="120">
        <f t="shared" si="116"/>
        <v>0</v>
      </c>
      <c r="ER59" s="120">
        <f t="shared" si="117"/>
        <v>0</v>
      </c>
      <c r="ES59" s="120">
        <f t="shared" si="118"/>
        <v>0</v>
      </c>
      <c r="ET59" s="120">
        <f t="shared" si="119"/>
        <v>0</v>
      </c>
      <c r="EU59" s="120">
        <f t="shared" si="120"/>
        <v>0</v>
      </c>
      <c r="EV59" s="121"/>
      <c r="EW59" s="162">
        <f t="shared" si="121"/>
        <v>0</v>
      </c>
      <c r="EX59" s="72"/>
      <c r="EY59" s="119">
        <f t="shared" si="122"/>
        <v>3442.4711840285167</v>
      </c>
      <c r="EZ59" s="120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0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0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0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0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0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0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0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0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0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0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0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0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0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0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0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0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0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0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0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0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0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0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0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0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0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0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0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0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0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0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0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0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0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0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0">
        <f t="shared" si="123"/>
        <v>0</v>
      </c>
      <c r="GJ59" s="120">
        <f t="shared" si="124"/>
        <v>0</v>
      </c>
      <c r="GK59" s="120">
        <f t="shared" si="125"/>
        <v>0</v>
      </c>
      <c r="GL59" s="120">
        <f t="shared" si="126"/>
        <v>0</v>
      </c>
      <c r="GM59" s="121"/>
      <c r="GN59" s="162">
        <f t="shared" ca="1" si="127"/>
        <v>0</v>
      </c>
    </row>
    <row r="60" spans="1:196">
      <c r="A60" s="175" t="s">
        <v>410</v>
      </c>
      <c r="B60" s="169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9"/>
      <c r="K60" s="69"/>
      <c r="L60" s="69"/>
      <c r="M60" s="69"/>
      <c r="N60" s="62"/>
      <c r="O60" s="187"/>
      <c r="P60" s="187"/>
      <c r="Q60" s="187"/>
      <c r="R60" s="187"/>
      <c r="S60" s="186"/>
      <c r="T60" s="187"/>
      <c r="U60" s="188"/>
      <c r="V60" s="187"/>
      <c r="W60" s="187"/>
      <c r="X60" s="187"/>
      <c r="Y60" s="187"/>
      <c r="Z60" s="187"/>
      <c r="AA60" s="187"/>
      <c r="AB60" s="187"/>
      <c r="AC60" s="187"/>
      <c r="AD60" s="187"/>
      <c r="AE60" s="186"/>
      <c r="AF60" s="187"/>
      <c r="AG60" s="188"/>
      <c r="AH60" s="194"/>
      <c r="AI60" s="194"/>
      <c r="AJ60" s="194"/>
      <c r="AK60" s="194"/>
      <c r="AL60" s="194"/>
      <c r="AM60" s="194"/>
      <c r="AN60" s="194"/>
      <c r="AO60" s="194"/>
      <c r="AP60" s="194"/>
      <c r="AQ60" s="66"/>
      <c r="AR60" s="66"/>
      <c r="AS60" s="66"/>
      <c r="AT60" s="66"/>
      <c r="AU60" s="66"/>
      <c r="AV60" s="171"/>
      <c r="AW60" s="172" t="s">
        <v>354</v>
      </c>
      <c r="AX60" s="114"/>
      <c r="AY60" s="136"/>
      <c r="AZ60" s="137"/>
      <c r="BA60" s="285">
        <f t="shared" si="10"/>
        <v>0</v>
      </c>
      <c r="BB60" s="286">
        <f t="shared" si="11"/>
        <v>0</v>
      </c>
      <c r="BC60" s="173" t="s">
        <v>408</v>
      </c>
      <c r="BD60" s="114"/>
      <c r="BE60" s="139"/>
      <c r="BF60" s="117"/>
      <c r="BG60" s="287">
        <f t="shared" si="12"/>
        <v>0</v>
      </c>
      <c r="BH60" s="289">
        <f t="shared" si="13"/>
        <v>0</v>
      </c>
      <c r="BI60" s="174" t="s">
        <v>409</v>
      </c>
      <c r="BJ60" s="114"/>
      <c r="BK60" s="117"/>
      <c r="BL60" s="290">
        <f t="shared" si="14"/>
        <v>0</v>
      </c>
      <c r="BM60" s="291">
        <f t="shared" si="15"/>
        <v>0</v>
      </c>
      <c r="DH60" s="119">
        <f t="shared" si="81"/>
        <v>3614.5947432299427</v>
      </c>
      <c r="DI60" s="120">
        <f t="shared" si="82"/>
        <v>0</v>
      </c>
      <c r="DJ60" s="120">
        <f t="shared" si="83"/>
        <v>0</v>
      </c>
      <c r="DK60" s="120">
        <f t="shared" si="84"/>
        <v>0</v>
      </c>
      <c r="DL60" s="120">
        <f t="shared" si="85"/>
        <v>0</v>
      </c>
      <c r="DM60" s="120">
        <f t="shared" si="86"/>
        <v>0</v>
      </c>
      <c r="DN60" s="120">
        <f t="shared" si="87"/>
        <v>0</v>
      </c>
      <c r="DO60" s="120">
        <f t="shared" si="88"/>
        <v>0</v>
      </c>
      <c r="DP60" s="120">
        <f t="shared" si="89"/>
        <v>0</v>
      </c>
      <c r="DQ60" s="120">
        <f t="shared" si="90"/>
        <v>0</v>
      </c>
      <c r="DR60" s="120">
        <f t="shared" si="91"/>
        <v>0</v>
      </c>
      <c r="DS60" s="120">
        <f t="shared" si="92"/>
        <v>0</v>
      </c>
      <c r="DT60" s="120">
        <f t="shared" si="93"/>
        <v>0</v>
      </c>
      <c r="DU60" s="120">
        <f t="shared" si="94"/>
        <v>0</v>
      </c>
      <c r="DV60" s="120">
        <f t="shared" si="95"/>
        <v>0</v>
      </c>
      <c r="DW60" s="120">
        <f t="shared" si="96"/>
        <v>0</v>
      </c>
      <c r="DX60" s="120">
        <f t="shared" si="97"/>
        <v>0</v>
      </c>
      <c r="DY60" s="120">
        <f t="shared" si="98"/>
        <v>0</v>
      </c>
      <c r="DZ60" s="120">
        <f t="shared" si="99"/>
        <v>0</v>
      </c>
      <c r="EA60" s="120">
        <f t="shared" si="100"/>
        <v>0</v>
      </c>
      <c r="EB60" s="120">
        <f t="shared" si="101"/>
        <v>0</v>
      </c>
      <c r="EC60" s="120">
        <f t="shared" si="102"/>
        <v>0</v>
      </c>
      <c r="ED60" s="120">
        <f t="shared" si="103"/>
        <v>0</v>
      </c>
      <c r="EE60" s="120">
        <f t="shared" si="104"/>
        <v>0</v>
      </c>
      <c r="EF60" s="120">
        <f t="shared" si="105"/>
        <v>0</v>
      </c>
      <c r="EG60" s="120">
        <f t="shared" si="106"/>
        <v>0</v>
      </c>
      <c r="EH60" s="120">
        <f t="shared" si="107"/>
        <v>0</v>
      </c>
      <c r="EI60" s="120">
        <f t="shared" si="108"/>
        <v>0</v>
      </c>
      <c r="EJ60" s="120">
        <f t="shared" si="109"/>
        <v>0</v>
      </c>
      <c r="EK60" s="120">
        <f t="shared" si="110"/>
        <v>0</v>
      </c>
      <c r="EL60" s="120">
        <f t="shared" si="111"/>
        <v>0</v>
      </c>
      <c r="EM60" s="120">
        <f t="shared" si="112"/>
        <v>0</v>
      </c>
      <c r="EN60" s="120">
        <f t="shared" si="113"/>
        <v>0</v>
      </c>
      <c r="EO60" s="120">
        <f t="shared" si="114"/>
        <v>0</v>
      </c>
      <c r="EP60" s="120">
        <f t="shared" si="115"/>
        <v>0</v>
      </c>
      <c r="EQ60" s="120">
        <f t="shared" si="116"/>
        <v>0</v>
      </c>
      <c r="ER60" s="120">
        <f t="shared" si="117"/>
        <v>0</v>
      </c>
      <c r="ES60" s="120">
        <f t="shared" si="118"/>
        <v>0</v>
      </c>
      <c r="ET60" s="120">
        <f t="shared" si="119"/>
        <v>0</v>
      </c>
      <c r="EU60" s="120">
        <f t="shared" si="120"/>
        <v>0</v>
      </c>
      <c r="EV60" s="121"/>
      <c r="EW60" s="162">
        <f t="shared" si="121"/>
        <v>0</v>
      </c>
      <c r="EX60" s="72"/>
      <c r="EY60" s="119">
        <f t="shared" si="122"/>
        <v>3614.5947432299427</v>
      </c>
      <c r="EZ60" s="120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0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0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0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0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0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0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0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0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0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0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0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0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0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0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0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0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0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0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0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0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0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0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0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0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0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0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0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0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0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0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0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0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0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0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0">
        <f t="shared" si="123"/>
        <v>0</v>
      </c>
      <c r="GJ60" s="120">
        <f t="shared" si="124"/>
        <v>0</v>
      </c>
      <c r="GK60" s="120">
        <f t="shared" si="125"/>
        <v>0</v>
      </c>
      <c r="GL60" s="120">
        <f t="shared" si="126"/>
        <v>0</v>
      </c>
      <c r="GM60" s="121"/>
      <c r="GN60" s="162">
        <f t="shared" ca="1" si="127"/>
        <v>0</v>
      </c>
    </row>
    <row r="61" spans="1:196">
      <c r="A61" s="177" t="s">
        <v>411</v>
      </c>
      <c r="B61" s="169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7" t="str">
        <f>IFERROR(D60/D61,"")</f>
        <v/>
      </c>
      <c r="K61" s="128" t="str">
        <f>IFERROR(G60/G61,"")</f>
        <v/>
      </c>
      <c r="L61" s="129" t="str">
        <f t="shared" si="128"/>
        <v/>
      </c>
      <c r="M61" s="130">
        <f>I61+I60</f>
        <v>0</v>
      </c>
      <c r="N61" s="62"/>
      <c r="O61" s="187"/>
      <c r="P61" s="187"/>
      <c r="Q61" s="187"/>
      <c r="R61" s="187"/>
      <c r="S61" s="186"/>
      <c r="T61" s="187"/>
      <c r="U61" s="188"/>
      <c r="V61" s="187"/>
      <c r="W61" s="187"/>
      <c r="X61" s="187"/>
      <c r="Y61" s="187"/>
      <c r="Z61" s="187"/>
      <c r="AA61" s="187"/>
      <c r="AB61" s="187"/>
      <c r="AC61" s="187"/>
      <c r="AD61" s="187"/>
      <c r="AE61" s="186"/>
      <c r="AF61" s="187"/>
      <c r="AG61" s="188"/>
      <c r="AH61" s="194"/>
      <c r="AI61" s="194"/>
      <c r="AJ61" s="194"/>
      <c r="AK61" s="194"/>
      <c r="AL61" s="194"/>
      <c r="AM61" s="194"/>
      <c r="AN61" s="194"/>
      <c r="AO61" s="194"/>
      <c r="AP61" s="194"/>
      <c r="AQ61" s="66"/>
      <c r="AR61" s="66"/>
      <c r="AS61" s="66"/>
      <c r="AT61" s="66"/>
      <c r="AU61" s="66"/>
      <c r="AV61" s="171"/>
      <c r="AW61" s="172" t="s">
        <v>354</v>
      </c>
      <c r="AX61" s="114"/>
      <c r="AY61" s="136"/>
      <c r="AZ61" s="137"/>
      <c r="BA61" s="285">
        <f t="shared" si="10"/>
        <v>0</v>
      </c>
      <c r="BB61" s="286">
        <f t="shared" si="11"/>
        <v>0</v>
      </c>
      <c r="BC61" s="173" t="s">
        <v>408</v>
      </c>
      <c r="BD61" s="114"/>
      <c r="BE61" s="139"/>
      <c r="BF61" s="117"/>
      <c r="BG61" s="287">
        <f t="shared" si="12"/>
        <v>0</v>
      </c>
      <c r="BH61" s="289">
        <f t="shared" si="13"/>
        <v>0</v>
      </c>
      <c r="BI61" s="174" t="s">
        <v>409</v>
      </c>
      <c r="BJ61" s="114"/>
      <c r="BK61" s="117"/>
      <c r="BL61" s="290">
        <f t="shared" si="14"/>
        <v>0</v>
      </c>
      <c r="BM61" s="291">
        <f t="shared" si="15"/>
        <v>0</v>
      </c>
      <c r="DH61" s="119">
        <f t="shared" si="81"/>
        <v>3795.3244803914399</v>
      </c>
      <c r="DI61" s="120">
        <f t="shared" si="82"/>
        <v>0</v>
      </c>
      <c r="DJ61" s="120">
        <f t="shared" si="83"/>
        <v>0</v>
      </c>
      <c r="DK61" s="120">
        <f t="shared" si="84"/>
        <v>0</v>
      </c>
      <c r="DL61" s="120">
        <f t="shared" si="85"/>
        <v>0</v>
      </c>
      <c r="DM61" s="120">
        <f t="shared" si="86"/>
        <v>0</v>
      </c>
      <c r="DN61" s="120">
        <f t="shared" si="87"/>
        <v>0</v>
      </c>
      <c r="DO61" s="120">
        <f t="shared" si="88"/>
        <v>0</v>
      </c>
      <c r="DP61" s="120">
        <f t="shared" si="89"/>
        <v>0</v>
      </c>
      <c r="DQ61" s="120">
        <f t="shared" si="90"/>
        <v>0</v>
      </c>
      <c r="DR61" s="120">
        <f t="shared" si="91"/>
        <v>0</v>
      </c>
      <c r="DS61" s="120">
        <f t="shared" si="92"/>
        <v>0</v>
      </c>
      <c r="DT61" s="120">
        <f t="shared" si="93"/>
        <v>0</v>
      </c>
      <c r="DU61" s="120">
        <f t="shared" si="94"/>
        <v>0</v>
      </c>
      <c r="DV61" s="120">
        <f t="shared" si="95"/>
        <v>0</v>
      </c>
      <c r="DW61" s="120">
        <f t="shared" si="96"/>
        <v>0</v>
      </c>
      <c r="DX61" s="120">
        <f t="shared" si="97"/>
        <v>0</v>
      </c>
      <c r="DY61" s="120">
        <f t="shared" si="98"/>
        <v>0</v>
      </c>
      <c r="DZ61" s="120">
        <f t="shared" si="99"/>
        <v>0</v>
      </c>
      <c r="EA61" s="120">
        <f t="shared" si="100"/>
        <v>0</v>
      </c>
      <c r="EB61" s="120">
        <f t="shared" si="101"/>
        <v>0</v>
      </c>
      <c r="EC61" s="120">
        <f t="shared" si="102"/>
        <v>0</v>
      </c>
      <c r="ED61" s="120">
        <f t="shared" si="103"/>
        <v>0</v>
      </c>
      <c r="EE61" s="120">
        <f t="shared" si="104"/>
        <v>0</v>
      </c>
      <c r="EF61" s="120">
        <f t="shared" si="105"/>
        <v>0</v>
      </c>
      <c r="EG61" s="120">
        <f t="shared" si="106"/>
        <v>0</v>
      </c>
      <c r="EH61" s="120">
        <f t="shared" si="107"/>
        <v>0</v>
      </c>
      <c r="EI61" s="120">
        <f t="shared" si="108"/>
        <v>0</v>
      </c>
      <c r="EJ61" s="120">
        <f t="shared" si="109"/>
        <v>0</v>
      </c>
      <c r="EK61" s="120">
        <f t="shared" si="110"/>
        <v>0</v>
      </c>
      <c r="EL61" s="120">
        <f t="shared" si="111"/>
        <v>0</v>
      </c>
      <c r="EM61" s="120">
        <f t="shared" si="112"/>
        <v>0</v>
      </c>
      <c r="EN61" s="120">
        <f t="shared" si="113"/>
        <v>0</v>
      </c>
      <c r="EO61" s="120">
        <f t="shared" si="114"/>
        <v>0</v>
      </c>
      <c r="EP61" s="120">
        <f t="shared" si="115"/>
        <v>0</v>
      </c>
      <c r="EQ61" s="120">
        <f t="shared" si="116"/>
        <v>0</v>
      </c>
      <c r="ER61" s="120">
        <f t="shared" si="117"/>
        <v>0</v>
      </c>
      <c r="ES61" s="120">
        <f t="shared" si="118"/>
        <v>0</v>
      </c>
      <c r="ET61" s="120">
        <f t="shared" si="119"/>
        <v>0</v>
      </c>
      <c r="EU61" s="120">
        <f t="shared" si="120"/>
        <v>0</v>
      </c>
      <c r="EV61" s="121"/>
      <c r="EW61" s="162">
        <f t="shared" si="121"/>
        <v>0</v>
      </c>
      <c r="EX61" s="72"/>
      <c r="EY61" s="119">
        <f t="shared" si="122"/>
        <v>3795.3244803914399</v>
      </c>
      <c r="EZ61" s="120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0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0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0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0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0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0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0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0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0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0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0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0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0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0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0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0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0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0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0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0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0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0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0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0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0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0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0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0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0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0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0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0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0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0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0">
        <f t="shared" si="123"/>
        <v>0</v>
      </c>
      <c r="GJ61" s="120">
        <f t="shared" si="124"/>
        <v>0</v>
      </c>
      <c r="GK61" s="120">
        <f t="shared" si="125"/>
        <v>0</v>
      </c>
      <c r="GL61" s="120">
        <f t="shared" si="126"/>
        <v>0</v>
      </c>
      <c r="GM61" s="121"/>
      <c r="GN61" s="162">
        <f t="shared" ca="1" si="127"/>
        <v>0</v>
      </c>
    </row>
    <row r="62" spans="1:196">
      <c r="A62" s="168" t="s">
        <v>407</v>
      </c>
      <c r="B62" s="169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9"/>
      <c r="K62" s="69"/>
      <c r="L62" s="69"/>
      <c r="M62" s="69"/>
      <c r="N62" s="62"/>
      <c r="O62" s="187"/>
      <c r="P62" s="187"/>
      <c r="Q62" s="187"/>
      <c r="R62" s="187"/>
      <c r="S62" s="186"/>
      <c r="T62" s="187"/>
      <c r="U62" s="188"/>
      <c r="V62" s="187"/>
      <c r="W62" s="187"/>
      <c r="X62" s="187"/>
      <c r="Y62" s="187"/>
      <c r="Z62" s="187"/>
      <c r="AA62" s="187"/>
      <c r="AB62" s="187"/>
      <c r="AC62" s="187"/>
      <c r="AD62" s="187"/>
      <c r="AE62" s="186"/>
      <c r="AF62" s="187"/>
      <c r="AG62" s="188"/>
      <c r="AH62" s="194"/>
      <c r="AI62" s="194"/>
      <c r="AJ62" s="194"/>
      <c r="AK62" s="194"/>
      <c r="AL62" s="194"/>
      <c r="AM62" s="194"/>
      <c r="AN62" s="194"/>
      <c r="AO62" s="194"/>
      <c r="AP62" s="194"/>
      <c r="AQ62" s="66"/>
      <c r="AR62" s="66"/>
      <c r="AS62" s="66"/>
      <c r="AT62" s="66"/>
      <c r="AU62" s="66"/>
      <c r="AV62" s="171"/>
      <c r="AW62" s="172" t="s">
        <v>354</v>
      </c>
      <c r="AX62" s="114"/>
      <c r="AY62" s="136"/>
      <c r="AZ62" s="137"/>
      <c r="BA62" s="285">
        <f t="shared" si="10"/>
        <v>0</v>
      </c>
      <c r="BB62" s="286">
        <f t="shared" si="11"/>
        <v>0</v>
      </c>
      <c r="BC62" s="173" t="s">
        <v>408</v>
      </c>
      <c r="BD62" s="114"/>
      <c r="BE62" s="139"/>
      <c r="BF62" s="117"/>
      <c r="BG62" s="287">
        <f t="shared" si="12"/>
        <v>0</v>
      </c>
      <c r="BH62" s="289">
        <f t="shared" si="13"/>
        <v>0</v>
      </c>
      <c r="BI62" s="174" t="s">
        <v>409</v>
      </c>
      <c r="BJ62" s="114"/>
      <c r="BK62" s="117"/>
      <c r="BL62" s="290">
        <f t="shared" si="14"/>
        <v>0</v>
      </c>
      <c r="BM62" s="291">
        <f t="shared" si="15"/>
        <v>0</v>
      </c>
      <c r="DH62" s="119">
        <f t="shared" si="81"/>
        <v>3985.0907044110122</v>
      </c>
      <c r="DI62" s="120">
        <f t="shared" si="82"/>
        <v>0</v>
      </c>
      <c r="DJ62" s="120">
        <f t="shared" si="83"/>
        <v>0</v>
      </c>
      <c r="DK62" s="120">
        <f t="shared" si="84"/>
        <v>0</v>
      </c>
      <c r="DL62" s="120">
        <f t="shared" si="85"/>
        <v>0</v>
      </c>
      <c r="DM62" s="120">
        <f t="shared" si="86"/>
        <v>0</v>
      </c>
      <c r="DN62" s="120">
        <f t="shared" si="87"/>
        <v>0</v>
      </c>
      <c r="DO62" s="120">
        <f t="shared" si="88"/>
        <v>0</v>
      </c>
      <c r="DP62" s="120">
        <f t="shared" si="89"/>
        <v>0</v>
      </c>
      <c r="DQ62" s="120">
        <f t="shared" si="90"/>
        <v>0</v>
      </c>
      <c r="DR62" s="120">
        <f t="shared" si="91"/>
        <v>0</v>
      </c>
      <c r="DS62" s="120">
        <f t="shared" si="92"/>
        <v>0</v>
      </c>
      <c r="DT62" s="120">
        <f t="shared" si="93"/>
        <v>0</v>
      </c>
      <c r="DU62" s="120">
        <f t="shared" si="94"/>
        <v>0</v>
      </c>
      <c r="DV62" s="120">
        <f t="shared" si="95"/>
        <v>0</v>
      </c>
      <c r="DW62" s="120">
        <f t="shared" si="96"/>
        <v>0</v>
      </c>
      <c r="DX62" s="120">
        <f t="shared" si="97"/>
        <v>0</v>
      </c>
      <c r="DY62" s="120">
        <f t="shared" si="98"/>
        <v>0</v>
      </c>
      <c r="DZ62" s="120">
        <f t="shared" si="99"/>
        <v>0</v>
      </c>
      <c r="EA62" s="120">
        <f t="shared" si="100"/>
        <v>0</v>
      </c>
      <c r="EB62" s="120">
        <f t="shared" si="101"/>
        <v>0</v>
      </c>
      <c r="EC62" s="120">
        <f t="shared" si="102"/>
        <v>0</v>
      </c>
      <c r="ED62" s="120">
        <f t="shared" si="103"/>
        <v>0</v>
      </c>
      <c r="EE62" s="120">
        <f t="shared" si="104"/>
        <v>0</v>
      </c>
      <c r="EF62" s="120">
        <f t="shared" si="105"/>
        <v>0</v>
      </c>
      <c r="EG62" s="120">
        <f t="shared" si="106"/>
        <v>0</v>
      </c>
      <c r="EH62" s="120">
        <f t="shared" si="107"/>
        <v>0</v>
      </c>
      <c r="EI62" s="120">
        <f t="shared" si="108"/>
        <v>0</v>
      </c>
      <c r="EJ62" s="120">
        <f t="shared" si="109"/>
        <v>0</v>
      </c>
      <c r="EK62" s="120">
        <f t="shared" si="110"/>
        <v>0</v>
      </c>
      <c r="EL62" s="120">
        <f t="shared" si="111"/>
        <v>0</v>
      </c>
      <c r="EM62" s="120">
        <f t="shared" si="112"/>
        <v>0</v>
      </c>
      <c r="EN62" s="120">
        <f t="shared" si="113"/>
        <v>0</v>
      </c>
      <c r="EO62" s="120">
        <f t="shared" si="114"/>
        <v>0</v>
      </c>
      <c r="EP62" s="120">
        <f t="shared" si="115"/>
        <v>0</v>
      </c>
      <c r="EQ62" s="120">
        <f t="shared" si="116"/>
        <v>0</v>
      </c>
      <c r="ER62" s="120">
        <f t="shared" si="117"/>
        <v>0</v>
      </c>
      <c r="ES62" s="120">
        <f t="shared" si="118"/>
        <v>0</v>
      </c>
      <c r="ET62" s="120">
        <f t="shared" si="119"/>
        <v>0</v>
      </c>
      <c r="EU62" s="120">
        <f t="shared" si="120"/>
        <v>0</v>
      </c>
      <c r="EV62" s="121"/>
      <c r="EW62" s="162">
        <f t="shared" si="121"/>
        <v>0</v>
      </c>
      <c r="EX62" s="72"/>
      <c r="EY62" s="119">
        <f t="shared" si="122"/>
        <v>3985.0907044110122</v>
      </c>
      <c r="EZ62" s="120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0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0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0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0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0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0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0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0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0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0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0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0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0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0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0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0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0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0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0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0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0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0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0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0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0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0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0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0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0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0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0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0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0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0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0">
        <f t="shared" si="123"/>
        <v>0</v>
      </c>
      <c r="GJ62" s="120">
        <f t="shared" si="124"/>
        <v>0</v>
      </c>
      <c r="GK62" s="120">
        <f t="shared" si="125"/>
        <v>0</v>
      </c>
      <c r="GL62" s="120">
        <f t="shared" si="126"/>
        <v>0</v>
      </c>
      <c r="GM62" s="121"/>
      <c r="GN62" s="162">
        <f t="shared" ca="1" si="127"/>
        <v>0</v>
      </c>
    </row>
    <row r="63" spans="1:196">
      <c r="A63" s="175" t="s">
        <v>410</v>
      </c>
      <c r="B63" s="169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7" t="str">
        <f>IFERROR(D62/D63,"")</f>
        <v/>
      </c>
      <c r="K63" s="128" t="str">
        <f>IFERROR(G62/G63,"")</f>
        <v/>
      </c>
      <c r="L63" s="129" t="str">
        <f t="shared" si="128"/>
        <v/>
      </c>
      <c r="M63" s="130">
        <f>I63+I62</f>
        <v>0</v>
      </c>
      <c r="N63" s="62"/>
      <c r="O63" s="187"/>
      <c r="P63" s="187"/>
      <c r="Q63" s="187"/>
      <c r="R63" s="187"/>
      <c r="S63" s="186"/>
      <c r="T63" s="187"/>
      <c r="U63" s="188"/>
      <c r="V63" s="187"/>
      <c r="W63" s="187"/>
      <c r="X63" s="187"/>
      <c r="Y63" s="187"/>
      <c r="Z63" s="187"/>
      <c r="AA63" s="187"/>
      <c r="AB63" s="187"/>
      <c r="AC63" s="187"/>
      <c r="AD63" s="187"/>
      <c r="AE63" s="186"/>
      <c r="AF63" s="187"/>
      <c r="AG63" s="188"/>
      <c r="AH63" s="194"/>
      <c r="AI63" s="194"/>
      <c r="AJ63" s="194"/>
      <c r="AK63" s="194"/>
      <c r="AL63" s="194"/>
      <c r="AM63" s="194"/>
      <c r="AN63" s="194"/>
      <c r="AO63" s="194"/>
      <c r="AP63" s="194"/>
      <c r="AQ63" s="66"/>
      <c r="AR63" s="66"/>
      <c r="AS63" s="66"/>
      <c r="AT63" s="66"/>
      <c r="AU63" s="66"/>
      <c r="AV63" s="171"/>
      <c r="AW63" s="172" t="s">
        <v>354</v>
      </c>
      <c r="AX63" s="114"/>
      <c r="AY63" s="136"/>
      <c r="AZ63" s="137"/>
      <c r="BA63" s="285">
        <f t="shared" si="10"/>
        <v>0</v>
      </c>
      <c r="BB63" s="286">
        <f t="shared" si="11"/>
        <v>0</v>
      </c>
      <c r="BC63" s="173" t="s">
        <v>408</v>
      </c>
      <c r="BD63" s="114"/>
      <c r="BE63" s="139"/>
      <c r="BF63" s="117"/>
      <c r="BG63" s="287">
        <f t="shared" si="12"/>
        <v>0</v>
      </c>
      <c r="BH63" s="289">
        <f t="shared" si="13"/>
        <v>0</v>
      </c>
      <c r="BI63" s="174" t="s">
        <v>409</v>
      </c>
      <c r="BJ63" s="114"/>
      <c r="BK63" s="117"/>
      <c r="BL63" s="290">
        <f t="shared" si="14"/>
        <v>0</v>
      </c>
      <c r="BM63" s="291">
        <f t="shared" si="15"/>
        <v>0</v>
      </c>
      <c r="DH63" s="119">
        <f t="shared" si="81"/>
        <v>4184.3452396315633</v>
      </c>
      <c r="DI63" s="120">
        <f t="shared" si="82"/>
        <v>0</v>
      </c>
      <c r="DJ63" s="120">
        <f t="shared" si="83"/>
        <v>0</v>
      </c>
      <c r="DK63" s="120">
        <f t="shared" si="84"/>
        <v>0</v>
      </c>
      <c r="DL63" s="120">
        <f t="shared" si="85"/>
        <v>0</v>
      </c>
      <c r="DM63" s="120">
        <f t="shared" si="86"/>
        <v>0</v>
      </c>
      <c r="DN63" s="120">
        <f t="shared" si="87"/>
        <v>0</v>
      </c>
      <c r="DO63" s="120">
        <f t="shared" si="88"/>
        <v>0</v>
      </c>
      <c r="DP63" s="120">
        <f t="shared" si="89"/>
        <v>0</v>
      </c>
      <c r="DQ63" s="120">
        <f t="shared" si="90"/>
        <v>0</v>
      </c>
      <c r="DR63" s="120">
        <f t="shared" si="91"/>
        <v>0</v>
      </c>
      <c r="DS63" s="120">
        <f t="shared" si="92"/>
        <v>0</v>
      </c>
      <c r="DT63" s="120">
        <f t="shared" si="93"/>
        <v>0</v>
      </c>
      <c r="DU63" s="120">
        <f t="shared" si="94"/>
        <v>0</v>
      </c>
      <c r="DV63" s="120">
        <f t="shared" si="95"/>
        <v>0</v>
      </c>
      <c r="DW63" s="120">
        <f t="shared" si="96"/>
        <v>0</v>
      </c>
      <c r="DX63" s="120">
        <f t="shared" si="97"/>
        <v>0</v>
      </c>
      <c r="DY63" s="120">
        <f t="shared" si="98"/>
        <v>0</v>
      </c>
      <c r="DZ63" s="120">
        <f t="shared" si="99"/>
        <v>0</v>
      </c>
      <c r="EA63" s="120">
        <f t="shared" si="100"/>
        <v>0</v>
      </c>
      <c r="EB63" s="120">
        <f t="shared" si="101"/>
        <v>0</v>
      </c>
      <c r="EC63" s="120">
        <f t="shared" si="102"/>
        <v>0</v>
      </c>
      <c r="ED63" s="120">
        <f t="shared" si="103"/>
        <v>0</v>
      </c>
      <c r="EE63" s="120">
        <f t="shared" si="104"/>
        <v>0</v>
      </c>
      <c r="EF63" s="120">
        <f t="shared" si="105"/>
        <v>0</v>
      </c>
      <c r="EG63" s="120">
        <f t="shared" si="106"/>
        <v>0</v>
      </c>
      <c r="EH63" s="120">
        <f t="shared" si="107"/>
        <v>0</v>
      </c>
      <c r="EI63" s="120">
        <f t="shared" si="108"/>
        <v>0</v>
      </c>
      <c r="EJ63" s="120">
        <f t="shared" si="109"/>
        <v>0</v>
      </c>
      <c r="EK63" s="120">
        <f t="shared" si="110"/>
        <v>0</v>
      </c>
      <c r="EL63" s="120">
        <f t="shared" si="111"/>
        <v>0</v>
      </c>
      <c r="EM63" s="120">
        <f t="shared" si="112"/>
        <v>0</v>
      </c>
      <c r="EN63" s="120">
        <f t="shared" si="113"/>
        <v>0</v>
      </c>
      <c r="EO63" s="120">
        <f t="shared" si="114"/>
        <v>0</v>
      </c>
      <c r="EP63" s="120">
        <f t="shared" si="115"/>
        <v>0</v>
      </c>
      <c r="EQ63" s="120">
        <f t="shared" si="116"/>
        <v>0</v>
      </c>
      <c r="ER63" s="120">
        <f t="shared" si="117"/>
        <v>0</v>
      </c>
      <c r="ES63" s="120">
        <f t="shared" si="118"/>
        <v>0</v>
      </c>
      <c r="ET63" s="120">
        <f t="shared" si="119"/>
        <v>0</v>
      </c>
      <c r="EU63" s="120">
        <f t="shared" si="120"/>
        <v>0</v>
      </c>
      <c r="EV63" s="121"/>
      <c r="EW63" s="162">
        <f t="shared" si="121"/>
        <v>0</v>
      </c>
      <c r="EX63" s="72"/>
      <c r="EY63" s="119">
        <f t="shared" si="122"/>
        <v>4184.3452396315633</v>
      </c>
      <c r="EZ63" s="120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0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0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0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0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0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0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0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0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0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0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0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0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0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0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0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0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0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0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0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0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0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0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0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0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0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0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0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0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0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0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0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0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0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0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0">
        <f t="shared" si="123"/>
        <v>0</v>
      </c>
      <c r="GJ63" s="120">
        <f t="shared" si="124"/>
        <v>0</v>
      </c>
      <c r="GK63" s="120">
        <f t="shared" si="125"/>
        <v>0</v>
      </c>
      <c r="GL63" s="120">
        <f t="shared" si="126"/>
        <v>0</v>
      </c>
      <c r="GM63" s="121"/>
      <c r="GN63" s="162">
        <f t="shared" ca="1" si="127"/>
        <v>0</v>
      </c>
    </row>
    <row r="64" spans="1:196">
      <c r="A64" s="177" t="s">
        <v>411</v>
      </c>
      <c r="B64" s="169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9"/>
      <c r="K64" s="69"/>
      <c r="L64" s="69"/>
      <c r="M64" s="69"/>
      <c r="N64" s="62"/>
      <c r="O64" s="187"/>
      <c r="P64" s="187"/>
      <c r="Q64" s="187"/>
      <c r="R64" s="187"/>
      <c r="S64" s="186"/>
      <c r="T64" s="187"/>
      <c r="U64" s="188"/>
      <c r="V64" s="187"/>
      <c r="W64" s="187"/>
      <c r="X64" s="187"/>
      <c r="Y64" s="187"/>
      <c r="Z64" s="187"/>
      <c r="AA64" s="187"/>
      <c r="AB64" s="187"/>
      <c r="AC64" s="187"/>
      <c r="AD64" s="187"/>
      <c r="AE64" s="186"/>
      <c r="AF64" s="187"/>
      <c r="AG64" s="188"/>
      <c r="AH64" s="194"/>
      <c r="AI64" s="194"/>
      <c r="AJ64" s="194"/>
      <c r="AK64" s="194"/>
      <c r="AL64" s="194"/>
      <c r="AM64" s="194"/>
      <c r="AN64" s="194"/>
      <c r="AO64" s="194"/>
      <c r="AP64" s="194"/>
      <c r="AQ64" s="66"/>
      <c r="AR64" s="66"/>
      <c r="AS64" s="66"/>
      <c r="AT64" s="66"/>
      <c r="AU64" s="66"/>
      <c r="AV64" s="171"/>
      <c r="AW64" s="172" t="s">
        <v>354</v>
      </c>
      <c r="AX64" s="114"/>
      <c r="AY64" s="136"/>
      <c r="AZ64" s="137"/>
      <c r="BA64" s="285">
        <f t="shared" si="10"/>
        <v>0</v>
      </c>
      <c r="BB64" s="286">
        <f t="shared" si="11"/>
        <v>0</v>
      </c>
      <c r="BC64" s="173" t="s">
        <v>408</v>
      </c>
      <c r="BD64" s="114"/>
      <c r="BE64" s="139"/>
      <c r="BF64" s="117"/>
      <c r="BG64" s="287">
        <f t="shared" si="12"/>
        <v>0</v>
      </c>
      <c r="BH64" s="289">
        <f t="shared" si="13"/>
        <v>0</v>
      </c>
      <c r="BI64" s="174" t="s">
        <v>409</v>
      </c>
      <c r="BJ64" s="114"/>
      <c r="BK64" s="117"/>
      <c r="BL64" s="290">
        <f t="shared" si="14"/>
        <v>0</v>
      </c>
      <c r="BM64" s="291">
        <f t="shared" si="15"/>
        <v>0</v>
      </c>
      <c r="DH64" s="119">
        <f t="shared" si="81"/>
        <v>4393.5625016131416</v>
      </c>
      <c r="DI64" s="120">
        <f t="shared" si="82"/>
        <v>0</v>
      </c>
      <c r="DJ64" s="120">
        <f t="shared" si="83"/>
        <v>0</v>
      </c>
      <c r="DK64" s="120">
        <f t="shared" si="84"/>
        <v>0</v>
      </c>
      <c r="DL64" s="120">
        <f t="shared" si="85"/>
        <v>0</v>
      </c>
      <c r="DM64" s="120">
        <f t="shared" si="86"/>
        <v>0</v>
      </c>
      <c r="DN64" s="120">
        <f t="shared" si="87"/>
        <v>0</v>
      </c>
      <c r="DO64" s="120">
        <f t="shared" si="88"/>
        <v>0</v>
      </c>
      <c r="DP64" s="120">
        <f t="shared" si="89"/>
        <v>0</v>
      </c>
      <c r="DQ64" s="120">
        <f t="shared" si="90"/>
        <v>0</v>
      </c>
      <c r="DR64" s="120">
        <f t="shared" si="91"/>
        <v>0</v>
      </c>
      <c r="DS64" s="120">
        <f t="shared" si="92"/>
        <v>0</v>
      </c>
      <c r="DT64" s="120">
        <f t="shared" si="93"/>
        <v>0</v>
      </c>
      <c r="DU64" s="120">
        <f t="shared" si="94"/>
        <v>0</v>
      </c>
      <c r="DV64" s="120">
        <f t="shared" si="95"/>
        <v>0</v>
      </c>
      <c r="DW64" s="120">
        <f t="shared" si="96"/>
        <v>0</v>
      </c>
      <c r="DX64" s="120">
        <f t="shared" si="97"/>
        <v>0</v>
      </c>
      <c r="DY64" s="120">
        <f t="shared" si="98"/>
        <v>0</v>
      </c>
      <c r="DZ64" s="120">
        <f t="shared" si="99"/>
        <v>0</v>
      </c>
      <c r="EA64" s="120">
        <f t="shared" si="100"/>
        <v>0</v>
      </c>
      <c r="EB64" s="120">
        <f t="shared" si="101"/>
        <v>0</v>
      </c>
      <c r="EC64" s="120">
        <f t="shared" si="102"/>
        <v>0</v>
      </c>
      <c r="ED64" s="120">
        <f t="shared" si="103"/>
        <v>0</v>
      </c>
      <c r="EE64" s="120">
        <f t="shared" si="104"/>
        <v>0</v>
      </c>
      <c r="EF64" s="120">
        <f t="shared" si="105"/>
        <v>0</v>
      </c>
      <c r="EG64" s="120">
        <f t="shared" si="106"/>
        <v>0</v>
      </c>
      <c r="EH64" s="120">
        <f t="shared" si="107"/>
        <v>0</v>
      </c>
      <c r="EI64" s="120">
        <f t="shared" si="108"/>
        <v>0</v>
      </c>
      <c r="EJ64" s="120">
        <f t="shared" si="109"/>
        <v>0</v>
      </c>
      <c r="EK64" s="120">
        <f t="shared" si="110"/>
        <v>0</v>
      </c>
      <c r="EL64" s="120">
        <f t="shared" si="111"/>
        <v>0</v>
      </c>
      <c r="EM64" s="120">
        <f t="shared" si="112"/>
        <v>0</v>
      </c>
      <c r="EN64" s="120">
        <f t="shared" si="113"/>
        <v>0</v>
      </c>
      <c r="EO64" s="120">
        <f t="shared" si="114"/>
        <v>0</v>
      </c>
      <c r="EP64" s="120">
        <f t="shared" si="115"/>
        <v>0</v>
      </c>
      <c r="EQ64" s="120">
        <f t="shared" si="116"/>
        <v>0</v>
      </c>
      <c r="ER64" s="120">
        <f t="shared" si="117"/>
        <v>0</v>
      </c>
      <c r="ES64" s="120">
        <f t="shared" si="118"/>
        <v>0</v>
      </c>
      <c r="ET64" s="120">
        <f t="shared" si="119"/>
        <v>0</v>
      </c>
      <c r="EU64" s="120">
        <f t="shared" si="120"/>
        <v>0</v>
      </c>
      <c r="EV64" s="121"/>
      <c r="EW64" s="162">
        <f t="shared" si="121"/>
        <v>0</v>
      </c>
      <c r="EX64" s="72"/>
      <c r="EY64" s="119">
        <f t="shared" si="122"/>
        <v>4393.5625016131416</v>
      </c>
      <c r="EZ64" s="120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0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0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0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0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0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0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0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0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0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0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0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0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0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0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0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0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0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0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0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0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0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0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0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0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0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0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0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0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0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0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0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0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0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0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0">
        <f t="shared" si="123"/>
        <v>0</v>
      </c>
      <c r="GJ64" s="120">
        <f t="shared" si="124"/>
        <v>0</v>
      </c>
      <c r="GK64" s="120">
        <f t="shared" si="125"/>
        <v>0</v>
      </c>
      <c r="GL64" s="120">
        <f t="shared" si="126"/>
        <v>0</v>
      </c>
      <c r="GM64" s="121"/>
      <c r="GN64" s="162">
        <f t="shared" ca="1" si="127"/>
        <v>0</v>
      </c>
    </row>
    <row r="65" spans="1:196">
      <c r="A65" s="168" t="s">
        <v>407</v>
      </c>
      <c r="B65" s="169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7" t="str">
        <f>IFERROR(D64/D65,"")</f>
        <v/>
      </c>
      <c r="K65" s="128" t="str">
        <f>IFERROR(G64/G65,"")</f>
        <v/>
      </c>
      <c r="L65" s="129" t="str">
        <f t="shared" si="128"/>
        <v/>
      </c>
      <c r="M65" s="130">
        <f>I65+I64</f>
        <v>0</v>
      </c>
      <c r="N65" s="62"/>
      <c r="O65" s="187"/>
      <c r="P65" s="187"/>
      <c r="Q65" s="187"/>
      <c r="R65" s="187"/>
      <c r="S65" s="186"/>
      <c r="T65" s="187"/>
      <c r="U65" s="188"/>
      <c r="V65" s="187"/>
      <c r="W65" s="187"/>
      <c r="X65" s="187"/>
      <c r="Y65" s="187"/>
      <c r="Z65" s="187"/>
      <c r="AA65" s="187"/>
      <c r="AB65" s="187"/>
      <c r="AC65" s="187"/>
      <c r="AD65" s="187"/>
      <c r="AE65" s="186"/>
      <c r="AF65" s="187"/>
      <c r="AG65" s="188"/>
      <c r="AH65" s="194"/>
      <c r="AI65" s="194"/>
      <c r="AJ65" s="194"/>
      <c r="AK65" s="194"/>
      <c r="AL65" s="194"/>
      <c r="AM65" s="194"/>
      <c r="AN65" s="194"/>
      <c r="AO65" s="194"/>
      <c r="AP65" s="194"/>
      <c r="AQ65" s="66"/>
      <c r="AR65" s="66"/>
      <c r="AS65" s="66"/>
      <c r="AT65" s="66"/>
      <c r="AU65" s="66"/>
      <c r="AV65" s="171"/>
      <c r="AW65" s="172" t="s">
        <v>354</v>
      </c>
      <c r="AX65" s="114"/>
      <c r="AY65" s="136"/>
      <c r="AZ65" s="137"/>
      <c r="BA65" s="285">
        <f t="shared" si="10"/>
        <v>0</v>
      </c>
      <c r="BB65" s="286">
        <f t="shared" si="11"/>
        <v>0</v>
      </c>
      <c r="BC65" s="173" t="s">
        <v>408</v>
      </c>
      <c r="BD65" s="114"/>
      <c r="BE65" s="139"/>
      <c r="BF65" s="117"/>
      <c r="BG65" s="287">
        <f t="shared" si="12"/>
        <v>0</v>
      </c>
      <c r="BH65" s="289">
        <f t="shared" si="13"/>
        <v>0</v>
      </c>
      <c r="BI65" s="174" t="s">
        <v>409</v>
      </c>
      <c r="BJ65" s="114"/>
      <c r="BK65" s="117"/>
      <c r="BL65" s="290">
        <f t="shared" si="14"/>
        <v>0</v>
      </c>
      <c r="BM65" s="291">
        <f t="shared" si="15"/>
        <v>0</v>
      </c>
      <c r="DH65" s="119">
        <f t="shared" si="81"/>
        <v>4613.2406266937987</v>
      </c>
      <c r="DI65" s="120">
        <f t="shared" si="82"/>
        <v>0</v>
      </c>
      <c r="DJ65" s="120">
        <f t="shared" si="83"/>
        <v>0</v>
      </c>
      <c r="DK65" s="120">
        <f t="shared" si="84"/>
        <v>0</v>
      </c>
      <c r="DL65" s="120">
        <f t="shared" si="85"/>
        <v>0</v>
      </c>
      <c r="DM65" s="120">
        <f t="shared" si="86"/>
        <v>0</v>
      </c>
      <c r="DN65" s="120">
        <f t="shared" si="87"/>
        <v>0</v>
      </c>
      <c r="DO65" s="120">
        <f t="shared" si="88"/>
        <v>0</v>
      </c>
      <c r="DP65" s="120">
        <f t="shared" si="89"/>
        <v>0</v>
      </c>
      <c r="DQ65" s="120">
        <f t="shared" si="90"/>
        <v>0</v>
      </c>
      <c r="DR65" s="120">
        <f t="shared" si="91"/>
        <v>0</v>
      </c>
      <c r="DS65" s="120">
        <f t="shared" si="92"/>
        <v>0</v>
      </c>
      <c r="DT65" s="120">
        <f t="shared" si="93"/>
        <v>0</v>
      </c>
      <c r="DU65" s="120">
        <f t="shared" si="94"/>
        <v>0</v>
      </c>
      <c r="DV65" s="120">
        <f t="shared" si="95"/>
        <v>0</v>
      </c>
      <c r="DW65" s="120">
        <f t="shared" si="96"/>
        <v>0</v>
      </c>
      <c r="DX65" s="120">
        <f t="shared" si="97"/>
        <v>0</v>
      </c>
      <c r="DY65" s="120">
        <f t="shared" si="98"/>
        <v>0</v>
      </c>
      <c r="DZ65" s="120">
        <f t="shared" si="99"/>
        <v>0</v>
      </c>
      <c r="EA65" s="120">
        <f t="shared" si="100"/>
        <v>0</v>
      </c>
      <c r="EB65" s="120">
        <f t="shared" si="101"/>
        <v>0</v>
      </c>
      <c r="EC65" s="120">
        <f t="shared" si="102"/>
        <v>0</v>
      </c>
      <c r="ED65" s="120">
        <f t="shared" si="103"/>
        <v>0</v>
      </c>
      <c r="EE65" s="120">
        <f t="shared" si="104"/>
        <v>0</v>
      </c>
      <c r="EF65" s="120">
        <f t="shared" si="105"/>
        <v>0</v>
      </c>
      <c r="EG65" s="120">
        <f t="shared" si="106"/>
        <v>0</v>
      </c>
      <c r="EH65" s="120">
        <f t="shared" si="107"/>
        <v>0</v>
      </c>
      <c r="EI65" s="120">
        <f t="shared" si="108"/>
        <v>0</v>
      </c>
      <c r="EJ65" s="120">
        <f t="shared" si="109"/>
        <v>0</v>
      </c>
      <c r="EK65" s="120">
        <f t="shared" si="110"/>
        <v>0</v>
      </c>
      <c r="EL65" s="120">
        <f t="shared" si="111"/>
        <v>0</v>
      </c>
      <c r="EM65" s="120">
        <f t="shared" si="112"/>
        <v>0</v>
      </c>
      <c r="EN65" s="120">
        <f t="shared" si="113"/>
        <v>0</v>
      </c>
      <c r="EO65" s="120">
        <f t="shared" si="114"/>
        <v>0</v>
      </c>
      <c r="EP65" s="120">
        <f t="shared" si="115"/>
        <v>0</v>
      </c>
      <c r="EQ65" s="120">
        <f t="shared" si="116"/>
        <v>0</v>
      </c>
      <c r="ER65" s="120">
        <f t="shared" si="117"/>
        <v>0</v>
      </c>
      <c r="ES65" s="120">
        <f t="shared" si="118"/>
        <v>0</v>
      </c>
      <c r="ET65" s="120">
        <f t="shared" si="119"/>
        <v>0</v>
      </c>
      <c r="EU65" s="120">
        <f t="shared" si="120"/>
        <v>0</v>
      </c>
      <c r="EV65" s="121"/>
      <c r="EW65" s="162">
        <f t="shared" si="121"/>
        <v>0</v>
      </c>
      <c r="EX65" s="72"/>
      <c r="EY65" s="119">
        <f t="shared" si="122"/>
        <v>4613.2406266937987</v>
      </c>
      <c r="EZ65" s="120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0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0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0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0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0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0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0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0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0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0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0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0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0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0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0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0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0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0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0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0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0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0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0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0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0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0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0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0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0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0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0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0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0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0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0">
        <f t="shared" si="123"/>
        <v>0</v>
      </c>
      <c r="GJ65" s="120">
        <f t="shared" si="124"/>
        <v>0</v>
      </c>
      <c r="GK65" s="120">
        <f t="shared" si="125"/>
        <v>0</v>
      </c>
      <c r="GL65" s="120">
        <f t="shared" si="126"/>
        <v>0</v>
      </c>
      <c r="GM65" s="121"/>
      <c r="GN65" s="162">
        <f t="shared" ca="1" si="127"/>
        <v>0</v>
      </c>
    </row>
    <row r="66" spans="1:196">
      <c r="A66" s="175" t="s">
        <v>410</v>
      </c>
      <c r="B66" s="169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9"/>
      <c r="K66" s="69"/>
      <c r="L66" s="69"/>
      <c r="M66" s="69"/>
      <c r="N66" s="62"/>
      <c r="O66" s="187"/>
      <c r="P66" s="187"/>
      <c r="Q66" s="187"/>
      <c r="R66" s="187"/>
      <c r="S66" s="186"/>
      <c r="T66" s="187"/>
      <c r="U66" s="188"/>
      <c r="V66" s="187"/>
      <c r="W66" s="187"/>
      <c r="X66" s="187"/>
      <c r="Y66" s="187"/>
      <c r="Z66" s="187"/>
      <c r="AA66" s="187"/>
      <c r="AB66" s="187"/>
      <c r="AC66" s="187"/>
      <c r="AD66" s="187"/>
      <c r="AE66" s="186"/>
      <c r="AF66" s="187"/>
      <c r="AG66" s="188"/>
      <c r="AH66" s="194"/>
      <c r="AI66" s="194"/>
      <c r="AJ66" s="194"/>
      <c r="AK66" s="194"/>
      <c r="AL66" s="194"/>
      <c r="AM66" s="194"/>
      <c r="AN66" s="194"/>
      <c r="AO66" s="194"/>
      <c r="AP66" s="194"/>
      <c r="AQ66" s="66"/>
      <c r="AR66" s="66"/>
      <c r="AS66" s="66"/>
      <c r="AT66" s="66"/>
      <c r="AU66" s="66"/>
      <c r="AV66" s="171"/>
      <c r="AW66" s="172" t="s">
        <v>354</v>
      </c>
      <c r="AX66" s="114"/>
      <c r="AY66" s="136"/>
      <c r="AZ66" s="137"/>
      <c r="BA66" s="285">
        <f t="shared" si="10"/>
        <v>0</v>
      </c>
      <c r="BB66" s="286">
        <f t="shared" si="11"/>
        <v>0</v>
      </c>
      <c r="BC66" s="173" t="s">
        <v>408</v>
      </c>
      <c r="BD66" s="114"/>
      <c r="BE66" s="139"/>
      <c r="BF66" s="117"/>
      <c r="BG66" s="287">
        <f t="shared" si="12"/>
        <v>0</v>
      </c>
      <c r="BH66" s="289">
        <f t="shared" si="13"/>
        <v>0</v>
      </c>
      <c r="BI66" s="174" t="s">
        <v>409</v>
      </c>
      <c r="BJ66" s="114"/>
      <c r="BK66" s="117"/>
      <c r="BL66" s="290">
        <f t="shared" si="14"/>
        <v>0</v>
      </c>
      <c r="BM66" s="291">
        <f t="shared" si="15"/>
        <v>0</v>
      </c>
      <c r="DH66" s="119">
        <f t="shared" si="81"/>
        <v>4843.902658028489</v>
      </c>
      <c r="DI66" s="120">
        <f t="shared" si="82"/>
        <v>0</v>
      </c>
      <c r="DJ66" s="120">
        <f t="shared" si="83"/>
        <v>0</v>
      </c>
      <c r="DK66" s="120">
        <f t="shared" si="84"/>
        <v>0</v>
      </c>
      <c r="DL66" s="120">
        <f t="shared" si="85"/>
        <v>0</v>
      </c>
      <c r="DM66" s="120">
        <f t="shared" si="86"/>
        <v>0</v>
      </c>
      <c r="DN66" s="120">
        <f t="shared" si="87"/>
        <v>0</v>
      </c>
      <c r="DO66" s="120">
        <f t="shared" si="88"/>
        <v>0</v>
      </c>
      <c r="DP66" s="120">
        <f t="shared" si="89"/>
        <v>0</v>
      </c>
      <c r="DQ66" s="120">
        <f t="shared" si="90"/>
        <v>0</v>
      </c>
      <c r="DR66" s="120">
        <f t="shared" si="91"/>
        <v>0</v>
      </c>
      <c r="DS66" s="120">
        <f t="shared" si="92"/>
        <v>0</v>
      </c>
      <c r="DT66" s="120">
        <f t="shared" si="93"/>
        <v>0</v>
      </c>
      <c r="DU66" s="120">
        <f t="shared" si="94"/>
        <v>0</v>
      </c>
      <c r="DV66" s="120">
        <f t="shared" si="95"/>
        <v>0</v>
      </c>
      <c r="DW66" s="120">
        <f t="shared" si="96"/>
        <v>0</v>
      </c>
      <c r="DX66" s="120">
        <f t="shared" si="97"/>
        <v>0</v>
      </c>
      <c r="DY66" s="120">
        <f t="shared" si="98"/>
        <v>0</v>
      </c>
      <c r="DZ66" s="120">
        <f t="shared" si="99"/>
        <v>0</v>
      </c>
      <c r="EA66" s="120">
        <f t="shared" si="100"/>
        <v>0</v>
      </c>
      <c r="EB66" s="120">
        <f t="shared" si="101"/>
        <v>0</v>
      </c>
      <c r="EC66" s="120">
        <f t="shared" si="102"/>
        <v>0</v>
      </c>
      <c r="ED66" s="120">
        <f t="shared" si="103"/>
        <v>0</v>
      </c>
      <c r="EE66" s="120">
        <f t="shared" si="104"/>
        <v>0</v>
      </c>
      <c r="EF66" s="120">
        <f t="shared" si="105"/>
        <v>0</v>
      </c>
      <c r="EG66" s="120">
        <f t="shared" si="106"/>
        <v>0</v>
      </c>
      <c r="EH66" s="120">
        <f t="shared" si="107"/>
        <v>0</v>
      </c>
      <c r="EI66" s="120">
        <f t="shared" si="108"/>
        <v>0</v>
      </c>
      <c r="EJ66" s="120">
        <f t="shared" si="109"/>
        <v>0</v>
      </c>
      <c r="EK66" s="120">
        <f t="shared" si="110"/>
        <v>0</v>
      </c>
      <c r="EL66" s="120">
        <f t="shared" si="111"/>
        <v>0</v>
      </c>
      <c r="EM66" s="120">
        <f t="shared" si="112"/>
        <v>0</v>
      </c>
      <c r="EN66" s="120">
        <f t="shared" si="113"/>
        <v>0</v>
      </c>
      <c r="EO66" s="120">
        <f t="shared" si="114"/>
        <v>0</v>
      </c>
      <c r="EP66" s="120">
        <f t="shared" si="115"/>
        <v>0</v>
      </c>
      <c r="EQ66" s="120">
        <f t="shared" si="116"/>
        <v>0</v>
      </c>
      <c r="ER66" s="120">
        <f t="shared" si="117"/>
        <v>0</v>
      </c>
      <c r="ES66" s="120">
        <f t="shared" si="118"/>
        <v>0</v>
      </c>
      <c r="ET66" s="120">
        <f t="shared" si="119"/>
        <v>0</v>
      </c>
      <c r="EU66" s="120">
        <f t="shared" si="120"/>
        <v>0</v>
      </c>
      <c r="EV66" s="121"/>
      <c r="EW66" s="162">
        <f t="shared" si="121"/>
        <v>0</v>
      </c>
      <c r="EX66" s="72"/>
      <c r="EY66" s="119">
        <f t="shared" si="122"/>
        <v>4843.902658028489</v>
      </c>
      <c r="EZ66" s="120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0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0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0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0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0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0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0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0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0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0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0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0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0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0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0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0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0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0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0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0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0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0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0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0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0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0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0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0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0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0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0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0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0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0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0">
        <f t="shared" si="123"/>
        <v>0</v>
      </c>
      <c r="GJ66" s="120">
        <f t="shared" si="124"/>
        <v>0</v>
      </c>
      <c r="GK66" s="120">
        <f t="shared" si="125"/>
        <v>0</v>
      </c>
      <c r="GL66" s="120">
        <f t="shared" si="126"/>
        <v>0</v>
      </c>
      <c r="GM66" s="121"/>
      <c r="GN66" s="162">
        <f t="shared" ca="1" si="127"/>
        <v>0</v>
      </c>
    </row>
    <row r="67" spans="1:196">
      <c r="A67" s="177" t="s">
        <v>411</v>
      </c>
      <c r="B67" s="169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7" t="str">
        <f>IFERROR(D66/D67,"")</f>
        <v/>
      </c>
      <c r="K67" s="128" t="str">
        <f>IFERROR(G66/G67,"")</f>
        <v/>
      </c>
      <c r="L67" s="129" t="str">
        <f t="shared" si="128"/>
        <v/>
      </c>
      <c r="M67" s="130">
        <f>I67+I66</f>
        <v>0</v>
      </c>
      <c r="N67" s="62"/>
      <c r="O67" s="187"/>
      <c r="P67" s="187"/>
      <c r="Q67" s="187"/>
      <c r="R67" s="187"/>
      <c r="S67" s="186"/>
      <c r="T67" s="187"/>
      <c r="U67" s="188"/>
      <c r="V67" s="187"/>
      <c r="W67" s="187"/>
      <c r="X67" s="187"/>
      <c r="Y67" s="187"/>
      <c r="Z67" s="187"/>
      <c r="AA67" s="187"/>
      <c r="AB67" s="187"/>
      <c r="AC67" s="187"/>
      <c r="AD67" s="187"/>
      <c r="AE67" s="186"/>
      <c r="AF67" s="187"/>
      <c r="AG67" s="188"/>
      <c r="AH67" s="194"/>
      <c r="AI67" s="194"/>
      <c r="AJ67" s="194"/>
      <c r="AK67" s="194"/>
      <c r="AL67" s="194"/>
      <c r="AM67" s="194"/>
      <c r="AN67" s="194"/>
      <c r="AO67" s="194"/>
      <c r="AP67" s="194"/>
      <c r="AQ67" s="66"/>
      <c r="AR67" s="66"/>
      <c r="AS67" s="66"/>
      <c r="AT67" s="66"/>
      <c r="AU67" s="66"/>
      <c r="AV67" s="171"/>
      <c r="AW67" s="172" t="s">
        <v>354</v>
      </c>
      <c r="AX67" s="114"/>
      <c r="AY67" s="136"/>
      <c r="AZ67" s="137"/>
      <c r="BA67" s="285">
        <f t="shared" si="10"/>
        <v>0</v>
      </c>
      <c r="BB67" s="286">
        <f t="shared" si="11"/>
        <v>0</v>
      </c>
      <c r="BC67" s="173" t="s">
        <v>408</v>
      </c>
      <c r="BD67" s="114"/>
      <c r="BE67" s="139"/>
      <c r="BF67" s="117"/>
      <c r="BG67" s="287">
        <f t="shared" si="12"/>
        <v>0</v>
      </c>
      <c r="BH67" s="289">
        <f t="shared" si="13"/>
        <v>0</v>
      </c>
      <c r="BI67" s="174" t="s">
        <v>409</v>
      </c>
      <c r="BJ67" s="114"/>
      <c r="BK67" s="117"/>
      <c r="BL67" s="290">
        <f t="shared" si="14"/>
        <v>0</v>
      </c>
      <c r="BM67" s="291">
        <f t="shared" si="15"/>
        <v>0</v>
      </c>
      <c r="DH67" s="195">
        <f t="shared" si="81"/>
        <v>5086.0977909299136</v>
      </c>
      <c r="DI67" s="196">
        <f t="shared" si="82"/>
        <v>0</v>
      </c>
      <c r="DJ67" s="196">
        <f t="shared" si="83"/>
        <v>0</v>
      </c>
      <c r="DK67" s="196">
        <f t="shared" si="84"/>
        <v>0</v>
      </c>
      <c r="DL67" s="196">
        <f t="shared" si="85"/>
        <v>0</v>
      </c>
      <c r="DM67" s="196">
        <f t="shared" si="86"/>
        <v>0</v>
      </c>
      <c r="DN67" s="196">
        <f t="shared" si="87"/>
        <v>0</v>
      </c>
      <c r="DO67" s="196">
        <f t="shared" si="88"/>
        <v>0</v>
      </c>
      <c r="DP67" s="196">
        <f t="shared" si="89"/>
        <v>0</v>
      </c>
      <c r="DQ67" s="196">
        <f t="shared" si="90"/>
        <v>0</v>
      </c>
      <c r="DR67" s="196">
        <f t="shared" si="91"/>
        <v>0</v>
      </c>
      <c r="DS67" s="196">
        <f t="shared" si="92"/>
        <v>0</v>
      </c>
      <c r="DT67" s="196">
        <f t="shared" si="93"/>
        <v>0</v>
      </c>
      <c r="DU67" s="196">
        <f t="shared" si="94"/>
        <v>0</v>
      </c>
      <c r="DV67" s="196">
        <f t="shared" si="95"/>
        <v>0</v>
      </c>
      <c r="DW67" s="196">
        <f t="shared" si="96"/>
        <v>0</v>
      </c>
      <c r="DX67" s="196">
        <f t="shared" si="97"/>
        <v>0</v>
      </c>
      <c r="DY67" s="196">
        <f t="shared" si="98"/>
        <v>0</v>
      </c>
      <c r="DZ67" s="196">
        <f t="shared" si="99"/>
        <v>0</v>
      </c>
      <c r="EA67" s="196">
        <f t="shared" si="100"/>
        <v>0</v>
      </c>
      <c r="EB67" s="196">
        <f t="shared" si="101"/>
        <v>0</v>
      </c>
      <c r="EC67" s="196">
        <f t="shared" si="102"/>
        <v>0</v>
      </c>
      <c r="ED67" s="196">
        <f t="shared" si="103"/>
        <v>0</v>
      </c>
      <c r="EE67" s="196">
        <f t="shared" si="104"/>
        <v>0</v>
      </c>
      <c r="EF67" s="196">
        <f t="shared" si="105"/>
        <v>0</v>
      </c>
      <c r="EG67" s="196">
        <f t="shared" si="106"/>
        <v>0</v>
      </c>
      <c r="EH67" s="196">
        <f t="shared" si="107"/>
        <v>0</v>
      </c>
      <c r="EI67" s="196">
        <f t="shared" si="108"/>
        <v>0</v>
      </c>
      <c r="EJ67" s="196">
        <f t="shared" si="109"/>
        <v>0</v>
      </c>
      <c r="EK67" s="196">
        <f t="shared" si="110"/>
        <v>0</v>
      </c>
      <c r="EL67" s="196">
        <f t="shared" si="111"/>
        <v>0</v>
      </c>
      <c r="EM67" s="196">
        <f t="shared" si="112"/>
        <v>0</v>
      </c>
      <c r="EN67" s="196">
        <f t="shared" si="113"/>
        <v>0</v>
      </c>
      <c r="EO67" s="196">
        <f t="shared" si="114"/>
        <v>0</v>
      </c>
      <c r="EP67" s="196">
        <f t="shared" si="115"/>
        <v>0</v>
      </c>
      <c r="EQ67" s="196">
        <f t="shared" si="116"/>
        <v>0</v>
      </c>
      <c r="ER67" s="196">
        <f t="shared" si="117"/>
        <v>0</v>
      </c>
      <c r="ES67" s="196">
        <f t="shared" si="118"/>
        <v>0</v>
      </c>
      <c r="ET67" s="196">
        <f t="shared" si="119"/>
        <v>0</v>
      </c>
      <c r="EU67" s="196">
        <f t="shared" si="120"/>
        <v>0</v>
      </c>
      <c r="EV67" s="197"/>
      <c r="EW67" s="198">
        <f t="shared" si="121"/>
        <v>0</v>
      </c>
      <c r="EX67" s="72"/>
      <c r="EY67" s="195">
        <f t="shared" si="122"/>
        <v>5086.0977909299136</v>
      </c>
      <c r="EZ67" s="196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6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6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6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6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6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6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6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6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6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6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6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6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6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6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6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6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6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6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6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6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6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6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6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6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6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6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6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6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6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6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6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6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6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6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6">
        <f t="shared" si="123"/>
        <v>0</v>
      </c>
      <c r="GJ67" s="196">
        <f t="shared" si="124"/>
        <v>0</v>
      </c>
      <c r="GK67" s="196">
        <f t="shared" si="125"/>
        <v>0</v>
      </c>
      <c r="GL67" s="196">
        <f t="shared" si="126"/>
        <v>0</v>
      </c>
      <c r="GM67" s="197"/>
      <c r="GN67" s="198">
        <f t="shared" ca="1" si="127"/>
        <v>0</v>
      </c>
    </row>
    <row r="68" spans="1:196">
      <c r="A68" s="168" t="s">
        <v>407</v>
      </c>
      <c r="B68" s="169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9"/>
      <c r="K68" s="69"/>
      <c r="L68" s="69"/>
      <c r="M68" s="69"/>
      <c r="N68" s="62"/>
      <c r="O68" s="187"/>
      <c r="P68" s="187"/>
      <c r="Q68" s="187"/>
      <c r="R68" s="187"/>
      <c r="S68" s="186"/>
      <c r="T68" s="187"/>
      <c r="U68" s="188"/>
      <c r="V68" s="187"/>
      <c r="W68" s="187"/>
      <c r="X68" s="187"/>
      <c r="Y68" s="187"/>
      <c r="Z68" s="187"/>
      <c r="AA68" s="187"/>
      <c r="AB68" s="187"/>
      <c r="AC68" s="187"/>
      <c r="AD68" s="187"/>
      <c r="AE68" s="186"/>
      <c r="AF68" s="187"/>
      <c r="AG68" s="188"/>
      <c r="AH68" s="194"/>
      <c r="AI68" s="194"/>
      <c r="AJ68" s="194"/>
      <c r="AK68" s="194"/>
      <c r="AL68" s="194"/>
      <c r="AM68" s="194"/>
      <c r="AN68" s="194"/>
      <c r="AO68" s="194"/>
      <c r="AP68" s="194"/>
      <c r="AQ68" s="66"/>
      <c r="AR68" s="66"/>
      <c r="AS68" s="66"/>
      <c r="AT68" s="66"/>
      <c r="AU68" s="66"/>
      <c r="AV68" s="171"/>
      <c r="AW68" s="172" t="s">
        <v>354</v>
      </c>
      <c r="AX68" s="114"/>
      <c r="AY68" s="136"/>
      <c r="AZ68" s="137"/>
      <c r="BA68" s="285">
        <f t="shared" si="10"/>
        <v>0</v>
      </c>
      <c r="BB68" s="286">
        <f t="shared" si="11"/>
        <v>0</v>
      </c>
      <c r="BC68" s="173" t="s">
        <v>408</v>
      </c>
      <c r="BD68" s="114"/>
      <c r="BE68" s="139"/>
      <c r="BF68" s="117"/>
      <c r="BG68" s="287">
        <f t="shared" si="12"/>
        <v>0</v>
      </c>
      <c r="BH68" s="289">
        <f t="shared" si="13"/>
        <v>0</v>
      </c>
      <c r="BI68" s="174" t="s">
        <v>409</v>
      </c>
      <c r="BJ68" s="114"/>
      <c r="BK68" s="117"/>
      <c r="BL68" s="290">
        <f t="shared" si="14"/>
        <v>0</v>
      </c>
      <c r="BM68" s="291">
        <f t="shared" si="15"/>
        <v>0</v>
      </c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72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</row>
    <row r="69" spans="1:196">
      <c r="A69" s="175" t="s">
        <v>410</v>
      </c>
      <c r="B69" s="169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7" t="str">
        <f>IFERROR(D68/D69,"")</f>
        <v/>
      </c>
      <c r="K69" s="128" t="str">
        <f>IFERROR(G68/G69,"")</f>
        <v/>
      </c>
      <c r="L69" s="129" t="str">
        <f t="shared" si="128"/>
        <v/>
      </c>
      <c r="M69" s="130">
        <f>I69+I68</f>
        <v>0</v>
      </c>
      <c r="N69" s="62"/>
      <c r="O69" s="187"/>
      <c r="P69" s="187"/>
      <c r="Q69" s="187"/>
      <c r="R69" s="187"/>
      <c r="S69" s="186"/>
      <c r="T69" s="187"/>
      <c r="U69" s="188"/>
      <c r="V69" s="187"/>
      <c r="W69" s="187"/>
      <c r="X69" s="187"/>
      <c r="Y69" s="187"/>
      <c r="Z69" s="187"/>
      <c r="AA69" s="187"/>
      <c r="AB69" s="187"/>
      <c r="AC69" s="187"/>
      <c r="AD69" s="187"/>
      <c r="AE69" s="186"/>
      <c r="AF69" s="187"/>
      <c r="AG69" s="188"/>
      <c r="AH69" s="194"/>
      <c r="AI69" s="194"/>
      <c r="AJ69" s="194"/>
      <c r="AK69" s="194"/>
      <c r="AL69" s="194"/>
      <c r="AM69" s="194"/>
      <c r="AN69" s="194"/>
      <c r="AO69" s="194"/>
      <c r="AP69" s="194"/>
      <c r="AQ69" s="66"/>
      <c r="AR69" s="66"/>
      <c r="AS69" s="66"/>
      <c r="AT69" s="66"/>
      <c r="AU69" s="66"/>
      <c r="AV69" s="171"/>
      <c r="AW69" s="172" t="s">
        <v>354</v>
      </c>
      <c r="AX69" s="114"/>
      <c r="AY69" s="136"/>
      <c r="AZ69" s="137"/>
      <c r="BA69" s="285">
        <f t="shared" si="10"/>
        <v>0</v>
      </c>
      <c r="BB69" s="286">
        <f t="shared" si="11"/>
        <v>0</v>
      </c>
      <c r="BC69" s="173" t="s">
        <v>408</v>
      </c>
      <c r="BD69" s="114"/>
      <c r="BE69" s="139"/>
      <c r="BF69" s="117"/>
      <c r="BG69" s="287">
        <f t="shared" si="12"/>
        <v>0</v>
      </c>
      <c r="BH69" s="289">
        <f t="shared" si="13"/>
        <v>0</v>
      </c>
      <c r="BI69" s="174" t="s">
        <v>409</v>
      </c>
      <c r="BJ69" s="114"/>
      <c r="BK69" s="117"/>
      <c r="BL69" s="290">
        <f t="shared" si="14"/>
        <v>0</v>
      </c>
      <c r="BM69" s="291">
        <f t="shared" si="15"/>
        <v>0</v>
      </c>
      <c r="DH69" s="200" t="s">
        <v>351</v>
      </c>
      <c r="DI69" s="201" t="s">
        <v>370</v>
      </c>
      <c r="DJ69" s="201" t="s">
        <v>371</v>
      </c>
      <c r="DK69" s="201" t="s">
        <v>372</v>
      </c>
      <c r="DL69" s="201" t="s">
        <v>373</v>
      </c>
      <c r="DM69" s="201" t="s">
        <v>374</v>
      </c>
      <c r="DN69" s="201" t="s">
        <v>375</v>
      </c>
      <c r="DO69" s="201" t="s">
        <v>376</v>
      </c>
      <c r="DP69" s="201" t="s">
        <v>377</v>
      </c>
      <c r="DQ69" s="201" t="s">
        <v>378</v>
      </c>
      <c r="DR69" s="201" t="s">
        <v>379</v>
      </c>
      <c r="DS69" s="201" t="s">
        <v>380</v>
      </c>
      <c r="DT69" s="201" t="s">
        <v>381</v>
      </c>
      <c r="DU69" s="201" t="s">
        <v>382</v>
      </c>
      <c r="DV69" s="201" t="s">
        <v>383</v>
      </c>
      <c r="DW69" s="201" t="s">
        <v>384</v>
      </c>
      <c r="DX69" s="201" t="s">
        <v>385</v>
      </c>
      <c r="DY69" s="201" t="s">
        <v>386</v>
      </c>
      <c r="DZ69" s="202" t="s">
        <v>387</v>
      </c>
      <c r="EA69" s="202" t="s">
        <v>388</v>
      </c>
      <c r="EB69" s="202" t="s">
        <v>389</v>
      </c>
      <c r="EC69" s="201" t="s">
        <v>390</v>
      </c>
      <c r="ED69" s="201" t="s">
        <v>391</v>
      </c>
      <c r="EE69" s="201" t="s">
        <v>392</v>
      </c>
      <c r="EF69" s="201" t="s">
        <v>393</v>
      </c>
      <c r="EG69" s="201" t="s">
        <v>394</v>
      </c>
      <c r="EH69" s="201" t="s">
        <v>395</v>
      </c>
      <c r="EI69" s="201" t="s">
        <v>396</v>
      </c>
      <c r="EJ69" s="201" t="s">
        <v>397</v>
      </c>
      <c r="EK69" s="201" t="s">
        <v>398</v>
      </c>
      <c r="EL69" s="201" t="s">
        <v>399</v>
      </c>
      <c r="EM69" s="201" t="s">
        <v>400</v>
      </c>
      <c r="EN69" s="201" t="s">
        <v>401</v>
      </c>
      <c r="EO69" s="201" t="s">
        <v>402</v>
      </c>
      <c r="EP69" s="201" t="s">
        <v>403</v>
      </c>
      <c r="EQ69" s="201" t="s">
        <v>404</v>
      </c>
      <c r="ER69" s="201" t="s">
        <v>412</v>
      </c>
      <c r="ES69" s="201" t="s">
        <v>413</v>
      </c>
      <c r="ET69" s="201" t="s">
        <v>414</v>
      </c>
      <c r="EU69" s="201" t="s">
        <v>415</v>
      </c>
      <c r="EV69" s="201" t="s">
        <v>416</v>
      </c>
      <c r="EW69" s="203" t="s">
        <v>405</v>
      </c>
      <c r="EX69" s="72"/>
      <c r="EY69" s="200" t="s">
        <v>351</v>
      </c>
      <c r="EZ69" s="201" t="s">
        <v>370</v>
      </c>
      <c r="FA69" s="201" t="s">
        <v>371</v>
      </c>
      <c r="FB69" s="201" t="s">
        <v>372</v>
      </c>
      <c r="FC69" s="201" t="s">
        <v>373</v>
      </c>
      <c r="FD69" s="201" t="s">
        <v>374</v>
      </c>
      <c r="FE69" s="201" t="s">
        <v>375</v>
      </c>
      <c r="FF69" s="201" t="s">
        <v>376</v>
      </c>
      <c r="FG69" s="201" t="s">
        <v>377</v>
      </c>
      <c r="FH69" s="201" t="s">
        <v>378</v>
      </c>
      <c r="FI69" s="201" t="s">
        <v>379</v>
      </c>
      <c r="FJ69" s="201" t="s">
        <v>380</v>
      </c>
      <c r="FK69" s="201" t="s">
        <v>381</v>
      </c>
      <c r="FL69" s="201" t="s">
        <v>382</v>
      </c>
      <c r="FM69" s="201" t="s">
        <v>383</v>
      </c>
      <c r="FN69" s="201" t="s">
        <v>384</v>
      </c>
      <c r="FO69" s="201" t="s">
        <v>385</v>
      </c>
      <c r="FP69" s="201" t="s">
        <v>386</v>
      </c>
      <c r="FQ69" s="202" t="s">
        <v>387</v>
      </c>
      <c r="FR69" s="202" t="s">
        <v>388</v>
      </c>
      <c r="FS69" s="202" t="s">
        <v>389</v>
      </c>
      <c r="FT69" s="201" t="s">
        <v>390</v>
      </c>
      <c r="FU69" s="201" t="s">
        <v>391</v>
      </c>
      <c r="FV69" s="201" t="s">
        <v>392</v>
      </c>
      <c r="FW69" s="201" t="s">
        <v>393</v>
      </c>
      <c r="FX69" s="201" t="s">
        <v>394</v>
      </c>
      <c r="FY69" s="201" t="s">
        <v>395</v>
      </c>
      <c r="FZ69" s="201" t="s">
        <v>396</v>
      </c>
      <c r="GA69" s="201" t="s">
        <v>397</v>
      </c>
      <c r="GB69" s="201" t="s">
        <v>398</v>
      </c>
      <c r="GC69" s="201" t="s">
        <v>399</v>
      </c>
      <c r="GD69" s="201" t="s">
        <v>400</v>
      </c>
      <c r="GE69" s="201" t="s">
        <v>401</v>
      </c>
      <c r="GF69" s="201" t="s">
        <v>402</v>
      </c>
      <c r="GG69" s="201" t="s">
        <v>403</v>
      </c>
      <c r="GH69" s="201" t="s">
        <v>404</v>
      </c>
      <c r="GI69" s="201" t="s">
        <v>412</v>
      </c>
      <c r="GJ69" s="201" t="s">
        <v>413</v>
      </c>
      <c r="GK69" s="201" t="s">
        <v>414</v>
      </c>
      <c r="GL69" s="201" t="s">
        <v>415</v>
      </c>
      <c r="GM69" s="201" t="s">
        <v>416</v>
      </c>
      <c r="GN69" s="203" t="s">
        <v>405</v>
      </c>
    </row>
    <row r="70" spans="1:196">
      <c r="A70" s="177" t="s">
        <v>411</v>
      </c>
      <c r="B70" s="169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9"/>
      <c r="K70" s="69"/>
      <c r="L70" s="69"/>
      <c r="M70" s="69"/>
      <c r="N70" s="62"/>
      <c r="O70" s="187"/>
      <c r="P70" s="187"/>
      <c r="Q70" s="187"/>
      <c r="R70" s="187"/>
      <c r="S70" s="186"/>
      <c r="T70" s="187"/>
      <c r="U70" s="188"/>
      <c r="V70" s="187"/>
      <c r="W70" s="187"/>
      <c r="X70" s="187"/>
      <c r="Y70" s="187"/>
      <c r="Z70" s="187"/>
      <c r="AA70" s="187"/>
      <c r="AB70" s="187"/>
      <c r="AC70" s="187"/>
      <c r="AD70" s="187"/>
      <c r="AE70" s="186"/>
      <c r="AF70" s="194"/>
      <c r="AG70" s="204"/>
      <c r="AH70" s="194"/>
      <c r="AI70" s="194"/>
      <c r="AJ70" s="194"/>
      <c r="AK70" s="194"/>
      <c r="AL70" s="194"/>
      <c r="AM70" s="194"/>
      <c r="AN70" s="194"/>
      <c r="AO70" s="194"/>
      <c r="AP70" s="194"/>
      <c r="AQ70" s="66"/>
      <c r="AR70" s="66"/>
      <c r="AS70" s="66"/>
      <c r="AT70" s="66"/>
      <c r="AU70" s="66"/>
      <c r="AV70" s="171"/>
      <c r="AW70" s="172" t="s">
        <v>354</v>
      </c>
      <c r="AX70" s="114"/>
      <c r="AY70" s="136"/>
      <c r="AZ70" s="137"/>
      <c r="BA70" s="285">
        <f t="shared" si="10"/>
        <v>0</v>
      </c>
      <c r="BB70" s="286">
        <f t="shared" si="11"/>
        <v>0</v>
      </c>
      <c r="BC70" s="173" t="s">
        <v>408</v>
      </c>
      <c r="BD70" s="114"/>
      <c r="BE70" s="139"/>
      <c r="BF70" s="117"/>
      <c r="BG70" s="287">
        <f t="shared" si="12"/>
        <v>0</v>
      </c>
      <c r="BH70" s="289">
        <f t="shared" si="13"/>
        <v>0</v>
      </c>
      <c r="BI70" s="174" t="s">
        <v>409</v>
      </c>
      <c r="BJ70" s="114"/>
      <c r="BK70" s="117"/>
      <c r="BL70" s="290">
        <f t="shared" si="14"/>
        <v>0</v>
      </c>
      <c r="BM70" s="291">
        <f t="shared" si="15"/>
        <v>0</v>
      </c>
      <c r="DH70" s="119">
        <f t="shared" ref="DH70:DH101" si="131">DH3</f>
        <v>1079.4685662722245</v>
      </c>
      <c r="DI70" s="120">
        <f t="shared" ref="DI70:DI101" si="132">IF($DH70&gt;$U$3,$T$3*100*($DH70-$U$3),0)</f>
        <v>0</v>
      </c>
      <c r="DJ70" s="120">
        <f t="shared" ref="DJ70:DJ101" si="133">IF($DH70&gt;$U$4,$T$4*100*($DH70-$U$4),0)</f>
        <v>0</v>
      </c>
      <c r="DK70" s="120">
        <f t="shared" ref="DK70:DK101" si="134">IF($DH70&gt;$U$5,$T$5*100*($DH70-$U$5),0)</f>
        <v>0</v>
      </c>
      <c r="DL70" s="120">
        <f t="shared" ref="DL70:DL101" si="135">IF($DH70&gt;$U$6,$T$6*100*($DH70-$U$6),0)</f>
        <v>0</v>
      </c>
      <c r="DM70" s="120">
        <f t="shared" ref="DM70:DM101" si="136">IF($DH70&gt;$U$7,$T$7*100*($DH70-$U$7),0)</f>
        <v>0</v>
      </c>
      <c r="DN70" s="120">
        <f t="shared" ref="DN70:DN101" si="137">IF($DH70&gt;$U$8,$T$8*100*($DH70-$U$8),0)</f>
        <v>0</v>
      </c>
      <c r="DO70" s="120">
        <f t="shared" ref="DO70:DO101" si="138">IF($DH70&gt;$U$9,$T$9*100*($DH70-$U$9),0)</f>
        <v>0</v>
      </c>
      <c r="DP70" s="120">
        <f t="shared" ref="DP70:DP101" si="139">IF($DH70&gt;$U$10,$T$10*100*($DH70-$U$10),0)</f>
        <v>0</v>
      </c>
      <c r="DQ70" s="120">
        <f t="shared" ref="DQ70:DQ101" si="140">IF($DH70&gt;$U$11,$T$11*100*($DH70-$U$11),0)</f>
        <v>0</v>
      </c>
      <c r="DR70" s="120">
        <f t="shared" ref="DR70:DR101" si="141">IF($DH70&gt;$U$12,$T$12*100*($DH70-$U$12),0)</f>
        <v>0</v>
      </c>
      <c r="DS70" s="120">
        <f t="shared" ref="DS70:DS101" si="142">IF($DH70&gt;$U$13,$T$13*100*($DH70-$U$13),0)</f>
        <v>0</v>
      </c>
      <c r="DT70" s="120">
        <f t="shared" ref="DT70:DT101" si="143">IF($DH70&gt;$U$14,$T$14*100*($DH70-$U$14),0)</f>
        <v>0</v>
      </c>
      <c r="DU70" s="120">
        <f t="shared" ref="DU70:DU101" si="144">IF($DH70&gt;$U$15,$T$15*100*($DH70-$U$15),0)</f>
        <v>0</v>
      </c>
      <c r="DV70" s="120">
        <f t="shared" ref="DV70:DV101" si="145">IF($DH70&gt;$U$16,$T$16*100*($DH70-$U$16),0)</f>
        <v>0</v>
      </c>
      <c r="DW70" s="120">
        <f t="shared" ref="DW70:DW101" si="146">IF($DH70&gt;$U$17,$T$17*100*($DH70-$U$17),0)</f>
        <v>0</v>
      </c>
      <c r="DX70" s="120">
        <f t="shared" ref="DX70:DX101" si="147">IF($DH70&gt;$U$18,$T$18*100*($DH70-$U$18),0)</f>
        <v>0</v>
      </c>
      <c r="DY70" s="120">
        <f t="shared" ref="DY70:DY101" si="148">IF($DH70&gt;$U$19,$T$19*100*($DH70-$U$19),0)</f>
        <v>0</v>
      </c>
      <c r="DZ70" s="120">
        <f t="shared" ref="DZ70:DZ101" si="149">IF($DH70&gt;$U$20,$T$20*100*($DH70-$U$20),0)</f>
        <v>0</v>
      </c>
      <c r="EA70" s="120">
        <f t="shared" ref="EA70:EA101" si="150">IF($DH70&gt;$U$21,$T$21*100*($DH70-$U$21),0)</f>
        <v>0</v>
      </c>
      <c r="EB70" s="120">
        <f t="shared" ref="EB70:EB101" si="151">IF($DH70&gt;$U$22,$T$22*100*($DH70-$U$22),0)</f>
        <v>0</v>
      </c>
      <c r="EC70" s="120">
        <f t="shared" ref="EC70:EC101" si="152">IF($DH70&gt;$U$23,$T$23*100*($DH70-$U$23),0)</f>
        <v>0</v>
      </c>
      <c r="ED70" s="120">
        <f t="shared" ref="ED70:ED101" si="153">IF($DH70&gt;$U$24,$T$24*100*($DH70-$U$24),0)</f>
        <v>0</v>
      </c>
      <c r="EE70" s="120">
        <f t="shared" ref="EE70:EE101" si="154">IF($DH70&gt;$U$25,$T$25*100*($DH70-$U$25),0)</f>
        <v>0</v>
      </c>
      <c r="EF70" s="120">
        <f t="shared" ref="EF70:EF101" si="155">IF($DH70&gt;$U$26,$T$26*100*($DH70-$U$26),0)</f>
        <v>0</v>
      </c>
      <c r="EG70" s="120">
        <f t="shared" ref="EG70:EG101" si="156">IF($DH70&gt;$U$27,$T$27*100*($DH70-$U$27),0)</f>
        <v>0</v>
      </c>
      <c r="EH70" s="120">
        <f t="shared" ref="EH70:EH101" si="157">IF($DH70&gt;$U$28,$T$28*100*($DH70-$U$28),0)</f>
        <v>0</v>
      </c>
      <c r="EI70" s="120">
        <f t="shared" ref="EI70:EI101" si="158">IF($DH70&gt;$U$29,$T$29*100*($DH70-$U$29),0)</f>
        <v>0</v>
      </c>
      <c r="EJ70" s="120">
        <f t="shared" ref="EJ70:EJ101" si="159">IF($DH70&gt;$U$30,$T$30*100*($DH70-$U$30),0)</f>
        <v>0</v>
      </c>
      <c r="EK70" s="120">
        <f t="shared" ref="EK70:EK101" si="160">IF($DH70&gt;$U$31,$T$31*100*($DH70-$U$31),0)</f>
        <v>0</v>
      </c>
      <c r="EL70" s="120">
        <f t="shared" ref="EL70:EL101" si="161">IF($DH70&gt;$U$32,$T$32*100*($DH70-$U$32),0)</f>
        <v>0</v>
      </c>
      <c r="EM70" s="120">
        <f t="shared" ref="EM70:EM101" si="162">IF($DH70&gt;$U$33,$T$33*100*($DH70-$U$33),0)</f>
        <v>0</v>
      </c>
      <c r="EN70" s="120">
        <f t="shared" ref="EN70:EN101" si="163">IF($DH70&gt;$U$34,$T$34*100*($DH70-$U$34),0)</f>
        <v>0</v>
      </c>
      <c r="EO70" s="120">
        <f t="shared" ref="EO70:EO101" si="164">IF($DH70&gt;$U$35,$T$35*100*($DH70-$U$35),0)</f>
        <v>0</v>
      </c>
      <c r="EP70" s="120">
        <f t="shared" ref="EP70:EP101" si="165">IF($DH70&gt;$U$36,$T$36*100*($DH70-$U$36),0)</f>
        <v>0</v>
      </c>
      <c r="EQ70" s="120">
        <f t="shared" ref="EQ70:EQ101" si="166">IF($DH70&gt;$U$37,$T$37*100*($DH70-$U$37),0)</f>
        <v>0</v>
      </c>
      <c r="ER70" s="120">
        <f t="shared" ref="ER70:ER101" si="167">IF($DH70&gt;$U$38,$T$38*100*($DH70-$U$38),0)</f>
        <v>0</v>
      </c>
      <c r="ES70" s="120">
        <f t="shared" ref="ES70:ES101" si="168">IF($DH70&gt;$U$39,$T$39*100*($DH70-$U$39),0)</f>
        <v>0</v>
      </c>
      <c r="ET70" s="120">
        <f t="shared" ref="ET70:ET101" si="169">IF($DH70&gt;$U$40,$T$40*100*($DH70-$U$40),0)</f>
        <v>0</v>
      </c>
      <c r="EU70" s="120">
        <f t="shared" ref="EU70:EU101" si="170">IF($DH70&gt;$U$41,$T$41*100*($DH70-$U$41),0)</f>
        <v>0</v>
      </c>
      <c r="EV70" s="120">
        <f t="shared" ref="EV70:EV101" si="171">IF($DH70&gt;$U$42,$T$42*100*($DH70-$U$42),0)</f>
        <v>0</v>
      </c>
      <c r="EW70" s="205">
        <f t="shared" ref="EW70:EW101" si="172">SUM(DI70:EV70)</f>
        <v>0</v>
      </c>
      <c r="EX70" s="72"/>
      <c r="EY70" s="119">
        <f t="shared" ref="EY70:EY101" si="173">EY3</f>
        <v>1079.4685662722245</v>
      </c>
      <c r="EZ70" s="120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0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0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0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0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0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0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0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0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0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0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0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0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0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0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0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0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0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0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0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0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0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0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0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0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0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0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0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0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0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0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0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0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0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0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0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0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0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0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0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5">
        <f t="shared" ref="GN70:GN101" ca="1" si="174">SUM(EZ70:GM70)</f>
        <v>0</v>
      </c>
    </row>
    <row r="71" spans="1:196">
      <c r="A71" s="168"/>
      <c r="B71" s="169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7" t="str">
        <f>IFERROR(D70/D71,"")</f>
        <v/>
      </c>
      <c r="K71" s="128" t="str">
        <f>IFERROR(G70/G71,"")</f>
        <v/>
      </c>
      <c r="L71" s="129" t="str">
        <f t="shared" si="128"/>
        <v/>
      </c>
      <c r="M71" s="130">
        <f>I71+I70</f>
        <v>0</v>
      </c>
      <c r="N71" s="62"/>
      <c r="O71" s="187"/>
      <c r="P71" s="187"/>
      <c r="Q71" s="187"/>
      <c r="R71" s="187"/>
      <c r="S71" s="186"/>
      <c r="T71" s="187"/>
      <c r="U71" s="188"/>
      <c r="V71" s="187"/>
      <c r="W71" s="187"/>
      <c r="X71" s="187"/>
      <c r="Y71" s="187"/>
      <c r="Z71" s="187"/>
      <c r="AA71" s="187"/>
      <c r="AB71" s="187"/>
      <c r="AC71" s="187"/>
      <c r="AD71" s="187"/>
      <c r="AE71" s="186"/>
      <c r="AF71" s="187"/>
      <c r="AG71" s="188"/>
      <c r="AH71" s="187"/>
      <c r="AI71" s="187"/>
      <c r="AJ71" s="187"/>
      <c r="AK71" s="187"/>
      <c r="AL71" s="187"/>
      <c r="AM71" s="187"/>
      <c r="AN71" s="187"/>
      <c r="AO71" s="187"/>
      <c r="AP71" s="187"/>
      <c r="AQ71" s="62"/>
      <c r="AR71" s="62"/>
      <c r="AS71" s="62"/>
      <c r="AT71" s="62"/>
      <c r="AU71" s="62"/>
      <c r="AV71" s="171"/>
      <c r="AW71" s="172" t="s">
        <v>354</v>
      </c>
      <c r="AX71" s="114"/>
      <c r="AY71" s="136"/>
      <c r="AZ71" s="137"/>
      <c r="BA71" s="285">
        <f t="shared" si="10"/>
        <v>0</v>
      </c>
      <c r="BB71" s="286">
        <f t="shared" si="11"/>
        <v>0</v>
      </c>
      <c r="BC71" s="173" t="s">
        <v>408</v>
      </c>
      <c r="BD71" s="114"/>
      <c r="BE71" s="139"/>
      <c r="BF71" s="117"/>
      <c r="BG71" s="287">
        <f t="shared" si="12"/>
        <v>0</v>
      </c>
      <c r="BH71" s="289">
        <f t="shared" si="13"/>
        <v>0</v>
      </c>
      <c r="BI71" s="174" t="s">
        <v>409</v>
      </c>
      <c r="BJ71" s="114"/>
      <c r="BK71" s="117"/>
      <c r="BL71" s="290">
        <f t="shared" si="14"/>
        <v>0</v>
      </c>
      <c r="BM71" s="291">
        <f t="shared" si="15"/>
        <v>0</v>
      </c>
      <c r="DH71" s="119">
        <f t="shared" si="131"/>
        <v>1136.2827013391839</v>
      </c>
      <c r="DI71" s="120">
        <f t="shared" si="132"/>
        <v>0</v>
      </c>
      <c r="DJ71" s="120">
        <f t="shared" si="133"/>
        <v>0</v>
      </c>
      <c r="DK71" s="120">
        <f t="shared" si="134"/>
        <v>0</v>
      </c>
      <c r="DL71" s="120">
        <f t="shared" si="135"/>
        <v>0</v>
      </c>
      <c r="DM71" s="120">
        <f t="shared" si="136"/>
        <v>0</v>
      </c>
      <c r="DN71" s="120">
        <f t="shared" si="137"/>
        <v>0</v>
      </c>
      <c r="DO71" s="120">
        <f t="shared" si="138"/>
        <v>0</v>
      </c>
      <c r="DP71" s="120">
        <f t="shared" si="139"/>
        <v>0</v>
      </c>
      <c r="DQ71" s="120">
        <f t="shared" si="140"/>
        <v>0</v>
      </c>
      <c r="DR71" s="120">
        <f t="shared" si="141"/>
        <v>0</v>
      </c>
      <c r="DS71" s="120">
        <f t="shared" si="142"/>
        <v>0</v>
      </c>
      <c r="DT71" s="120">
        <f t="shared" si="143"/>
        <v>0</v>
      </c>
      <c r="DU71" s="120">
        <f t="shared" si="144"/>
        <v>0</v>
      </c>
      <c r="DV71" s="120">
        <f t="shared" si="145"/>
        <v>0</v>
      </c>
      <c r="DW71" s="120">
        <f t="shared" si="146"/>
        <v>0</v>
      </c>
      <c r="DX71" s="120">
        <f t="shared" si="147"/>
        <v>0</v>
      </c>
      <c r="DY71" s="120">
        <f t="shared" si="148"/>
        <v>0</v>
      </c>
      <c r="DZ71" s="120">
        <f t="shared" si="149"/>
        <v>0</v>
      </c>
      <c r="EA71" s="120">
        <f t="shared" si="150"/>
        <v>0</v>
      </c>
      <c r="EB71" s="120">
        <f t="shared" si="151"/>
        <v>0</v>
      </c>
      <c r="EC71" s="120">
        <f t="shared" si="152"/>
        <v>0</v>
      </c>
      <c r="ED71" s="120">
        <f t="shared" si="153"/>
        <v>0</v>
      </c>
      <c r="EE71" s="120">
        <f t="shared" si="154"/>
        <v>0</v>
      </c>
      <c r="EF71" s="120">
        <f t="shared" si="155"/>
        <v>0</v>
      </c>
      <c r="EG71" s="120">
        <f t="shared" si="156"/>
        <v>0</v>
      </c>
      <c r="EH71" s="120">
        <f t="shared" si="157"/>
        <v>0</v>
      </c>
      <c r="EI71" s="120">
        <f t="shared" si="158"/>
        <v>0</v>
      </c>
      <c r="EJ71" s="120">
        <f t="shared" si="159"/>
        <v>0</v>
      </c>
      <c r="EK71" s="120">
        <f t="shared" si="160"/>
        <v>0</v>
      </c>
      <c r="EL71" s="120">
        <f t="shared" si="161"/>
        <v>0</v>
      </c>
      <c r="EM71" s="120">
        <f t="shared" si="162"/>
        <v>0</v>
      </c>
      <c r="EN71" s="120">
        <f t="shared" si="163"/>
        <v>0</v>
      </c>
      <c r="EO71" s="120">
        <f t="shared" si="164"/>
        <v>0</v>
      </c>
      <c r="EP71" s="120">
        <f t="shared" si="165"/>
        <v>0</v>
      </c>
      <c r="EQ71" s="120">
        <f t="shared" si="166"/>
        <v>0</v>
      </c>
      <c r="ER71" s="120">
        <f t="shared" si="167"/>
        <v>0</v>
      </c>
      <c r="ES71" s="120">
        <f t="shared" si="168"/>
        <v>0</v>
      </c>
      <c r="ET71" s="120">
        <f t="shared" si="169"/>
        <v>0</v>
      </c>
      <c r="EU71" s="120">
        <f t="shared" si="170"/>
        <v>0</v>
      </c>
      <c r="EV71" s="120">
        <f t="shared" si="171"/>
        <v>0</v>
      </c>
      <c r="EW71" s="205">
        <f t="shared" si="172"/>
        <v>0</v>
      </c>
      <c r="EX71" s="72"/>
      <c r="EY71" s="119">
        <f t="shared" si="173"/>
        <v>1136.2827013391839</v>
      </c>
      <c r="EZ71" s="120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0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0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0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0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0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0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0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0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0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0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0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0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0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0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0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0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0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0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0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0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0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0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0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0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0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0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0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0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0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0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0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0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0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0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0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0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0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0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0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5">
        <f t="shared" ca="1" si="174"/>
        <v>0</v>
      </c>
    </row>
    <row r="72" spans="1:196" ht="13.5" thickBot="1">
      <c r="A72" s="175"/>
      <c r="B72" s="206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9"/>
      <c r="K72" s="69"/>
      <c r="L72" s="69"/>
      <c r="M72" s="69"/>
      <c r="N72" s="62"/>
      <c r="O72" s="187"/>
      <c r="P72" s="187"/>
      <c r="Q72" s="187"/>
      <c r="R72" s="187"/>
      <c r="S72" s="186"/>
      <c r="T72" s="187"/>
      <c r="U72" s="188"/>
      <c r="V72" s="187"/>
      <c r="W72" s="187"/>
      <c r="X72" s="187"/>
      <c r="Y72" s="187"/>
      <c r="Z72" s="187"/>
      <c r="AA72" s="187"/>
      <c r="AB72" s="187"/>
      <c r="AC72" s="187"/>
      <c r="AD72" s="187"/>
      <c r="AE72" s="186"/>
      <c r="AF72" s="187"/>
      <c r="AG72" s="188"/>
      <c r="AH72" s="187"/>
      <c r="AI72" s="187"/>
      <c r="AJ72" s="187"/>
      <c r="AK72" s="187"/>
      <c r="AL72" s="187"/>
      <c r="AM72" s="187"/>
      <c r="AN72" s="187"/>
      <c r="AO72" s="187"/>
      <c r="AP72" s="187"/>
      <c r="AQ72" s="62"/>
      <c r="AR72" s="62"/>
      <c r="AS72" s="62"/>
      <c r="AT72" s="62"/>
      <c r="AU72" s="62"/>
      <c r="AV72" s="171"/>
      <c r="AW72" s="172" t="s">
        <v>354</v>
      </c>
      <c r="AX72" s="114"/>
      <c r="AY72" s="136"/>
      <c r="AZ72" s="137"/>
      <c r="BA72" s="285">
        <f t="shared" si="10"/>
        <v>0</v>
      </c>
      <c r="BB72" s="286">
        <f t="shared" si="11"/>
        <v>0</v>
      </c>
      <c r="BC72" s="173" t="s">
        <v>408</v>
      </c>
      <c r="BD72" s="114"/>
      <c r="BE72" s="139"/>
      <c r="BF72" s="117"/>
      <c r="BG72" s="287">
        <f t="shared" si="12"/>
        <v>0</v>
      </c>
      <c r="BH72" s="289">
        <f t="shared" si="13"/>
        <v>0</v>
      </c>
      <c r="BI72" s="174" t="s">
        <v>409</v>
      </c>
      <c r="BJ72" s="114"/>
      <c r="BK72" s="117"/>
      <c r="BL72" s="290">
        <f t="shared" si="14"/>
        <v>0</v>
      </c>
      <c r="BM72" s="291">
        <f t="shared" si="15"/>
        <v>0</v>
      </c>
      <c r="DH72" s="119">
        <f t="shared" si="131"/>
        <v>1196.0870540412461</v>
      </c>
      <c r="DI72" s="120">
        <f t="shared" si="132"/>
        <v>0</v>
      </c>
      <c r="DJ72" s="120">
        <f t="shared" si="133"/>
        <v>0</v>
      </c>
      <c r="DK72" s="120">
        <f t="shared" si="134"/>
        <v>0</v>
      </c>
      <c r="DL72" s="120">
        <f t="shared" si="135"/>
        <v>0</v>
      </c>
      <c r="DM72" s="120">
        <f t="shared" si="136"/>
        <v>0</v>
      </c>
      <c r="DN72" s="120">
        <f t="shared" si="137"/>
        <v>0</v>
      </c>
      <c r="DO72" s="120">
        <f t="shared" si="138"/>
        <v>0</v>
      </c>
      <c r="DP72" s="120">
        <f t="shared" si="139"/>
        <v>0</v>
      </c>
      <c r="DQ72" s="120">
        <f t="shared" si="140"/>
        <v>0</v>
      </c>
      <c r="DR72" s="120">
        <f t="shared" si="141"/>
        <v>0</v>
      </c>
      <c r="DS72" s="120">
        <f t="shared" si="142"/>
        <v>0</v>
      </c>
      <c r="DT72" s="120">
        <f t="shared" si="143"/>
        <v>0</v>
      </c>
      <c r="DU72" s="120">
        <f t="shared" si="144"/>
        <v>0</v>
      </c>
      <c r="DV72" s="120">
        <f t="shared" si="145"/>
        <v>0</v>
      </c>
      <c r="DW72" s="120">
        <f t="shared" si="146"/>
        <v>0</v>
      </c>
      <c r="DX72" s="120">
        <f t="shared" si="147"/>
        <v>0</v>
      </c>
      <c r="DY72" s="120">
        <f t="shared" si="148"/>
        <v>0</v>
      </c>
      <c r="DZ72" s="120">
        <f t="shared" si="149"/>
        <v>0</v>
      </c>
      <c r="EA72" s="120">
        <f t="shared" si="150"/>
        <v>0</v>
      </c>
      <c r="EB72" s="120">
        <f t="shared" si="151"/>
        <v>0</v>
      </c>
      <c r="EC72" s="120">
        <f t="shared" si="152"/>
        <v>0</v>
      </c>
      <c r="ED72" s="120">
        <f t="shared" si="153"/>
        <v>0</v>
      </c>
      <c r="EE72" s="120">
        <f t="shared" si="154"/>
        <v>0</v>
      </c>
      <c r="EF72" s="120">
        <f t="shared" si="155"/>
        <v>0</v>
      </c>
      <c r="EG72" s="120">
        <f t="shared" si="156"/>
        <v>0</v>
      </c>
      <c r="EH72" s="120">
        <f t="shared" si="157"/>
        <v>0</v>
      </c>
      <c r="EI72" s="120">
        <f t="shared" si="158"/>
        <v>0</v>
      </c>
      <c r="EJ72" s="120">
        <f t="shared" si="159"/>
        <v>0</v>
      </c>
      <c r="EK72" s="120">
        <f t="shared" si="160"/>
        <v>0</v>
      </c>
      <c r="EL72" s="120">
        <f t="shared" si="161"/>
        <v>0</v>
      </c>
      <c r="EM72" s="120">
        <f t="shared" si="162"/>
        <v>0</v>
      </c>
      <c r="EN72" s="120">
        <f t="shared" si="163"/>
        <v>0</v>
      </c>
      <c r="EO72" s="120">
        <f t="shared" si="164"/>
        <v>0</v>
      </c>
      <c r="EP72" s="120">
        <f t="shared" si="165"/>
        <v>0</v>
      </c>
      <c r="EQ72" s="120">
        <f t="shared" si="166"/>
        <v>0</v>
      </c>
      <c r="ER72" s="120">
        <f t="shared" si="167"/>
        <v>0</v>
      </c>
      <c r="ES72" s="120">
        <f t="shared" si="168"/>
        <v>0</v>
      </c>
      <c r="ET72" s="120">
        <f t="shared" si="169"/>
        <v>0</v>
      </c>
      <c r="EU72" s="120">
        <f t="shared" si="170"/>
        <v>0</v>
      </c>
      <c r="EV72" s="120">
        <f t="shared" si="171"/>
        <v>0</v>
      </c>
      <c r="EW72" s="205">
        <f t="shared" si="172"/>
        <v>0</v>
      </c>
      <c r="EX72" s="72"/>
      <c r="EY72" s="119">
        <f t="shared" si="173"/>
        <v>1196.0870540412461</v>
      </c>
      <c r="EZ72" s="120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0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0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0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0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0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0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0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0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0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0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0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0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0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0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0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0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0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0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0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0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0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0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0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0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0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0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0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0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0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0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0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0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0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0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0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0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0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0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0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5">
        <f t="shared" ca="1" si="174"/>
        <v>0</v>
      </c>
    </row>
    <row r="73" spans="1:196">
      <c r="A73" s="819" t="s">
        <v>409</v>
      </c>
      <c r="B73" s="207"/>
      <c r="C73" s="208"/>
      <c r="D73" s="209"/>
      <c r="E73" s="210">
        <f>-C73*B73</f>
        <v>0</v>
      </c>
      <c r="F73" s="211">
        <f>IF(B73&gt;0,-C73*(1+($Q$52+0.0008)*1.21)*B73,-C73*(1-($Q$52+0.0008)*1.21)*B73)</f>
        <v>0</v>
      </c>
      <c r="G73" s="273">
        <f>B76</f>
        <v>2330</v>
      </c>
      <c r="H73" s="212">
        <f>-G73*B73</f>
        <v>0</v>
      </c>
      <c r="I73" s="213">
        <f>F73-H73</f>
        <v>0</v>
      </c>
      <c r="J73" s="62"/>
      <c r="K73" s="62"/>
      <c r="L73" s="63"/>
      <c r="M73" s="63"/>
      <c r="N73" s="187"/>
      <c r="O73" s="187"/>
      <c r="P73" s="187"/>
      <c r="Q73" s="187"/>
      <c r="R73" s="187"/>
      <c r="S73" s="186"/>
      <c r="T73" s="187"/>
      <c r="U73" s="188"/>
      <c r="V73" s="187"/>
      <c r="W73" s="187"/>
      <c r="X73" s="187"/>
      <c r="Y73" s="187"/>
      <c r="Z73" s="187"/>
      <c r="AA73" s="187"/>
      <c r="AB73" s="187"/>
      <c r="AC73" s="187"/>
      <c r="AD73" s="187"/>
      <c r="AE73" s="186"/>
      <c r="AF73" s="187"/>
      <c r="AG73" s="188"/>
      <c r="AH73" s="187"/>
      <c r="AI73" s="187"/>
      <c r="AJ73" s="187"/>
      <c r="AK73" s="187"/>
      <c r="AL73" s="187"/>
      <c r="AM73" s="187"/>
      <c r="AN73" s="187"/>
      <c r="AO73" s="187"/>
      <c r="AP73" s="187"/>
      <c r="AQ73" s="62"/>
      <c r="AR73" s="62"/>
      <c r="AS73" s="62"/>
      <c r="AT73" s="62"/>
      <c r="AU73" s="62"/>
      <c r="AV73" s="171"/>
      <c r="AW73" s="172" t="s">
        <v>354</v>
      </c>
      <c r="AX73" s="114"/>
      <c r="AY73" s="136"/>
      <c r="AZ73" s="137"/>
      <c r="BA73" s="285">
        <f t="shared" si="10"/>
        <v>0</v>
      </c>
      <c r="BB73" s="286">
        <f t="shared" si="11"/>
        <v>0</v>
      </c>
      <c r="BC73" s="173" t="s">
        <v>408</v>
      </c>
      <c r="BD73" s="114"/>
      <c r="BE73" s="139"/>
      <c r="BF73" s="117"/>
      <c r="BG73" s="287">
        <f t="shared" si="12"/>
        <v>0</v>
      </c>
      <c r="BH73" s="289">
        <f t="shared" si="13"/>
        <v>0</v>
      </c>
      <c r="BI73" s="174" t="s">
        <v>409</v>
      </c>
      <c r="BJ73" s="114"/>
      <c r="BK73" s="117"/>
      <c r="BL73" s="290">
        <f t="shared" si="14"/>
        <v>0</v>
      </c>
      <c r="BM73" s="291">
        <f t="shared" si="15"/>
        <v>0</v>
      </c>
      <c r="DH73" s="119">
        <f t="shared" si="131"/>
        <v>1259.0390042539434</v>
      </c>
      <c r="DI73" s="120">
        <f t="shared" si="132"/>
        <v>0</v>
      </c>
      <c r="DJ73" s="120">
        <f t="shared" si="133"/>
        <v>0</v>
      </c>
      <c r="DK73" s="120">
        <f t="shared" si="134"/>
        <v>0</v>
      </c>
      <c r="DL73" s="120">
        <f t="shared" si="135"/>
        <v>0</v>
      </c>
      <c r="DM73" s="120">
        <f t="shared" si="136"/>
        <v>0</v>
      </c>
      <c r="DN73" s="120">
        <f t="shared" si="137"/>
        <v>0</v>
      </c>
      <c r="DO73" s="120">
        <f t="shared" si="138"/>
        <v>0</v>
      </c>
      <c r="DP73" s="120">
        <f t="shared" si="139"/>
        <v>0</v>
      </c>
      <c r="DQ73" s="120">
        <f t="shared" si="140"/>
        <v>0</v>
      </c>
      <c r="DR73" s="120">
        <f t="shared" si="141"/>
        <v>0</v>
      </c>
      <c r="DS73" s="120">
        <f t="shared" si="142"/>
        <v>0</v>
      </c>
      <c r="DT73" s="120">
        <f t="shared" si="143"/>
        <v>0</v>
      </c>
      <c r="DU73" s="120">
        <f t="shared" si="144"/>
        <v>0</v>
      </c>
      <c r="DV73" s="120">
        <f t="shared" si="145"/>
        <v>0</v>
      </c>
      <c r="DW73" s="120">
        <f t="shared" si="146"/>
        <v>0</v>
      </c>
      <c r="DX73" s="120">
        <f t="shared" si="147"/>
        <v>0</v>
      </c>
      <c r="DY73" s="120">
        <f t="shared" si="148"/>
        <v>0</v>
      </c>
      <c r="DZ73" s="120">
        <f t="shared" si="149"/>
        <v>0</v>
      </c>
      <c r="EA73" s="120">
        <f t="shared" si="150"/>
        <v>0</v>
      </c>
      <c r="EB73" s="120">
        <f t="shared" si="151"/>
        <v>0</v>
      </c>
      <c r="EC73" s="120">
        <f t="shared" si="152"/>
        <v>0</v>
      </c>
      <c r="ED73" s="120">
        <f t="shared" si="153"/>
        <v>0</v>
      </c>
      <c r="EE73" s="120">
        <f t="shared" si="154"/>
        <v>0</v>
      </c>
      <c r="EF73" s="120">
        <f t="shared" si="155"/>
        <v>0</v>
      </c>
      <c r="EG73" s="120">
        <f t="shared" si="156"/>
        <v>0</v>
      </c>
      <c r="EH73" s="120">
        <f t="shared" si="157"/>
        <v>0</v>
      </c>
      <c r="EI73" s="120">
        <f t="shared" si="158"/>
        <v>0</v>
      </c>
      <c r="EJ73" s="120">
        <f t="shared" si="159"/>
        <v>0</v>
      </c>
      <c r="EK73" s="120">
        <f t="shared" si="160"/>
        <v>0</v>
      </c>
      <c r="EL73" s="120">
        <f t="shared" si="161"/>
        <v>0</v>
      </c>
      <c r="EM73" s="120">
        <f t="shared" si="162"/>
        <v>0</v>
      </c>
      <c r="EN73" s="120">
        <f t="shared" si="163"/>
        <v>0</v>
      </c>
      <c r="EO73" s="120">
        <f t="shared" si="164"/>
        <v>0</v>
      </c>
      <c r="EP73" s="120">
        <f t="shared" si="165"/>
        <v>0</v>
      </c>
      <c r="EQ73" s="120">
        <f t="shared" si="166"/>
        <v>0</v>
      </c>
      <c r="ER73" s="120">
        <f t="shared" si="167"/>
        <v>0</v>
      </c>
      <c r="ES73" s="120">
        <f t="shared" si="168"/>
        <v>0</v>
      </c>
      <c r="ET73" s="120">
        <f t="shared" si="169"/>
        <v>0</v>
      </c>
      <c r="EU73" s="120">
        <f t="shared" si="170"/>
        <v>0</v>
      </c>
      <c r="EV73" s="120">
        <f t="shared" si="171"/>
        <v>0</v>
      </c>
      <c r="EW73" s="205">
        <f t="shared" si="172"/>
        <v>0</v>
      </c>
      <c r="EX73" s="72"/>
      <c r="EY73" s="119">
        <f t="shared" si="173"/>
        <v>1259.0390042539434</v>
      </c>
      <c r="EZ73" s="120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0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0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0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0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0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0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0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0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0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0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0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0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0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0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0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0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0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0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0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0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0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0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0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0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0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0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0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0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0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0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0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0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0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0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0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0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0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0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0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5">
        <f t="shared" ca="1" si="174"/>
        <v>0</v>
      </c>
    </row>
    <row r="74" spans="1:196">
      <c r="A74" s="820"/>
      <c r="B74" s="169"/>
      <c r="C74" s="133"/>
      <c r="D74" s="214"/>
      <c r="E74" s="215">
        <f>-C74*B74</f>
        <v>0</v>
      </c>
      <c r="F74" s="216">
        <f>IF(B74&gt;0,-C74*(1+($Q$52+0.0008)*1.21)*B74,-C74*(1-($Q$52+0.0008)*1.21)*B74)</f>
        <v>0</v>
      </c>
      <c r="G74" s="273">
        <f>G73</f>
        <v>2330</v>
      </c>
      <c r="H74" s="212">
        <f>-G74*B74</f>
        <v>0</v>
      </c>
      <c r="I74" s="213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1"/>
      <c r="AW74" s="172" t="s">
        <v>354</v>
      </c>
      <c r="AX74" s="114"/>
      <c r="AY74" s="136"/>
      <c r="AZ74" s="137"/>
      <c r="BA74" s="285">
        <f t="shared" si="10"/>
        <v>0</v>
      </c>
      <c r="BB74" s="286">
        <f t="shared" si="11"/>
        <v>0</v>
      </c>
      <c r="BC74" s="173" t="s">
        <v>408</v>
      </c>
      <c r="BD74" s="114"/>
      <c r="BE74" s="139"/>
      <c r="BF74" s="117"/>
      <c r="BG74" s="287">
        <f t="shared" si="12"/>
        <v>0</v>
      </c>
      <c r="BH74" s="289">
        <f t="shared" si="13"/>
        <v>0</v>
      </c>
      <c r="BI74" s="174" t="s">
        <v>409</v>
      </c>
      <c r="BJ74" s="114"/>
      <c r="BK74" s="117"/>
      <c r="BL74" s="290">
        <f t="shared" si="14"/>
        <v>0</v>
      </c>
      <c r="BM74" s="291">
        <f t="shared" si="15"/>
        <v>0</v>
      </c>
      <c r="DH74" s="119">
        <f t="shared" si="131"/>
        <v>1325.304215004151</v>
      </c>
      <c r="DI74" s="120">
        <f t="shared" si="132"/>
        <v>0</v>
      </c>
      <c r="DJ74" s="120">
        <f t="shared" si="133"/>
        <v>0</v>
      </c>
      <c r="DK74" s="120">
        <f t="shared" si="134"/>
        <v>0</v>
      </c>
      <c r="DL74" s="120">
        <f t="shared" si="135"/>
        <v>0</v>
      </c>
      <c r="DM74" s="120">
        <f t="shared" si="136"/>
        <v>0</v>
      </c>
      <c r="DN74" s="120">
        <f t="shared" si="137"/>
        <v>0</v>
      </c>
      <c r="DO74" s="120">
        <f t="shared" si="138"/>
        <v>0</v>
      </c>
      <c r="DP74" s="120">
        <f t="shared" si="139"/>
        <v>0</v>
      </c>
      <c r="DQ74" s="120">
        <f t="shared" si="140"/>
        <v>0</v>
      </c>
      <c r="DR74" s="120">
        <f t="shared" si="141"/>
        <v>0</v>
      </c>
      <c r="DS74" s="120">
        <f t="shared" si="142"/>
        <v>0</v>
      </c>
      <c r="DT74" s="120">
        <f t="shared" si="143"/>
        <v>0</v>
      </c>
      <c r="DU74" s="120">
        <f t="shared" si="144"/>
        <v>0</v>
      </c>
      <c r="DV74" s="120">
        <f t="shared" si="145"/>
        <v>0</v>
      </c>
      <c r="DW74" s="120">
        <f t="shared" si="146"/>
        <v>0</v>
      </c>
      <c r="DX74" s="120">
        <f t="shared" si="147"/>
        <v>0</v>
      </c>
      <c r="DY74" s="120">
        <f t="shared" si="148"/>
        <v>0</v>
      </c>
      <c r="DZ74" s="120">
        <f t="shared" si="149"/>
        <v>0</v>
      </c>
      <c r="EA74" s="120">
        <f t="shared" si="150"/>
        <v>0</v>
      </c>
      <c r="EB74" s="120">
        <f t="shared" si="151"/>
        <v>0</v>
      </c>
      <c r="EC74" s="120">
        <f t="shared" si="152"/>
        <v>0</v>
      </c>
      <c r="ED74" s="120">
        <f t="shared" si="153"/>
        <v>0</v>
      </c>
      <c r="EE74" s="120">
        <f t="shared" si="154"/>
        <v>0</v>
      </c>
      <c r="EF74" s="120">
        <f t="shared" si="155"/>
        <v>0</v>
      </c>
      <c r="EG74" s="120">
        <f t="shared" si="156"/>
        <v>0</v>
      </c>
      <c r="EH74" s="120">
        <f t="shared" si="157"/>
        <v>0</v>
      </c>
      <c r="EI74" s="120">
        <f t="shared" si="158"/>
        <v>0</v>
      </c>
      <c r="EJ74" s="120">
        <f t="shared" si="159"/>
        <v>0</v>
      </c>
      <c r="EK74" s="120">
        <f t="shared" si="160"/>
        <v>0</v>
      </c>
      <c r="EL74" s="120">
        <f t="shared" si="161"/>
        <v>0</v>
      </c>
      <c r="EM74" s="120">
        <f t="shared" si="162"/>
        <v>0</v>
      </c>
      <c r="EN74" s="120">
        <f t="shared" si="163"/>
        <v>0</v>
      </c>
      <c r="EO74" s="120">
        <f t="shared" si="164"/>
        <v>0</v>
      </c>
      <c r="EP74" s="120">
        <f t="shared" si="165"/>
        <v>0</v>
      </c>
      <c r="EQ74" s="120">
        <f t="shared" si="166"/>
        <v>0</v>
      </c>
      <c r="ER74" s="120">
        <f t="shared" si="167"/>
        <v>0</v>
      </c>
      <c r="ES74" s="120">
        <f t="shared" si="168"/>
        <v>0</v>
      </c>
      <c r="ET74" s="120">
        <f t="shared" si="169"/>
        <v>0</v>
      </c>
      <c r="EU74" s="120">
        <f t="shared" si="170"/>
        <v>0</v>
      </c>
      <c r="EV74" s="120">
        <f t="shared" si="171"/>
        <v>0</v>
      </c>
      <c r="EW74" s="205">
        <f t="shared" si="172"/>
        <v>0</v>
      </c>
      <c r="EX74" s="72"/>
      <c r="EY74" s="119">
        <f t="shared" si="173"/>
        <v>1325.304215004151</v>
      </c>
      <c r="EZ74" s="120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0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0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0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0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0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0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0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0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0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0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0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0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0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0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0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0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0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0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0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0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0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0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0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0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0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0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0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0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0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0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0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0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0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0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0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0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0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0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0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5">
        <f t="shared" ca="1" si="174"/>
        <v>0</v>
      </c>
    </row>
    <row r="75" spans="1:196" ht="13.5" thickBot="1">
      <c r="A75" s="821"/>
      <c r="B75" s="206"/>
      <c r="C75" s="217"/>
      <c r="D75" s="218"/>
      <c r="E75" s="219">
        <f>-C75*B75</f>
        <v>0</v>
      </c>
      <c r="F75" s="220">
        <f>IF(B75&gt;0,-C75*(1+($Q$52+0.0008)*1.21)*B75,-C75*(1-($Q$52+0.0008)*1.21)*B75)</f>
        <v>0</v>
      </c>
      <c r="G75" s="274">
        <f>G74</f>
        <v>2330</v>
      </c>
      <c r="H75" s="221">
        <f>-G75*B75</f>
        <v>0</v>
      </c>
      <c r="I75" s="222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1"/>
      <c r="AW75" s="172" t="s">
        <v>354</v>
      </c>
      <c r="AX75" s="114"/>
      <c r="AY75" s="136"/>
      <c r="AZ75" s="137"/>
      <c r="BA75" s="285">
        <f t="shared" si="10"/>
        <v>0</v>
      </c>
      <c r="BB75" s="286">
        <f t="shared" si="11"/>
        <v>0</v>
      </c>
      <c r="BC75" s="173" t="s">
        <v>408</v>
      </c>
      <c r="BD75" s="114"/>
      <c r="BE75" s="139"/>
      <c r="BF75" s="117"/>
      <c r="BG75" s="287">
        <f t="shared" si="12"/>
        <v>0</v>
      </c>
      <c r="BH75" s="289">
        <f t="shared" si="13"/>
        <v>0</v>
      </c>
      <c r="BI75" s="174" t="s">
        <v>409</v>
      </c>
      <c r="BJ75" s="114"/>
      <c r="BK75" s="117"/>
      <c r="BL75" s="290">
        <f t="shared" si="14"/>
        <v>0</v>
      </c>
      <c r="BM75" s="291">
        <f t="shared" si="15"/>
        <v>0</v>
      </c>
      <c r="DH75" s="119">
        <f t="shared" si="131"/>
        <v>1395.0570684254221</v>
      </c>
      <c r="DI75" s="120">
        <f t="shared" si="132"/>
        <v>0</v>
      </c>
      <c r="DJ75" s="120">
        <f t="shared" si="133"/>
        <v>0</v>
      </c>
      <c r="DK75" s="120">
        <f t="shared" si="134"/>
        <v>0</v>
      </c>
      <c r="DL75" s="120">
        <f t="shared" si="135"/>
        <v>0</v>
      </c>
      <c r="DM75" s="120">
        <f t="shared" si="136"/>
        <v>0</v>
      </c>
      <c r="DN75" s="120">
        <f t="shared" si="137"/>
        <v>0</v>
      </c>
      <c r="DO75" s="120">
        <f t="shared" si="138"/>
        <v>0</v>
      </c>
      <c r="DP75" s="120">
        <f t="shared" si="139"/>
        <v>0</v>
      </c>
      <c r="DQ75" s="120">
        <f t="shared" si="140"/>
        <v>0</v>
      </c>
      <c r="DR75" s="120">
        <f t="shared" si="141"/>
        <v>0</v>
      </c>
      <c r="DS75" s="120">
        <f t="shared" si="142"/>
        <v>0</v>
      </c>
      <c r="DT75" s="120">
        <f t="shared" si="143"/>
        <v>0</v>
      </c>
      <c r="DU75" s="120">
        <f t="shared" si="144"/>
        <v>0</v>
      </c>
      <c r="DV75" s="120">
        <f t="shared" si="145"/>
        <v>0</v>
      </c>
      <c r="DW75" s="120">
        <f t="shared" si="146"/>
        <v>0</v>
      </c>
      <c r="DX75" s="120">
        <f t="shared" si="147"/>
        <v>0</v>
      </c>
      <c r="DY75" s="120">
        <f t="shared" si="148"/>
        <v>0</v>
      </c>
      <c r="DZ75" s="120">
        <f t="shared" si="149"/>
        <v>0</v>
      </c>
      <c r="EA75" s="120">
        <f t="shared" si="150"/>
        <v>0</v>
      </c>
      <c r="EB75" s="120">
        <f t="shared" si="151"/>
        <v>0</v>
      </c>
      <c r="EC75" s="120">
        <f t="shared" si="152"/>
        <v>0</v>
      </c>
      <c r="ED75" s="120">
        <f t="shared" si="153"/>
        <v>0</v>
      </c>
      <c r="EE75" s="120">
        <f t="shared" si="154"/>
        <v>0</v>
      </c>
      <c r="EF75" s="120">
        <f t="shared" si="155"/>
        <v>0</v>
      </c>
      <c r="EG75" s="120">
        <f t="shared" si="156"/>
        <v>0</v>
      </c>
      <c r="EH75" s="120">
        <f t="shared" si="157"/>
        <v>0</v>
      </c>
      <c r="EI75" s="120">
        <f t="shared" si="158"/>
        <v>0</v>
      </c>
      <c r="EJ75" s="120">
        <f t="shared" si="159"/>
        <v>0</v>
      </c>
      <c r="EK75" s="120">
        <f t="shared" si="160"/>
        <v>0</v>
      </c>
      <c r="EL75" s="120">
        <f t="shared" si="161"/>
        <v>0</v>
      </c>
      <c r="EM75" s="120">
        <f t="shared" si="162"/>
        <v>0</v>
      </c>
      <c r="EN75" s="120">
        <f t="shared" si="163"/>
        <v>0</v>
      </c>
      <c r="EO75" s="120">
        <f t="shared" si="164"/>
        <v>0</v>
      </c>
      <c r="EP75" s="120">
        <f t="shared" si="165"/>
        <v>0</v>
      </c>
      <c r="EQ75" s="120">
        <f t="shared" si="166"/>
        <v>0</v>
      </c>
      <c r="ER75" s="120">
        <f t="shared" si="167"/>
        <v>0</v>
      </c>
      <c r="ES75" s="120">
        <f t="shared" si="168"/>
        <v>0</v>
      </c>
      <c r="ET75" s="120">
        <f t="shared" si="169"/>
        <v>0</v>
      </c>
      <c r="EU75" s="120">
        <f t="shared" si="170"/>
        <v>0</v>
      </c>
      <c r="EV75" s="120">
        <f t="shared" si="171"/>
        <v>0</v>
      </c>
      <c r="EW75" s="205">
        <f t="shared" si="172"/>
        <v>0</v>
      </c>
      <c r="EX75" s="72"/>
      <c r="EY75" s="119">
        <f t="shared" si="173"/>
        <v>1395.0570684254221</v>
      </c>
      <c r="EZ75" s="120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0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0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0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0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0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0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0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0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0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0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0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0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0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0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0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0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0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0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0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0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0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0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0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0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0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0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0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0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0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0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0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0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0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0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0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0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0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0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0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5">
        <f t="shared" ca="1" si="174"/>
        <v>0</v>
      </c>
    </row>
    <row r="76" spans="1:196" ht="13.5" thickBot="1">
      <c r="A76" s="223" t="s">
        <v>466</v>
      </c>
      <c r="B76" s="275">
        <f>IFERROR(VLOOKUP("GGAL - 48hs",HomeBroker!$A$22:$F$100,6,0),0)</f>
        <v>2330</v>
      </c>
      <c r="C76" s="224"/>
      <c r="D76" s="225" t="s">
        <v>467</v>
      </c>
      <c r="E76" s="226">
        <f>SUM(E3:E75)</f>
        <v>0</v>
      </c>
      <c r="F76" s="227">
        <f>SUM(F3:F75)</f>
        <v>0</v>
      </c>
      <c r="G76" s="228"/>
      <c r="H76" s="229"/>
      <c r="I76" s="230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1"/>
      <c r="AW76" s="172" t="s">
        <v>354</v>
      </c>
      <c r="AX76" s="114"/>
      <c r="AY76" s="136"/>
      <c r="AZ76" s="137"/>
      <c r="BA76" s="285">
        <f t="shared" si="10"/>
        <v>0</v>
      </c>
      <c r="BB76" s="286">
        <f t="shared" si="11"/>
        <v>0</v>
      </c>
      <c r="BC76" s="173" t="s">
        <v>408</v>
      </c>
      <c r="BD76" s="114"/>
      <c r="BE76" s="139"/>
      <c r="BF76" s="117"/>
      <c r="BG76" s="287">
        <f t="shared" si="12"/>
        <v>0</v>
      </c>
      <c r="BH76" s="289">
        <f t="shared" si="13"/>
        <v>0</v>
      </c>
      <c r="BI76" s="174" t="s">
        <v>409</v>
      </c>
      <c r="BJ76" s="114"/>
      <c r="BK76" s="117"/>
      <c r="BL76" s="290">
        <f t="shared" si="14"/>
        <v>0</v>
      </c>
      <c r="BM76" s="291">
        <f t="shared" si="15"/>
        <v>0</v>
      </c>
      <c r="DH76" s="119">
        <f t="shared" si="131"/>
        <v>1468.4811246583392</v>
      </c>
      <c r="DI76" s="120">
        <f t="shared" si="132"/>
        <v>0</v>
      </c>
      <c r="DJ76" s="120">
        <f t="shared" si="133"/>
        <v>0</v>
      </c>
      <c r="DK76" s="120">
        <f t="shared" si="134"/>
        <v>0</v>
      </c>
      <c r="DL76" s="120">
        <f t="shared" si="135"/>
        <v>0</v>
      </c>
      <c r="DM76" s="120">
        <f t="shared" si="136"/>
        <v>0</v>
      </c>
      <c r="DN76" s="120">
        <f t="shared" si="137"/>
        <v>0</v>
      </c>
      <c r="DO76" s="120">
        <f t="shared" si="138"/>
        <v>0</v>
      </c>
      <c r="DP76" s="120">
        <f t="shared" si="139"/>
        <v>0</v>
      </c>
      <c r="DQ76" s="120">
        <f t="shared" si="140"/>
        <v>0</v>
      </c>
      <c r="DR76" s="120">
        <f t="shared" si="141"/>
        <v>0</v>
      </c>
      <c r="DS76" s="120">
        <f t="shared" si="142"/>
        <v>0</v>
      </c>
      <c r="DT76" s="120">
        <f t="shared" si="143"/>
        <v>0</v>
      </c>
      <c r="DU76" s="120">
        <f t="shared" si="144"/>
        <v>0</v>
      </c>
      <c r="DV76" s="120">
        <f t="shared" si="145"/>
        <v>0</v>
      </c>
      <c r="DW76" s="120">
        <f t="shared" si="146"/>
        <v>0</v>
      </c>
      <c r="DX76" s="120">
        <f t="shared" si="147"/>
        <v>0</v>
      </c>
      <c r="DY76" s="120">
        <f t="shared" si="148"/>
        <v>0</v>
      </c>
      <c r="DZ76" s="120">
        <f t="shared" si="149"/>
        <v>0</v>
      </c>
      <c r="EA76" s="120">
        <f t="shared" si="150"/>
        <v>0</v>
      </c>
      <c r="EB76" s="120">
        <f t="shared" si="151"/>
        <v>0</v>
      </c>
      <c r="EC76" s="120">
        <f t="shared" si="152"/>
        <v>0</v>
      </c>
      <c r="ED76" s="120">
        <f t="shared" si="153"/>
        <v>0</v>
      </c>
      <c r="EE76" s="120">
        <f t="shared" si="154"/>
        <v>0</v>
      </c>
      <c r="EF76" s="120">
        <f t="shared" si="155"/>
        <v>0</v>
      </c>
      <c r="EG76" s="120">
        <f t="shared" si="156"/>
        <v>0</v>
      </c>
      <c r="EH76" s="120">
        <f t="shared" si="157"/>
        <v>0</v>
      </c>
      <c r="EI76" s="120">
        <f t="shared" si="158"/>
        <v>0</v>
      </c>
      <c r="EJ76" s="120">
        <f t="shared" si="159"/>
        <v>0</v>
      </c>
      <c r="EK76" s="120">
        <f t="shared" si="160"/>
        <v>0</v>
      </c>
      <c r="EL76" s="120">
        <f t="shared" si="161"/>
        <v>0</v>
      </c>
      <c r="EM76" s="120">
        <f t="shared" si="162"/>
        <v>0</v>
      </c>
      <c r="EN76" s="120">
        <f t="shared" si="163"/>
        <v>0</v>
      </c>
      <c r="EO76" s="120">
        <f t="shared" si="164"/>
        <v>0</v>
      </c>
      <c r="EP76" s="120">
        <f t="shared" si="165"/>
        <v>0</v>
      </c>
      <c r="EQ76" s="120">
        <f t="shared" si="166"/>
        <v>0</v>
      </c>
      <c r="ER76" s="120">
        <f t="shared" si="167"/>
        <v>0</v>
      </c>
      <c r="ES76" s="120">
        <f t="shared" si="168"/>
        <v>0</v>
      </c>
      <c r="ET76" s="120">
        <f t="shared" si="169"/>
        <v>0</v>
      </c>
      <c r="EU76" s="120">
        <f t="shared" si="170"/>
        <v>0</v>
      </c>
      <c r="EV76" s="120">
        <f t="shared" si="171"/>
        <v>0</v>
      </c>
      <c r="EW76" s="205">
        <f t="shared" si="172"/>
        <v>0</v>
      </c>
      <c r="EX76" s="72"/>
      <c r="EY76" s="119">
        <f t="shared" si="173"/>
        <v>1468.4811246583392</v>
      </c>
      <c r="EZ76" s="120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0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0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0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0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0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0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0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0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0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0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0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0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0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0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0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0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0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0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0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0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0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0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0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0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0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0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0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0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0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0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0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0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0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0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0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0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0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0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0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5">
        <f t="shared" ca="1" si="174"/>
        <v>0</v>
      </c>
    </row>
    <row r="77" spans="1:196">
      <c r="DH77" s="119">
        <f t="shared" si="131"/>
        <v>1545.7696049035151</v>
      </c>
      <c r="DI77" s="120">
        <f t="shared" si="132"/>
        <v>0</v>
      </c>
      <c r="DJ77" s="120">
        <f t="shared" si="133"/>
        <v>0</v>
      </c>
      <c r="DK77" s="120">
        <f t="shared" si="134"/>
        <v>0</v>
      </c>
      <c r="DL77" s="120">
        <f t="shared" si="135"/>
        <v>0</v>
      </c>
      <c r="DM77" s="120">
        <f t="shared" si="136"/>
        <v>0</v>
      </c>
      <c r="DN77" s="120">
        <f t="shared" si="137"/>
        <v>0</v>
      </c>
      <c r="DO77" s="120">
        <f t="shared" si="138"/>
        <v>0</v>
      </c>
      <c r="DP77" s="120">
        <f t="shared" si="139"/>
        <v>0</v>
      </c>
      <c r="DQ77" s="120">
        <f t="shared" si="140"/>
        <v>0</v>
      </c>
      <c r="DR77" s="120">
        <f t="shared" si="141"/>
        <v>0</v>
      </c>
      <c r="DS77" s="120">
        <f t="shared" si="142"/>
        <v>0</v>
      </c>
      <c r="DT77" s="120">
        <f t="shared" si="143"/>
        <v>0</v>
      </c>
      <c r="DU77" s="120">
        <f t="shared" si="144"/>
        <v>0</v>
      </c>
      <c r="DV77" s="120">
        <f t="shared" si="145"/>
        <v>0</v>
      </c>
      <c r="DW77" s="120">
        <f t="shared" si="146"/>
        <v>0</v>
      </c>
      <c r="DX77" s="120">
        <f t="shared" si="147"/>
        <v>0</v>
      </c>
      <c r="DY77" s="120">
        <f t="shared" si="148"/>
        <v>0</v>
      </c>
      <c r="DZ77" s="120">
        <f t="shared" si="149"/>
        <v>0</v>
      </c>
      <c r="EA77" s="120">
        <f t="shared" si="150"/>
        <v>0</v>
      </c>
      <c r="EB77" s="120">
        <f t="shared" si="151"/>
        <v>0</v>
      </c>
      <c r="EC77" s="120">
        <f t="shared" si="152"/>
        <v>0</v>
      </c>
      <c r="ED77" s="120">
        <f t="shared" si="153"/>
        <v>0</v>
      </c>
      <c r="EE77" s="120">
        <f t="shared" si="154"/>
        <v>0</v>
      </c>
      <c r="EF77" s="120">
        <f t="shared" si="155"/>
        <v>0</v>
      </c>
      <c r="EG77" s="120">
        <f t="shared" si="156"/>
        <v>0</v>
      </c>
      <c r="EH77" s="120">
        <f t="shared" si="157"/>
        <v>0</v>
      </c>
      <c r="EI77" s="120">
        <f t="shared" si="158"/>
        <v>0</v>
      </c>
      <c r="EJ77" s="120">
        <f t="shared" si="159"/>
        <v>0</v>
      </c>
      <c r="EK77" s="120">
        <f t="shared" si="160"/>
        <v>0</v>
      </c>
      <c r="EL77" s="120">
        <f t="shared" si="161"/>
        <v>0</v>
      </c>
      <c r="EM77" s="120">
        <f t="shared" si="162"/>
        <v>0</v>
      </c>
      <c r="EN77" s="120">
        <f t="shared" si="163"/>
        <v>0</v>
      </c>
      <c r="EO77" s="120">
        <f t="shared" si="164"/>
        <v>0</v>
      </c>
      <c r="EP77" s="120">
        <f t="shared" si="165"/>
        <v>0</v>
      </c>
      <c r="EQ77" s="120">
        <f t="shared" si="166"/>
        <v>0</v>
      </c>
      <c r="ER77" s="120">
        <f t="shared" si="167"/>
        <v>0</v>
      </c>
      <c r="ES77" s="120">
        <f t="shared" si="168"/>
        <v>0</v>
      </c>
      <c r="ET77" s="120">
        <f t="shared" si="169"/>
        <v>0</v>
      </c>
      <c r="EU77" s="120">
        <f t="shared" si="170"/>
        <v>0</v>
      </c>
      <c r="EV77" s="120">
        <f t="shared" si="171"/>
        <v>0</v>
      </c>
      <c r="EW77" s="205">
        <f t="shared" si="172"/>
        <v>0</v>
      </c>
      <c r="EX77" s="72"/>
      <c r="EY77" s="119">
        <f t="shared" si="173"/>
        <v>1545.7696049035151</v>
      </c>
      <c r="EZ77" s="120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0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0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0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0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0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0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0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0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0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0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0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0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0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0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0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0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0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0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0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0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0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0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0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0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0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0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0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0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0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0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0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0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0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0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0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0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0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0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0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5">
        <f t="shared" ca="1" si="174"/>
        <v>0</v>
      </c>
    </row>
    <row r="78" spans="1:196">
      <c r="DH78" s="119">
        <f t="shared" si="131"/>
        <v>1627.125899898437</v>
      </c>
      <c r="DI78" s="120">
        <f t="shared" si="132"/>
        <v>0</v>
      </c>
      <c r="DJ78" s="120">
        <f t="shared" si="133"/>
        <v>0</v>
      </c>
      <c r="DK78" s="120">
        <f t="shared" si="134"/>
        <v>0</v>
      </c>
      <c r="DL78" s="120">
        <f t="shared" si="135"/>
        <v>0</v>
      </c>
      <c r="DM78" s="120">
        <f t="shared" si="136"/>
        <v>0</v>
      </c>
      <c r="DN78" s="120">
        <f t="shared" si="137"/>
        <v>0</v>
      </c>
      <c r="DO78" s="120">
        <f t="shared" si="138"/>
        <v>0</v>
      </c>
      <c r="DP78" s="120">
        <f t="shared" si="139"/>
        <v>0</v>
      </c>
      <c r="DQ78" s="120">
        <f t="shared" si="140"/>
        <v>0</v>
      </c>
      <c r="DR78" s="120">
        <f t="shared" si="141"/>
        <v>0</v>
      </c>
      <c r="DS78" s="120">
        <f t="shared" si="142"/>
        <v>0</v>
      </c>
      <c r="DT78" s="120">
        <f t="shared" si="143"/>
        <v>0</v>
      </c>
      <c r="DU78" s="120">
        <f t="shared" si="144"/>
        <v>0</v>
      </c>
      <c r="DV78" s="120">
        <f t="shared" si="145"/>
        <v>0</v>
      </c>
      <c r="DW78" s="120">
        <f t="shared" si="146"/>
        <v>0</v>
      </c>
      <c r="DX78" s="120">
        <f t="shared" si="147"/>
        <v>0</v>
      </c>
      <c r="DY78" s="120">
        <f t="shared" si="148"/>
        <v>0</v>
      </c>
      <c r="DZ78" s="120">
        <f t="shared" si="149"/>
        <v>0</v>
      </c>
      <c r="EA78" s="120">
        <f t="shared" si="150"/>
        <v>0</v>
      </c>
      <c r="EB78" s="120">
        <f t="shared" si="151"/>
        <v>0</v>
      </c>
      <c r="EC78" s="120">
        <f t="shared" si="152"/>
        <v>0</v>
      </c>
      <c r="ED78" s="120">
        <f t="shared" si="153"/>
        <v>0</v>
      </c>
      <c r="EE78" s="120">
        <f t="shared" si="154"/>
        <v>0</v>
      </c>
      <c r="EF78" s="120">
        <f t="shared" si="155"/>
        <v>0</v>
      </c>
      <c r="EG78" s="120">
        <f t="shared" si="156"/>
        <v>0</v>
      </c>
      <c r="EH78" s="120">
        <f t="shared" si="157"/>
        <v>0</v>
      </c>
      <c r="EI78" s="120">
        <f t="shared" si="158"/>
        <v>0</v>
      </c>
      <c r="EJ78" s="120">
        <f t="shared" si="159"/>
        <v>0</v>
      </c>
      <c r="EK78" s="120">
        <f t="shared" si="160"/>
        <v>0</v>
      </c>
      <c r="EL78" s="120">
        <f t="shared" si="161"/>
        <v>0</v>
      </c>
      <c r="EM78" s="120">
        <f t="shared" si="162"/>
        <v>0</v>
      </c>
      <c r="EN78" s="120">
        <f t="shared" si="163"/>
        <v>0</v>
      </c>
      <c r="EO78" s="120">
        <f t="shared" si="164"/>
        <v>0</v>
      </c>
      <c r="EP78" s="120">
        <f t="shared" si="165"/>
        <v>0</v>
      </c>
      <c r="EQ78" s="120">
        <f t="shared" si="166"/>
        <v>0</v>
      </c>
      <c r="ER78" s="120">
        <f t="shared" si="167"/>
        <v>0</v>
      </c>
      <c r="ES78" s="120">
        <f t="shared" si="168"/>
        <v>0</v>
      </c>
      <c r="ET78" s="120">
        <f t="shared" si="169"/>
        <v>0</v>
      </c>
      <c r="EU78" s="120">
        <f t="shared" si="170"/>
        <v>0</v>
      </c>
      <c r="EV78" s="120">
        <f t="shared" si="171"/>
        <v>0</v>
      </c>
      <c r="EW78" s="205">
        <f t="shared" si="172"/>
        <v>0</v>
      </c>
      <c r="EX78" s="72"/>
      <c r="EY78" s="119">
        <f t="shared" si="173"/>
        <v>1627.125899898437</v>
      </c>
      <c r="EZ78" s="120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0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0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0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0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0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0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0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0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0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0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0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0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0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0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0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0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0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0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0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0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0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0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0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0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0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0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0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0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0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0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0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0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0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0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0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0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0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0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0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5">
        <f t="shared" ca="1" si="174"/>
        <v>0</v>
      </c>
    </row>
    <row r="79" spans="1:196">
      <c r="DH79" s="119">
        <f t="shared" si="131"/>
        <v>1712.7641051562496</v>
      </c>
      <c r="DI79" s="120">
        <f t="shared" si="132"/>
        <v>0</v>
      </c>
      <c r="DJ79" s="120">
        <f t="shared" si="133"/>
        <v>0</v>
      </c>
      <c r="DK79" s="120">
        <f t="shared" si="134"/>
        <v>0</v>
      </c>
      <c r="DL79" s="120">
        <f t="shared" si="135"/>
        <v>0</v>
      </c>
      <c r="DM79" s="120">
        <f t="shared" si="136"/>
        <v>0</v>
      </c>
      <c r="DN79" s="120">
        <f t="shared" si="137"/>
        <v>0</v>
      </c>
      <c r="DO79" s="120">
        <f t="shared" si="138"/>
        <v>0</v>
      </c>
      <c r="DP79" s="120">
        <f t="shared" si="139"/>
        <v>0</v>
      </c>
      <c r="DQ79" s="120">
        <f t="shared" si="140"/>
        <v>0</v>
      </c>
      <c r="DR79" s="120">
        <f t="shared" si="141"/>
        <v>0</v>
      </c>
      <c r="DS79" s="120">
        <f t="shared" si="142"/>
        <v>0</v>
      </c>
      <c r="DT79" s="120">
        <f t="shared" si="143"/>
        <v>0</v>
      </c>
      <c r="DU79" s="120">
        <f t="shared" si="144"/>
        <v>0</v>
      </c>
      <c r="DV79" s="120">
        <f t="shared" si="145"/>
        <v>0</v>
      </c>
      <c r="DW79" s="120">
        <f t="shared" si="146"/>
        <v>0</v>
      </c>
      <c r="DX79" s="120">
        <f t="shared" si="147"/>
        <v>0</v>
      </c>
      <c r="DY79" s="120">
        <f t="shared" si="148"/>
        <v>0</v>
      </c>
      <c r="DZ79" s="120">
        <f t="shared" si="149"/>
        <v>0</v>
      </c>
      <c r="EA79" s="120">
        <f t="shared" si="150"/>
        <v>0</v>
      </c>
      <c r="EB79" s="120">
        <f t="shared" si="151"/>
        <v>0</v>
      </c>
      <c r="EC79" s="120">
        <f t="shared" si="152"/>
        <v>0</v>
      </c>
      <c r="ED79" s="120">
        <f t="shared" si="153"/>
        <v>0</v>
      </c>
      <c r="EE79" s="120">
        <f t="shared" si="154"/>
        <v>0</v>
      </c>
      <c r="EF79" s="120">
        <f t="shared" si="155"/>
        <v>0</v>
      </c>
      <c r="EG79" s="120">
        <f t="shared" si="156"/>
        <v>0</v>
      </c>
      <c r="EH79" s="120">
        <f t="shared" si="157"/>
        <v>0</v>
      </c>
      <c r="EI79" s="120">
        <f t="shared" si="158"/>
        <v>0</v>
      </c>
      <c r="EJ79" s="120">
        <f t="shared" si="159"/>
        <v>0</v>
      </c>
      <c r="EK79" s="120">
        <f t="shared" si="160"/>
        <v>0</v>
      </c>
      <c r="EL79" s="120">
        <f t="shared" si="161"/>
        <v>0</v>
      </c>
      <c r="EM79" s="120">
        <f t="shared" si="162"/>
        <v>0</v>
      </c>
      <c r="EN79" s="120">
        <f t="shared" si="163"/>
        <v>0</v>
      </c>
      <c r="EO79" s="120">
        <f t="shared" si="164"/>
        <v>0</v>
      </c>
      <c r="EP79" s="120">
        <f t="shared" si="165"/>
        <v>0</v>
      </c>
      <c r="EQ79" s="120">
        <f t="shared" si="166"/>
        <v>0</v>
      </c>
      <c r="ER79" s="120">
        <f t="shared" si="167"/>
        <v>0</v>
      </c>
      <c r="ES79" s="120">
        <f t="shared" si="168"/>
        <v>0</v>
      </c>
      <c r="ET79" s="120">
        <f t="shared" si="169"/>
        <v>0</v>
      </c>
      <c r="EU79" s="120">
        <f t="shared" si="170"/>
        <v>0</v>
      </c>
      <c r="EV79" s="120">
        <f t="shared" si="171"/>
        <v>0</v>
      </c>
      <c r="EW79" s="205">
        <f t="shared" si="172"/>
        <v>0</v>
      </c>
      <c r="EX79" s="72"/>
      <c r="EY79" s="119">
        <f t="shared" si="173"/>
        <v>1712.7641051562496</v>
      </c>
      <c r="EZ79" s="120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0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0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0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0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0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0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0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0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0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0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0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0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0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0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0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0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0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0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0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0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0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0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0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0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0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0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0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0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0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0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0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0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0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0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0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0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0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0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0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5">
        <f t="shared" ca="1" si="174"/>
        <v>0</v>
      </c>
    </row>
    <row r="80" spans="1:196">
      <c r="DH80" s="119">
        <f t="shared" si="131"/>
        <v>1802.9095843749997</v>
      </c>
      <c r="DI80" s="120">
        <f t="shared" si="132"/>
        <v>0</v>
      </c>
      <c r="DJ80" s="120">
        <f t="shared" si="133"/>
        <v>0</v>
      </c>
      <c r="DK80" s="120">
        <f t="shared" si="134"/>
        <v>0</v>
      </c>
      <c r="DL80" s="120">
        <f t="shared" si="135"/>
        <v>0</v>
      </c>
      <c r="DM80" s="120">
        <f t="shared" si="136"/>
        <v>0</v>
      </c>
      <c r="DN80" s="120">
        <f t="shared" si="137"/>
        <v>0</v>
      </c>
      <c r="DO80" s="120">
        <f t="shared" si="138"/>
        <v>0</v>
      </c>
      <c r="DP80" s="120">
        <f t="shared" si="139"/>
        <v>0</v>
      </c>
      <c r="DQ80" s="120">
        <f t="shared" si="140"/>
        <v>0</v>
      </c>
      <c r="DR80" s="120">
        <f t="shared" si="141"/>
        <v>0</v>
      </c>
      <c r="DS80" s="120">
        <f t="shared" si="142"/>
        <v>0</v>
      </c>
      <c r="DT80" s="120">
        <f t="shared" si="143"/>
        <v>0</v>
      </c>
      <c r="DU80" s="120">
        <f t="shared" si="144"/>
        <v>0</v>
      </c>
      <c r="DV80" s="120">
        <f t="shared" si="145"/>
        <v>0</v>
      </c>
      <c r="DW80" s="120">
        <f t="shared" si="146"/>
        <v>0</v>
      </c>
      <c r="DX80" s="120">
        <f t="shared" si="147"/>
        <v>0</v>
      </c>
      <c r="DY80" s="120">
        <f t="shared" si="148"/>
        <v>0</v>
      </c>
      <c r="DZ80" s="120">
        <f t="shared" si="149"/>
        <v>0</v>
      </c>
      <c r="EA80" s="120">
        <f t="shared" si="150"/>
        <v>0</v>
      </c>
      <c r="EB80" s="120">
        <f t="shared" si="151"/>
        <v>0</v>
      </c>
      <c r="EC80" s="120">
        <f t="shared" si="152"/>
        <v>0</v>
      </c>
      <c r="ED80" s="120">
        <f t="shared" si="153"/>
        <v>0</v>
      </c>
      <c r="EE80" s="120">
        <f t="shared" si="154"/>
        <v>0</v>
      </c>
      <c r="EF80" s="120">
        <f t="shared" si="155"/>
        <v>0</v>
      </c>
      <c r="EG80" s="120">
        <f t="shared" si="156"/>
        <v>0</v>
      </c>
      <c r="EH80" s="120">
        <f t="shared" si="157"/>
        <v>0</v>
      </c>
      <c r="EI80" s="120">
        <f t="shared" si="158"/>
        <v>0</v>
      </c>
      <c r="EJ80" s="120">
        <f t="shared" si="159"/>
        <v>0</v>
      </c>
      <c r="EK80" s="120">
        <f t="shared" si="160"/>
        <v>0</v>
      </c>
      <c r="EL80" s="120">
        <f t="shared" si="161"/>
        <v>0</v>
      </c>
      <c r="EM80" s="120">
        <f t="shared" si="162"/>
        <v>0</v>
      </c>
      <c r="EN80" s="120">
        <f t="shared" si="163"/>
        <v>0</v>
      </c>
      <c r="EO80" s="120">
        <f t="shared" si="164"/>
        <v>0</v>
      </c>
      <c r="EP80" s="120">
        <f t="shared" si="165"/>
        <v>0</v>
      </c>
      <c r="EQ80" s="120">
        <f t="shared" si="166"/>
        <v>0</v>
      </c>
      <c r="ER80" s="120">
        <f t="shared" si="167"/>
        <v>0</v>
      </c>
      <c r="ES80" s="120">
        <f t="shared" si="168"/>
        <v>0</v>
      </c>
      <c r="ET80" s="120">
        <f t="shared" si="169"/>
        <v>0</v>
      </c>
      <c r="EU80" s="120">
        <f t="shared" si="170"/>
        <v>0</v>
      </c>
      <c r="EV80" s="120">
        <f t="shared" si="171"/>
        <v>0</v>
      </c>
      <c r="EW80" s="205">
        <f t="shared" si="172"/>
        <v>0</v>
      </c>
      <c r="EX80" s="72"/>
      <c r="EY80" s="119">
        <f t="shared" si="173"/>
        <v>1802.9095843749997</v>
      </c>
      <c r="EZ80" s="120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0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0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0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0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0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0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0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0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0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0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0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0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0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0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0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0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0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0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0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0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0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0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0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0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0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0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0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0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0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0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0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0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0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0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0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0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0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0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0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5">
        <f t="shared" ca="1" si="174"/>
        <v>0</v>
      </c>
    </row>
    <row r="81" spans="112:196">
      <c r="DH81" s="119">
        <f t="shared" si="131"/>
        <v>1897.7995624999996</v>
      </c>
      <c r="DI81" s="120">
        <f t="shared" si="132"/>
        <v>0</v>
      </c>
      <c r="DJ81" s="120">
        <f t="shared" si="133"/>
        <v>0</v>
      </c>
      <c r="DK81" s="120">
        <f t="shared" si="134"/>
        <v>0</v>
      </c>
      <c r="DL81" s="120">
        <f t="shared" si="135"/>
        <v>0</v>
      </c>
      <c r="DM81" s="120">
        <f t="shared" si="136"/>
        <v>0</v>
      </c>
      <c r="DN81" s="120">
        <f t="shared" si="137"/>
        <v>0</v>
      </c>
      <c r="DO81" s="120">
        <f t="shared" si="138"/>
        <v>0</v>
      </c>
      <c r="DP81" s="120">
        <f t="shared" si="139"/>
        <v>0</v>
      </c>
      <c r="DQ81" s="120">
        <f t="shared" si="140"/>
        <v>0</v>
      </c>
      <c r="DR81" s="120">
        <f t="shared" si="141"/>
        <v>0</v>
      </c>
      <c r="DS81" s="120">
        <f t="shared" si="142"/>
        <v>0</v>
      </c>
      <c r="DT81" s="120">
        <f t="shared" si="143"/>
        <v>0</v>
      </c>
      <c r="DU81" s="120">
        <f t="shared" si="144"/>
        <v>0</v>
      </c>
      <c r="DV81" s="120">
        <f t="shared" si="145"/>
        <v>0</v>
      </c>
      <c r="DW81" s="120">
        <f t="shared" si="146"/>
        <v>0</v>
      </c>
      <c r="DX81" s="120">
        <f t="shared" si="147"/>
        <v>0</v>
      </c>
      <c r="DY81" s="120">
        <f t="shared" si="148"/>
        <v>0</v>
      </c>
      <c r="DZ81" s="120">
        <f t="shared" si="149"/>
        <v>0</v>
      </c>
      <c r="EA81" s="120">
        <f t="shared" si="150"/>
        <v>0</v>
      </c>
      <c r="EB81" s="120">
        <f t="shared" si="151"/>
        <v>0</v>
      </c>
      <c r="EC81" s="120">
        <f t="shared" si="152"/>
        <v>0</v>
      </c>
      <c r="ED81" s="120">
        <f t="shared" si="153"/>
        <v>0</v>
      </c>
      <c r="EE81" s="120">
        <f t="shared" si="154"/>
        <v>0</v>
      </c>
      <c r="EF81" s="120">
        <f t="shared" si="155"/>
        <v>0</v>
      </c>
      <c r="EG81" s="120">
        <f t="shared" si="156"/>
        <v>0</v>
      </c>
      <c r="EH81" s="120">
        <f t="shared" si="157"/>
        <v>0</v>
      </c>
      <c r="EI81" s="120">
        <f t="shared" si="158"/>
        <v>0</v>
      </c>
      <c r="EJ81" s="120">
        <f t="shared" si="159"/>
        <v>0</v>
      </c>
      <c r="EK81" s="120">
        <f t="shared" si="160"/>
        <v>0</v>
      </c>
      <c r="EL81" s="120">
        <f t="shared" si="161"/>
        <v>0</v>
      </c>
      <c r="EM81" s="120">
        <f t="shared" si="162"/>
        <v>0</v>
      </c>
      <c r="EN81" s="120">
        <f t="shared" si="163"/>
        <v>0</v>
      </c>
      <c r="EO81" s="120">
        <f t="shared" si="164"/>
        <v>0</v>
      </c>
      <c r="EP81" s="120">
        <f t="shared" si="165"/>
        <v>0</v>
      </c>
      <c r="EQ81" s="120">
        <f t="shared" si="166"/>
        <v>0</v>
      </c>
      <c r="ER81" s="120">
        <f t="shared" si="167"/>
        <v>0</v>
      </c>
      <c r="ES81" s="120">
        <f t="shared" si="168"/>
        <v>0</v>
      </c>
      <c r="ET81" s="120">
        <f t="shared" si="169"/>
        <v>0</v>
      </c>
      <c r="EU81" s="120">
        <f t="shared" si="170"/>
        <v>0</v>
      </c>
      <c r="EV81" s="120">
        <f t="shared" si="171"/>
        <v>0</v>
      </c>
      <c r="EW81" s="205">
        <f t="shared" si="172"/>
        <v>0</v>
      </c>
      <c r="EX81" s="72"/>
      <c r="EY81" s="119">
        <f t="shared" si="173"/>
        <v>1897.7995624999996</v>
      </c>
      <c r="EZ81" s="120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0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0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0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0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0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0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0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0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0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0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0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0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0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0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0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0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0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0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0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0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0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0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0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0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0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0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0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0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0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0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0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0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0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0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0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0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0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0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0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5">
        <f t="shared" ca="1" si="174"/>
        <v>0</v>
      </c>
    </row>
    <row r="82" spans="112:196">
      <c r="DH82" s="119">
        <f t="shared" si="131"/>
        <v>1997.6837499999997</v>
      </c>
      <c r="DI82" s="120">
        <f t="shared" si="132"/>
        <v>0</v>
      </c>
      <c r="DJ82" s="120">
        <f t="shared" si="133"/>
        <v>0</v>
      </c>
      <c r="DK82" s="120">
        <f t="shared" si="134"/>
        <v>0</v>
      </c>
      <c r="DL82" s="120">
        <f t="shared" si="135"/>
        <v>0</v>
      </c>
      <c r="DM82" s="120">
        <f t="shared" si="136"/>
        <v>0</v>
      </c>
      <c r="DN82" s="120">
        <f t="shared" si="137"/>
        <v>0</v>
      </c>
      <c r="DO82" s="120">
        <f t="shared" si="138"/>
        <v>0</v>
      </c>
      <c r="DP82" s="120">
        <f t="shared" si="139"/>
        <v>0</v>
      </c>
      <c r="DQ82" s="120">
        <f t="shared" si="140"/>
        <v>0</v>
      </c>
      <c r="DR82" s="120">
        <f t="shared" si="141"/>
        <v>0</v>
      </c>
      <c r="DS82" s="120">
        <f t="shared" si="142"/>
        <v>0</v>
      </c>
      <c r="DT82" s="120">
        <f t="shared" si="143"/>
        <v>0</v>
      </c>
      <c r="DU82" s="120">
        <f t="shared" si="144"/>
        <v>0</v>
      </c>
      <c r="DV82" s="120">
        <f t="shared" si="145"/>
        <v>0</v>
      </c>
      <c r="DW82" s="120">
        <f t="shared" si="146"/>
        <v>0</v>
      </c>
      <c r="DX82" s="120">
        <f t="shared" si="147"/>
        <v>0</v>
      </c>
      <c r="DY82" s="120">
        <f t="shared" si="148"/>
        <v>0</v>
      </c>
      <c r="DZ82" s="120">
        <f t="shared" si="149"/>
        <v>0</v>
      </c>
      <c r="EA82" s="120">
        <f t="shared" si="150"/>
        <v>0</v>
      </c>
      <c r="EB82" s="120">
        <f t="shared" si="151"/>
        <v>0</v>
      </c>
      <c r="EC82" s="120">
        <f t="shared" si="152"/>
        <v>0</v>
      </c>
      <c r="ED82" s="120">
        <f t="shared" si="153"/>
        <v>0</v>
      </c>
      <c r="EE82" s="120">
        <f t="shared" si="154"/>
        <v>0</v>
      </c>
      <c r="EF82" s="120">
        <f t="shared" si="155"/>
        <v>0</v>
      </c>
      <c r="EG82" s="120">
        <f t="shared" si="156"/>
        <v>0</v>
      </c>
      <c r="EH82" s="120">
        <f t="shared" si="157"/>
        <v>0</v>
      </c>
      <c r="EI82" s="120">
        <f t="shared" si="158"/>
        <v>0</v>
      </c>
      <c r="EJ82" s="120">
        <f t="shared" si="159"/>
        <v>0</v>
      </c>
      <c r="EK82" s="120">
        <f t="shared" si="160"/>
        <v>0</v>
      </c>
      <c r="EL82" s="120">
        <f t="shared" si="161"/>
        <v>0</v>
      </c>
      <c r="EM82" s="120">
        <f t="shared" si="162"/>
        <v>0</v>
      </c>
      <c r="EN82" s="120">
        <f t="shared" si="163"/>
        <v>0</v>
      </c>
      <c r="EO82" s="120">
        <f t="shared" si="164"/>
        <v>0</v>
      </c>
      <c r="EP82" s="120">
        <f t="shared" si="165"/>
        <v>0</v>
      </c>
      <c r="EQ82" s="120">
        <f t="shared" si="166"/>
        <v>0</v>
      </c>
      <c r="ER82" s="120">
        <f t="shared" si="167"/>
        <v>0</v>
      </c>
      <c r="ES82" s="120">
        <f t="shared" si="168"/>
        <v>0</v>
      </c>
      <c r="ET82" s="120">
        <f t="shared" si="169"/>
        <v>0</v>
      </c>
      <c r="EU82" s="120">
        <f t="shared" si="170"/>
        <v>0</v>
      </c>
      <c r="EV82" s="120">
        <f t="shared" si="171"/>
        <v>0</v>
      </c>
      <c r="EW82" s="205">
        <f t="shared" si="172"/>
        <v>0</v>
      </c>
      <c r="EX82" s="72"/>
      <c r="EY82" s="119">
        <f t="shared" si="173"/>
        <v>1997.6837499999997</v>
      </c>
      <c r="EZ82" s="120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0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0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0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0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0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0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0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0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0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0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0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0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0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0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0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0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0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0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0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0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0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0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0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0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0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0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0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0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0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0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0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0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0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0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0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0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0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0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0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5">
        <f t="shared" ca="1" si="174"/>
        <v>0</v>
      </c>
    </row>
    <row r="83" spans="112:196">
      <c r="DH83" s="119">
        <f t="shared" si="131"/>
        <v>2102.8249999999998</v>
      </c>
      <c r="DI83" s="120">
        <f t="shared" si="132"/>
        <v>0</v>
      </c>
      <c r="DJ83" s="120">
        <f t="shared" si="133"/>
        <v>0</v>
      </c>
      <c r="DK83" s="120">
        <f t="shared" si="134"/>
        <v>0</v>
      </c>
      <c r="DL83" s="120">
        <f t="shared" si="135"/>
        <v>0</v>
      </c>
      <c r="DM83" s="120">
        <f t="shared" si="136"/>
        <v>0</v>
      </c>
      <c r="DN83" s="120">
        <f t="shared" si="137"/>
        <v>0</v>
      </c>
      <c r="DO83" s="120">
        <f t="shared" si="138"/>
        <v>0</v>
      </c>
      <c r="DP83" s="120">
        <f t="shared" si="139"/>
        <v>0</v>
      </c>
      <c r="DQ83" s="120">
        <f t="shared" si="140"/>
        <v>0</v>
      </c>
      <c r="DR83" s="120">
        <f t="shared" si="141"/>
        <v>0</v>
      </c>
      <c r="DS83" s="120">
        <f t="shared" si="142"/>
        <v>0</v>
      </c>
      <c r="DT83" s="120">
        <f t="shared" si="143"/>
        <v>0</v>
      </c>
      <c r="DU83" s="120">
        <f t="shared" si="144"/>
        <v>0</v>
      </c>
      <c r="DV83" s="120">
        <f t="shared" si="145"/>
        <v>0</v>
      </c>
      <c r="DW83" s="120">
        <f t="shared" si="146"/>
        <v>0</v>
      </c>
      <c r="DX83" s="120">
        <f t="shared" si="147"/>
        <v>0</v>
      </c>
      <c r="DY83" s="120">
        <f t="shared" si="148"/>
        <v>0</v>
      </c>
      <c r="DZ83" s="120">
        <f t="shared" si="149"/>
        <v>0</v>
      </c>
      <c r="EA83" s="120">
        <f t="shared" si="150"/>
        <v>0</v>
      </c>
      <c r="EB83" s="120">
        <f t="shared" si="151"/>
        <v>0</v>
      </c>
      <c r="EC83" s="120">
        <f t="shared" si="152"/>
        <v>0</v>
      </c>
      <c r="ED83" s="120">
        <f t="shared" si="153"/>
        <v>0</v>
      </c>
      <c r="EE83" s="120">
        <f t="shared" si="154"/>
        <v>0</v>
      </c>
      <c r="EF83" s="120">
        <f t="shared" si="155"/>
        <v>0</v>
      </c>
      <c r="EG83" s="120">
        <f t="shared" si="156"/>
        <v>0</v>
      </c>
      <c r="EH83" s="120">
        <f t="shared" si="157"/>
        <v>0</v>
      </c>
      <c r="EI83" s="120">
        <f t="shared" si="158"/>
        <v>0</v>
      </c>
      <c r="EJ83" s="120">
        <f t="shared" si="159"/>
        <v>0</v>
      </c>
      <c r="EK83" s="120">
        <f t="shared" si="160"/>
        <v>0</v>
      </c>
      <c r="EL83" s="120">
        <f t="shared" si="161"/>
        <v>0</v>
      </c>
      <c r="EM83" s="120">
        <f t="shared" si="162"/>
        <v>0</v>
      </c>
      <c r="EN83" s="120">
        <f t="shared" si="163"/>
        <v>0</v>
      </c>
      <c r="EO83" s="120">
        <f t="shared" si="164"/>
        <v>0</v>
      </c>
      <c r="EP83" s="120">
        <f t="shared" si="165"/>
        <v>0</v>
      </c>
      <c r="EQ83" s="120">
        <f t="shared" si="166"/>
        <v>0</v>
      </c>
      <c r="ER83" s="120">
        <f t="shared" si="167"/>
        <v>0</v>
      </c>
      <c r="ES83" s="120">
        <f t="shared" si="168"/>
        <v>0</v>
      </c>
      <c r="ET83" s="120">
        <f t="shared" si="169"/>
        <v>0</v>
      </c>
      <c r="EU83" s="120">
        <f t="shared" si="170"/>
        <v>0</v>
      </c>
      <c r="EV83" s="120">
        <f t="shared" si="171"/>
        <v>0</v>
      </c>
      <c r="EW83" s="205">
        <f t="shared" si="172"/>
        <v>0</v>
      </c>
      <c r="EX83" s="72"/>
      <c r="EY83" s="119">
        <f t="shared" si="173"/>
        <v>2102.8249999999998</v>
      </c>
      <c r="EZ83" s="120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0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0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0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0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0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0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0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0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0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0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0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0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0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0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0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0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0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0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0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0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0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0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0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0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0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0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0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0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0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0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0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0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0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0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0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0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0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0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0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5">
        <f t="shared" ca="1" si="174"/>
        <v>0</v>
      </c>
    </row>
    <row r="84" spans="112:196">
      <c r="DH84" s="119">
        <f t="shared" si="131"/>
        <v>2213.5</v>
      </c>
      <c r="DI84" s="120">
        <f t="shared" si="132"/>
        <v>0</v>
      </c>
      <c r="DJ84" s="120">
        <f t="shared" si="133"/>
        <v>0</v>
      </c>
      <c r="DK84" s="120">
        <f t="shared" si="134"/>
        <v>0</v>
      </c>
      <c r="DL84" s="120">
        <f t="shared" si="135"/>
        <v>0</v>
      </c>
      <c r="DM84" s="120">
        <f t="shared" si="136"/>
        <v>0</v>
      </c>
      <c r="DN84" s="120">
        <f t="shared" si="137"/>
        <v>0</v>
      </c>
      <c r="DO84" s="120">
        <f t="shared" si="138"/>
        <v>0</v>
      </c>
      <c r="DP84" s="120">
        <f t="shared" si="139"/>
        <v>0</v>
      </c>
      <c r="DQ84" s="120">
        <f t="shared" si="140"/>
        <v>0</v>
      </c>
      <c r="DR84" s="120">
        <f t="shared" si="141"/>
        <v>0</v>
      </c>
      <c r="DS84" s="120">
        <f t="shared" si="142"/>
        <v>0</v>
      </c>
      <c r="DT84" s="120">
        <f t="shared" si="143"/>
        <v>0</v>
      </c>
      <c r="DU84" s="120">
        <f t="shared" si="144"/>
        <v>0</v>
      </c>
      <c r="DV84" s="120">
        <f t="shared" si="145"/>
        <v>0</v>
      </c>
      <c r="DW84" s="120">
        <f t="shared" si="146"/>
        <v>0</v>
      </c>
      <c r="DX84" s="120">
        <f t="shared" si="147"/>
        <v>0</v>
      </c>
      <c r="DY84" s="120">
        <f t="shared" si="148"/>
        <v>0</v>
      </c>
      <c r="DZ84" s="120">
        <f t="shared" si="149"/>
        <v>0</v>
      </c>
      <c r="EA84" s="120">
        <f t="shared" si="150"/>
        <v>0</v>
      </c>
      <c r="EB84" s="120">
        <f t="shared" si="151"/>
        <v>0</v>
      </c>
      <c r="EC84" s="120">
        <f t="shared" si="152"/>
        <v>0</v>
      </c>
      <c r="ED84" s="120">
        <f t="shared" si="153"/>
        <v>0</v>
      </c>
      <c r="EE84" s="120">
        <f t="shared" si="154"/>
        <v>0</v>
      </c>
      <c r="EF84" s="120">
        <f t="shared" si="155"/>
        <v>0</v>
      </c>
      <c r="EG84" s="120">
        <f t="shared" si="156"/>
        <v>0</v>
      </c>
      <c r="EH84" s="120">
        <f t="shared" si="157"/>
        <v>0</v>
      </c>
      <c r="EI84" s="120">
        <f t="shared" si="158"/>
        <v>0</v>
      </c>
      <c r="EJ84" s="120">
        <f t="shared" si="159"/>
        <v>0</v>
      </c>
      <c r="EK84" s="120">
        <f t="shared" si="160"/>
        <v>0</v>
      </c>
      <c r="EL84" s="120">
        <f t="shared" si="161"/>
        <v>0</v>
      </c>
      <c r="EM84" s="120">
        <f t="shared" si="162"/>
        <v>0</v>
      </c>
      <c r="EN84" s="120">
        <f t="shared" si="163"/>
        <v>0</v>
      </c>
      <c r="EO84" s="120">
        <f t="shared" si="164"/>
        <v>0</v>
      </c>
      <c r="EP84" s="120">
        <f t="shared" si="165"/>
        <v>0</v>
      </c>
      <c r="EQ84" s="120">
        <f t="shared" si="166"/>
        <v>0</v>
      </c>
      <c r="ER84" s="120">
        <f t="shared" si="167"/>
        <v>0</v>
      </c>
      <c r="ES84" s="120">
        <f t="shared" si="168"/>
        <v>0</v>
      </c>
      <c r="ET84" s="120">
        <f t="shared" si="169"/>
        <v>0</v>
      </c>
      <c r="EU84" s="120">
        <f t="shared" si="170"/>
        <v>0</v>
      </c>
      <c r="EV84" s="120">
        <f t="shared" si="171"/>
        <v>0</v>
      </c>
      <c r="EW84" s="205">
        <f t="shared" si="172"/>
        <v>0</v>
      </c>
      <c r="EX84" s="72"/>
      <c r="EY84" s="119">
        <f t="shared" si="173"/>
        <v>2213.5</v>
      </c>
      <c r="EZ84" s="120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0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0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0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0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0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0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0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0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0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0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0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0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0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0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0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0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0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0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0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0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0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0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0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0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0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0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0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0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0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0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0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0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0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0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0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0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0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0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0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5">
        <f t="shared" ca="1" si="174"/>
        <v>0</v>
      </c>
    </row>
    <row r="85" spans="112:196">
      <c r="DH85" s="119">
        <f t="shared" si="131"/>
        <v>2330</v>
      </c>
      <c r="DI85" s="120">
        <f t="shared" si="132"/>
        <v>0</v>
      </c>
      <c r="DJ85" s="120">
        <f t="shared" si="133"/>
        <v>0</v>
      </c>
      <c r="DK85" s="120">
        <f t="shared" si="134"/>
        <v>0</v>
      </c>
      <c r="DL85" s="120">
        <f t="shared" si="135"/>
        <v>0</v>
      </c>
      <c r="DM85" s="120">
        <f t="shared" si="136"/>
        <v>0</v>
      </c>
      <c r="DN85" s="120">
        <f t="shared" si="137"/>
        <v>0</v>
      </c>
      <c r="DO85" s="120">
        <f t="shared" si="138"/>
        <v>0</v>
      </c>
      <c r="DP85" s="120">
        <f t="shared" si="139"/>
        <v>0</v>
      </c>
      <c r="DQ85" s="120">
        <f t="shared" si="140"/>
        <v>0</v>
      </c>
      <c r="DR85" s="120">
        <f t="shared" si="141"/>
        <v>0</v>
      </c>
      <c r="DS85" s="120">
        <f t="shared" si="142"/>
        <v>0</v>
      </c>
      <c r="DT85" s="120">
        <f t="shared" si="143"/>
        <v>0</v>
      </c>
      <c r="DU85" s="120">
        <f t="shared" si="144"/>
        <v>0</v>
      </c>
      <c r="DV85" s="120">
        <f t="shared" si="145"/>
        <v>0</v>
      </c>
      <c r="DW85" s="120">
        <f t="shared" si="146"/>
        <v>0</v>
      </c>
      <c r="DX85" s="120">
        <f t="shared" si="147"/>
        <v>0</v>
      </c>
      <c r="DY85" s="120">
        <f t="shared" si="148"/>
        <v>0</v>
      </c>
      <c r="DZ85" s="120">
        <f t="shared" si="149"/>
        <v>0</v>
      </c>
      <c r="EA85" s="120">
        <f t="shared" si="150"/>
        <v>0</v>
      </c>
      <c r="EB85" s="120">
        <f t="shared" si="151"/>
        <v>0</v>
      </c>
      <c r="EC85" s="120">
        <f t="shared" si="152"/>
        <v>0</v>
      </c>
      <c r="ED85" s="120">
        <f t="shared" si="153"/>
        <v>0</v>
      </c>
      <c r="EE85" s="120">
        <f t="shared" si="154"/>
        <v>0</v>
      </c>
      <c r="EF85" s="120">
        <f t="shared" si="155"/>
        <v>0</v>
      </c>
      <c r="EG85" s="120">
        <f t="shared" si="156"/>
        <v>0</v>
      </c>
      <c r="EH85" s="120">
        <f t="shared" si="157"/>
        <v>0</v>
      </c>
      <c r="EI85" s="120">
        <f t="shared" si="158"/>
        <v>0</v>
      </c>
      <c r="EJ85" s="120">
        <f t="shared" si="159"/>
        <v>0</v>
      </c>
      <c r="EK85" s="120">
        <f t="shared" si="160"/>
        <v>0</v>
      </c>
      <c r="EL85" s="120">
        <f t="shared" si="161"/>
        <v>0</v>
      </c>
      <c r="EM85" s="120">
        <f t="shared" si="162"/>
        <v>0</v>
      </c>
      <c r="EN85" s="120">
        <f t="shared" si="163"/>
        <v>0</v>
      </c>
      <c r="EO85" s="120">
        <f t="shared" si="164"/>
        <v>0</v>
      </c>
      <c r="EP85" s="120">
        <f t="shared" si="165"/>
        <v>0</v>
      </c>
      <c r="EQ85" s="120">
        <f t="shared" si="166"/>
        <v>0</v>
      </c>
      <c r="ER85" s="120">
        <f t="shared" si="167"/>
        <v>0</v>
      </c>
      <c r="ES85" s="120">
        <f t="shared" si="168"/>
        <v>0</v>
      </c>
      <c r="ET85" s="120">
        <f t="shared" si="169"/>
        <v>0</v>
      </c>
      <c r="EU85" s="120">
        <f t="shared" si="170"/>
        <v>0</v>
      </c>
      <c r="EV85" s="120">
        <f t="shared" si="171"/>
        <v>0</v>
      </c>
      <c r="EW85" s="205">
        <f t="shared" si="172"/>
        <v>0</v>
      </c>
      <c r="EX85" s="72"/>
      <c r="EY85" s="119">
        <f t="shared" si="173"/>
        <v>2330</v>
      </c>
      <c r="EZ85" s="120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0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0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0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0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0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0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0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0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0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0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0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0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0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0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0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0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0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0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0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0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0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0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0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0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0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0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0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0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0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0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0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0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0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0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0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0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0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0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0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5">
        <f t="shared" ca="1" si="174"/>
        <v>0</v>
      </c>
    </row>
    <row r="86" spans="112:196">
      <c r="DH86" s="119">
        <f t="shared" si="131"/>
        <v>2446.5</v>
      </c>
      <c r="DI86" s="120">
        <f t="shared" si="132"/>
        <v>0</v>
      </c>
      <c r="DJ86" s="120">
        <f t="shared" si="133"/>
        <v>0</v>
      </c>
      <c r="DK86" s="120">
        <f t="shared" si="134"/>
        <v>0</v>
      </c>
      <c r="DL86" s="120">
        <f t="shared" si="135"/>
        <v>0</v>
      </c>
      <c r="DM86" s="120">
        <f t="shared" si="136"/>
        <v>0</v>
      </c>
      <c r="DN86" s="120">
        <f t="shared" si="137"/>
        <v>0</v>
      </c>
      <c r="DO86" s="120">
        <f t="shared" si="138"/>
        <v>0</v>
      </c>
      <c r="DP86" s="120">
        <f t="shared" si="139"/>
        <v>0</v>
      </c>
      <c r="DQ86" s="120">
        <f t="shared" si="140"/>
        <v>0</v>
      </c>
      <c r="DR86" s="120">
        <f t="shared" si="141"/>
        <v>0</v>
      </c>
      <c r="DS86" s="120">
        <f t="shared" si="142"/>
        <v>0</v>
      </c>
      <c r="DT86" s="120">
        <f t="shared" si="143"/>
        <v>0</v>
      </c>
      <c r="DU86" s="120">
        <f t="shared" si="144"/>
        <v>0</v>
      </c>
      <c r="DV86" s="120">
        <f t="shared" si="145"/>
        <v>0</v>
      </c>
      <c r="DW86" s="120">
        <f t="shared" si="146"/>
        <v>0</v>
      </c>
      <c r="DX86" s="120">
        <f t="shared" si="147"/>
        <v>0</v>
      </c>
      <c r="DY86" s="120">
        <f t="shared" si="148"/>
        <v>0</v>
      </c>
      <c r="DZ86" s="120">
        <f t="shared" si="149"/>
        <v>0</v>
      </c>
      <c r="EA86" s="120">
        <f t="shared" si="150"/>
        <v>0</v>
      </c>
      <c r="EB86" s="120">
        <f t="shared" si="151"/>
        <v>0</v>
      </c>
      <c r="EC86" s="120">
        <f t="shared" si="152"/>
        <v>0</v>
      </c>
      <c r="ED86" s="120">
        <f t="shared" si="153"/>
        <v>0</v>
      </c>
      <c r="EE86" s="120">
        <f t="shared" si="154"/>
        <v>0</v>
      </c>
      <c r="EF86" s="120">
        <f t="shared" si="155"/>
        <v>0</v>
      </c>
      <c r="EG86" s="120">
        <f t="shared" si="156"/>
        <v>0</v>
      </c>
      <c r="EH86" s="120">
        <f t="shared" si="157"/>
        <v>0</v>
      </c>
      <c r="EI86" s="120">
        <f t="shared" si="158"/>
        <v>0</v>
      </c>
      <c r="EJ86" s="120">
        <f t="shared" si="159"/>
        <v>0</v>
      </c>
      <c r="EK86" s="120">
        <f t="shared" si="160"/>
        <v>0</v>
      </c>
      <c r="EL86" s="120">
        <f t="shared" si="161"/>
        <v>0</v>
      </c>
      <c r="EM86" s="120">
        <f t="shared" si="162"/>
        <v>0</v>
      </c>
      <c r="EN86" s="120">
        <f t="shared" si="163"/>
        <v>0</v>
      </c>
      <c r="EO86" s="120">
        <f t="shared" si="164"/>
        <v>0</v>
      </c>
      <c r="EP86" s="120">
        <f t="shared" si="165"/>
        <v>0</v>
      </c>
      <c r="EQ86" s="120">
        <f t="shared" si="166"/>
        <v>0</v>
      </c>
      <c r="ER86" s="120">
        <f t="shared" si="167"/>
        <v>0</v>
      </c>
      <c r="ES86" s="120">
        <f t="shared" si="168"/>
        <v>0</v>
      </c>
      <c r="ET86" s="120">
        <f t="shared" si="169"/>
        <v>0</v>
      </c>
      <c r="EU86" s="120">
        <f t="shared" si="170"/>
        <v>0</v>
      </c>
      <c r="EV86" s="120">
        <f t="shared" si="171"/>
        <v>0</v>
      </c>
      <c r="EW86" s="205">
        <f t="shared" si="172"/>
        <v>0</v>
      </c>
      <c r="EX86" s="72"/>
      <c r="EY86" s="119">
        <f t="shared" si="173"/>
        <v>2446.5</v>
      </c>
      <c r="EZ86" s="120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0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0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0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0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0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0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0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0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0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0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0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0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0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0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0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0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0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0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0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0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0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0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0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0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0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0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0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0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0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0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0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0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0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0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0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0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0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0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0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5">
        <f t="shared" ca="1" si="174"/>
        <v>0</v>
      </c>
    </row>
    <row r="87" spans="112:196">
      <c r="DH87" s="119">
        <f t="shared" si="131"/>
        <v>2568.8250000000003</v>
      </c>
      <c r="DI87" s="120">
        <f t="shared" si="132"/>
        <v>0</v>
      </c>
      <c r="DJ87" s="120">
        <f t="shared" si="133"/>
        <v>0</v>
      </c>
      <c r="DK87" s="120">
        <f t="shared" si="134"/>
        <v>0</v>
      </c>
      <c r="DL87" s="120">
        <f t="shared" si="135"/>
        <v>0</v>
      </c>
      <c r="DM87" s="120">
        <f t="shared" si="136"/>
        <v>0</v>
      </c>
      <c r="DN87" s="120">
        <f t="shared" si="137"/>
        <v>0</v>
      </c>
      <c r="DO87" s="120">
        <f t="shared" si="138"/>
        <v>0</v>
      </c>
      <c r="DP87" s="120">
        <f t="shared" si="139"/>
        <v>0</v>
      </c>
      <c r="DQ87" s="120">
        <f t="shared" si="140"/>
        <v>0</v>
      </c>
      <c r="DR87" s="120">
        <f t="shared" si="141"/>
        <v>0</v>
      </c>
      <c r="DS87" s="120">
        <f t="shared" si="142"/>
        <v>0</v>
      </c>
      <c r="DT87" s="120">
        <f t="shared" si="143"/>
        <v>0</v>
      </c>
      <c r="DU87" s="120">
        <f t="shared" si="144"/>
        <v>0</v>
      </c>
      <c r="DV87" s="120">
        <f t="shared" si="145"/>
        <v>0</v>
      </c>
      <c r="DW87" s="120">
        <f t="shared" si="146"/>
        <v>0</v>
      </c>
      <c r="DX87" s="120">
        <f t="shared" si="147"/>
        <v>0</v>
      </c>
      <c r="DY87" s="120">
        <f t="shared" si="148"/>
        <v>0</v>
      </c>
      <c r="DZ87" s="120">
        <f t="shared" si="149"/>
        <v>0</v>
      </c>
      <c r="EA87" s="120">
        <f t="shared" si="150"/>
        <v>0</v>
      </c>
      <c r="EB87" s="120">
        <f t="shared" si="151"/>
        <v>0</v>
      </c>
      <c r="EC87" s="120">
        <f t="shared" si="152"/>
        <v>0</v>
      </c>
      <c r="ED87" s="120">
        <f t="shared" si="153"/>
        <v>0</v>
      </c>
      <c r="EE87" s="120">
        <f t="shared" si="154"/>
        <v>0</v>
      </c>
      <c r="EF87" s="120">
        <f t="shared" si="155"/>
        <v>0</v>
      </c>
      <c r="EG87" s="120">
        <f t="shared" si="156"/>
        <v>0</v>
      </c>
      <c r="EH87" s="120">
        <f t="shared" si="157"/>
        <v>0</v>
      </c>
      <c r="EI87" s="120">
        <f t="shared" si="158"/>
        <v>0</v>
      </c>
      <c r="EJ87" s="120">
        <f t="shared" si="159"/>
        <v>0</v>
      </c>
      <c r="EK87" s="120">
        <f t="shared" si="160"/>
        <v>0</v>
      </c>
      <c r="EL87" s="120">
        <f t="shared" si="161"/>
        <v>0</v>
      </c>
      <c r="EM87" s="120">
        <f t="shared" si="162"/>
        <v>0</v>
      </c>
      <c r="EN87" s="120">
        <f t="shared" si="163"/>
        <v>0</v>
      </c>
      <c r="EO87" s="120">
        <f t="shared" si="164"/>
        <v>0</v>
      </c>
      <c r="EP87" s="120">
        <f t="shared" si="165"/>
        <v>0</v>
      </c>
      <c r="EQ87" s="120">
        <f t="shared" si="166"/>
        <v>0</v>
      </c>
      <c r="ER87" s="120">
        <f t="shared" si="167"/>
        <v>0</v>
      </c>
      <c r="ES87" s="120">
        <f t="shared" si="168"/>
        <v>0</v>
      </c>
      <c r="ET87" s="120">
        <f t="shared" si="169"/>
        <v>0</v>
      </c>
      <c r="EU87" s="120">
        <f t="shared" si="170"/>
        <v>0</v>
      </c>
      <c r="EV87" s="120">
        <f t="shared" si="171"/>
        <v>0</v>
      </c>
      <c r="EW87" s="205">
        <f t="shared" si="172"/>
        <v>0</v>
      </c>
      <c r="EX87" s="72"/>
      <c r="EY87" s="119">
        <f t="shared" si="173"/>
        <v>2568.8250000000003</v>
      </c>
      <c r="EZ87" s="120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0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0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0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0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0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0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0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0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0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0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0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0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0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0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0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0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0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0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0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0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0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0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0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0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0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0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0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0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0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0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0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0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0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0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0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0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0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0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0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5">
        <f t="shared" ca="1" si="174"/>
        <v>0</v>
      </c>
    </row>
    <row r="88" spans="112:196">
      <c r="DH88" s="119">
        <f t="shared" si="131"/>
        <v>2697.2662500000006</v>
      </c>
      <c r="DI88" s="120">
        <f t="shared" si="132"/>
        <v>0</v>
      </c>
      <c r="DJ88" s="120">
        <f t="shared" si="133"/>
        <v>0</v>
      </c>
      <c r="DK88" s="120">
        <f t="shared" si="134"/>
        <v>0</v>
      </c>
      <c r="DL88" s="120">
        <f t="shared" si="135"/>
        <v>0</v>
      </c>
      <c r="DM88" s="120">
        <f t="shared" si="136"/>
        <v>0</v>
      </c>
      <c r="DN88" s="120">
        <f t="shared" si="137"/>
        <v>0</v>
      </c>
      <c r="DO88" s="120">
        <f t="shared" si="138"/>
        <v>0</v>
      </c>
      <c r="DP88" s="120">
        <f t="shared" si="139"/>
        <v>0</v>
      </c>
      <c r="DQ88" s="120">
        <f t="shared" si="140"/>
        <v>0</v>
      </c>
      <c r="DR88" s="120">
        <f t="shared" si="141"/>
        <v>0</v>
      </c>
      <c r="DS88" s="120">
        <f t="shared" si="142"/>
        <v>0</v>
      </c>
      <c r="DT88" s="120">
        <f t="shared" si="143"/>
        <v>0</v>
      </c>
      <c r="DU88" s="120">
        <f t="shared" si="144"/>
        <v>0</v>
      </c>
      <c r="DV88" s="120">
        <f t="shared" si="145"/>
        <v>0</v>
      </c>
      <c r="DW88" s="120">
        <f t="shared" si="146"/>
        <v>0</v>
      </c>
      <c r="DX88" s="120">
        <f t="shared" si="147"/>
        <v>0</v>
      </c>
      <c r="DY88" s="120">
        <f t="shared" si="148"/>
        <v>0</v>
      </c>
      <c r="DZ88" s="120">
        <f t="shared" si="149"/>
        <v>0</v>
      </c>
      <c r="EA88" s="120">
        <f t="shared" si="150"/>
        <v>0</v>
      </c>
      <c r="EB88" s="120">
        <f t="shared" si="151"/>
        <v>0</v>
      </c>
      <c r="EC88" s="120">
        <f t="shared" si="152"/>
        <v>0</v>
      </c>
      <c r="ED88" s="120">
        <f t="shared" si="153"/>
        <v>0</v>
      </c>
      <c r="EE88" s="120">
        <f t="shared" si="154"/>
        <v>0</v>
      </c>
      <c r="EF88" s="120">
        <f t="shared" si="155"/>
        <v>0</v>
      </c>
      <c r="EG88" s="120">
        <f t="shared" si="156"/>
        <v>0</v>
      </c>
      <c r="EH88" s="120">
        <f t="shared" si="157"/>
        <v>0</v>
      </c>
      <c r="EI88" s="120">
        <f t="shared" si="158"/>
        <v>0</v>
      </c>
      <c r="EJ88" s="120">
        <f t="shared" si="159"/>
        <v>0</v>
      </c>
      <c r="EK88" s="120">
        <f t="shared" si="160"/>
        <v>0</v>
      </c>
      <c r="EL88" s="120">
        <f t="shared" si="161"/>
        <v>0</v>
      </c>
      <c r="EM88" s="120">
        <f t="shared" si="162"/>
        <v>0</v>
      </c>
      <c r="EN88" s="120">
        <f t="shared" si="163"/>
        <v>0</v>
      </c>
      <c r="EO88" s="120">
        <f t="shared" si="164"/>
        <v>0</v>
      </c>
      <c r="EP88" s="120">
        <f t="shared" si="165"/>
        <v>0</v>
      </c>
      <c r="EQ88" s="120">
        <f t="shared" si="166"/>
        <v>0</v>
      </c>
      <c r="ER88" s="120">
        <f t="shared" si="167"/>
        <v>0</v>
      </c>
      <c r="ES88" s="120">
        <f t="shared" si="168"/>
        <v>0</v>
      </c>
      <c r="ET88" s="120">
        <f t="shared" si="169"/>
        <v>0</v>
      </c>
      <c r="EU88" s="120">
        <f t="shared" si="170"/>
        <v>0</v>
      </c>
      <c r="EV88" s="120">
        <f t="shared" si="171"/>
        <v>0</v>
      </c>
      <c r="EW88" s="205">
        <f t="shared" si="172"/>
        <v>0</v>
      </c>
      <c r="EX88" s="72"/>
      <c r="EY88" s="119">
        <f t="shared" si="173"/>
        <v>2697.2662500000006</v>
      </c>
      <c r="EZ88" s="120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0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0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0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0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0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0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0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0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0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0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0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0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0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0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0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0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0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0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0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0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0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0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0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0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0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0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0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0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0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0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0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0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0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0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0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0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0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0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0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5">
        <f t="shared" ca="1" si="174"/>
        <v>0</v>
      </c>
    </row>
    <row r="89" spans="112:196">
      <c r="DH89" s="119">
        <f t="shared" si="131"/>
        <v>2832.1295625000007</v>
      </c>
      <c r="DI89" s="120">
        <f t="shared" si="132"/>
        <v>0</v>
      </c>
      <c r="DJ89" s="120">
        <f t="shared" si="133"/>
        <v>0</v>
      </c>
      <c r="DK89" s="120">
        <f t="shared" si="134"/>
        <v>0</v>
      </c>
      <c r="DL89" s="120">
        <f t="shared" si="135"/>
        <v>0</v>
      </c>
      <c r="DM89" s="120">
        <f t="shared" si="136"/>
        <v>0</v>
      </c>
      <c r="DN89" s="120">
        <f t="shared" si="137"/>
        <v>0</v>
      </c>
      <c r="DO89" s="120">
        <f t="shared" si="138"/>
        <v>0</v>
      </c>
      <c r="DP89" s="120">
        <f t="shared" si="139"/>
        <v>0</v>
      </c>
      <c r="DQ89" s="120">
        <f t="shared" si="140"/>
        <v>0</v>
      </c>
      <c r="DR89" s="120">
        <f t="shared" si="141"/>
        <v>0</v>
      </c>
      <c r="DS89" s="120">
        <f t="shared" si="142"/>
        <v>0</v>
      </c>
      <c r="DT89" s="120">
        <f t="shared" si="143"/>
        <v>0</v>
      </c>
      <c r="DU89" s="120">
        <f t="shared" si="144"/>
        <v>0</v>
      </c>
      <c r="DV89" s="120">
        <f t="shared" si="145"/>
        <v>0</v>
      </c>
      <c r="DW89" s="120">
        <f t="shared" si="146"/>
        <v>0</v>
      </c>
      <c r="DX89" s="120">
        <f t="shared" si="147"/>
        <v>0</v>
      </c>
      <c r="DY89" s="120">
        <f t="shared" si="148"/>
        <v>0</v>
      </c>
      <c r="DZ89" s="120">
        <f t="shared" si="149"/>
        <v>0</v>
      </c>
      <c r="EA89" s="120">
        <f t="shared" si="150"/>
        <v>0</v>
      </c>
      <c r="EB89" s="120">
        <f t="shared" si="151"/>
        <v>0</v>
      </c>
      <c r="EC89" s="120">
        <f t="shared" si="152"/>
        <v>0</v>
      </c>
      <c r="ED89" s="120">
        <f t="shared" si="153"/>
        <v>0</v>
      </c>
      <c r="EE89" s="120">
        <f t="shared" si="154"/>
        <v>0</v>
      </c>
      <c r="EF89" s="120">
        <f t="shared" si="155"/>
        <v>0</v>
      </c>
      <c r="EG89" s="120">
        <f t="shared" si="156"/>
        <v>0</v>
      </c>
      <c r="EH89" s="120">
        <f t="shared" si="157"/>
        <v>0</v>
      </c>
      <c r="EI89" s="120">
        <f t="shared" si="158"/>
        <v>0</v>
      </c>
      <c r="EJ89" s="120">
        <f t="shared" si="159"/>
        <v>0</v>
      </c>
      <c r="EK89" s="120">
        <f t="shared" si="160"/>
        <v>0</v>
      </c>
      <c r="EL89" s="120">
        <f t="shared" si="161"/>
        <v>0</v>
      </c>
      <c r="EM89" s="120">
        <f t="shared" si="162"/>
        <v>0</v>
      </c>
      <c r="EN89" s="120">
        <f t="shared" si="163"/>
        <v>0</v>
      </c>
      <c r="EO89" s="120">
        <f t="shared" si="164"/>
        <v>0</v>
      </c>
      <c r="EP89" s="120">
        <f t="shared" si="165"/>
        <v>0</v>
      </c>
      <c r="EQ89" s="120">
        <f t="shared" si="166"/>
        <v>0</v>
      </c>
      <c r="ER89" s="120">
        <f t="shared" si="167"/>
        <v>0</v>
      </c>
      <c r="ES89" s="120">
        <f t="shared" si="168"/>
        <v>0</v>
      </c>
      <c r="ET89" s="120">
        <f t="shared" si="169"/>
        <v>0</v>
      </c>
      <c r="EU89" s="120">
        <f t="shared" si="170"/>
        <v>0</v>
      </c>
      <c r="EV89" s="120">
        <f t="shared" si="171"/>
        <v>0</v>
      </c>
      <c r="EW89" s="205">
        <f t="shared" si="172"/>
        <v>0</v>
      </c>
      <c r="EX89" s="72"/>
      <c r="EY89" s="119">
        <f t="shared" si="173"/>
        <v>2832.1295625000007</v>
      </c>
      <c r="EZ89" s="120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0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0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0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0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0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0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0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0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0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0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0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0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0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0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0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0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0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0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0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0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0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0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0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0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0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0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0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0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0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0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0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0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0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0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0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0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0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0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0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5">
        <f t="shared" ca="1" si="174"/>
        <v>0</v>
      </c>
    </row>
    <row r="90" spans="112:196">
      <c r="DH90" s="119">
        <f t="shared" si="131"/>
        <v>2973.7360406250009</v>
      </c>
      <c r="DI90" s="120">
        <f t="shared" si="132"/>
        <v>0</v>
      </c>
      <c r="DJ90" s="120">
        <f t="shared" si="133"/>
        <v>0</v>
      </c>
      <c r="DK90" s="120">
        <f t="shared" si="134"/>
        <v>0</v>
      </c>
      <c r="DL90" s="120">
        <f t="shared" si="135"/>
        <v>0</v>
      </c>
      <c r="DM90" s="120">
        <f t="shared" si="136"/>
        <v>0</v>
      </c>
      <c r="DN90" s="120">
        <f t="shared" si="137"/>
        <v>0</v>
      </c>
      <c r="DO90" s="120">
        <f t="shared" si="138"/>
        <v>0</v>
      </c>
      <c r="DP90" s="120">
        <f t="shared" si="139"/>
        <v>0</v>
      </c>
      <c r="DQ90" s="120">
        <f t="shared" si="140"/>
        <v>0</v>
      </c>
      <c r="DR90" s="120">
        <f t="shared" si="141"/>
        <v>0</v>
      </c>
      <c r="DS90" s="120">
        <f t="shared" si="142"/>
        <v>0</v>
      </c>
      <c r="DT90" s="120">
        <f t="shared" si="143"/>
        <v>0</v>
      </c>
      <c r="DU90" s="120">
        <f t="shared" si="144"/>
        <v>0</v>
      </c>
      <c r="DV90" s="120">
        <f t="shared" si="145"/>
        <v>0</v>
      </c>
      <c r="DW90" s="120">
        <f t="shared" si="146"/>
        <v>0</v>
      </c>
      <c r="DX90" s="120">
        <f t="shared" si="147"/>
        <v>0</v>
      </c>
      <c r="DY90" s="120">
        <f t="shared" si="148"/>
        <v>0</v>
      </c>
      <c r="DZ90" s="120">
        <f t="shared" si="149"/>
        <v>0</v>
      </c>
      <c r="EA90" s="120">
        <f t="shared" si="150"/>
        <v>0</v>
      </c>
      <c r="EB90" s="120">
        <f t="shared" si="151"/>
        <v>0</v>
      </c>
      <c r="EC90" s="120">
        <f t="shared" si="152"/>
        <v>0</v>
      </c>
      <c r="ED90" s="120">
        <f t="shared" si="153"/>
        <v>0</v>
      </c>
      <c r="EE90" s="120">
        <f t="shared" si="154"/>
        <v>0</v>
      </c>
      <c r="EF90" s="120">
        <f t="shared" si="155"/>
        <v>0</v>
      </c>
      <c r="EG90" s="120">
        <f t="shared" si="156"/>
        <v>0</v>
      </c>
      <c r="EH90" s="120">
        <f t="shared" si="157"/>
        <v>0</v>
      </c>
      <c r="EI90" s="120">
        <f t="shared" si="158"/>
        <v>0</v>
      </c>
      <c r="EJ90" s="120">
        <f t="shared" si="159"/>
        <v>0</v>
      </c>
      <c r="EK90" s="120">
        <f t="shared" si="160"/>
        <v>0</v>
      </c>
      <c r="EL90" s="120">
        <f t="shared" si="161"/>
        <v>0</v>
      </c>
      <c r="EM90" s="120">
        <f t="shared" si="162"/>
        <v>0</v>
      </c>
      <c r="EN90" s="120">
        <f t="shared" si="163"/>
        <v>0</v>
      </c>
      <c r="EO90" s="120">
        <f t="shared" si="164"/>
        <v>0</v>
      </c>
      <c r="EP90" s="120">
        <f t="shared" si="165"/>
        <v>0</v>
      </c>
      <c r="EQ90" s="120">
        <f t="shared" si="166"/>
        <v>0</v>
      </c>
      <c r="ER90" s="120">
        <f t="shared" si="167"/>
        <v>0</v>
      </c>
      <c r="ES90" s="120">
        <f t="shared" si="168"/>
        <v>0</v>
      </c>
      <c r="ET90" s="120">
        <f t="shared" si="169"/>
        <v>0</v>
      </c>
      <c r="EU90" s="120">
        <f t="shared" si="170"/>
        <v>0</v>
      </c>
      <c r="EV90" s="120">
        <f t="shared" si="171"/>
        <v>0</v>
      </c>
      <c r="EW90" s="205">
        <f t="shared" si="172"/>
        <v>0</v>
      </c>
      <c r="EX90" s="72"/>
      <c r="EY90" s="119">
        <f t="shared" si="173"/>
        <v>2973.7360406250009</v>
      </c>
      <c r="EZ90" s="120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0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0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0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0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0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0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0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0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0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0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0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0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0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0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0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0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0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0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0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0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0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0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0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0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0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0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0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0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0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0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0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0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0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0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0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0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0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0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0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5">
        <f t="shared" ca="1" si="174"/>
        <v>0</v>
      </c>
    </row>
    <row r="91" spans="112:196">
      <c r="DH91" s="119">
        <f t="shared" si="131"/>
        <v>3122.4228426562509</v>
      </c>
      <c r="DI91" s="120">
        <f t="shared" si="132"/>
        <v>0</v>
      </c>
      <c r="DJ91" s="120">
        <f t="shared" si="133"/>
        <v>0</v>
      </c>
      <c r="DK91" s="120">
        <f t="shared" si="134"/>
        <v>0</v>
      </c>
      <c r="DL91" s="120">
        <f t="shared" si="135"/>
        <v>0</v>
      </c>
      <c r="DM91" s="120">
        <f t="shared" si="136"/>
        <v>0</v>
      </c>
      <c r="DN91" s="120">
        <f t="shared" si="137"/>
        <v>0</v>
      </c>
      <c r="DO91" s="120">
        <f t="shared" si="138"/>
        <v>0</v>
      </c>
      <c r="DP91" s="120">
        <f t="shared" si="139"/>
        <v>0</v>
      </c>
      <c r="DQ91" s="120">
        <f t="shared" si="140"/>
        <v>0</v>
      </c>
      <c r="DR91" s="120">
        <f t="shared" si="141"/>
        <v>0</v>
      </c>
      <c r="DS91" s="120">
        <f t="shared" si="142"/>
        <v>0</v>
      </c>
      <c r="DT91" s="120">
        <f t="shared" si="143"/>
        <v>0</v>
      </c>
      <c r="DU91" s="120">
        <f t="shared" si="144"/>
        <v>0</v>
      </c>
      <c r="DV91" s="120">
        <f t="shared" si="145"/>
        <v>0</v>
      </c>
      <c r="DW91" s="120">
        <f t="shared" si="146"/>
        <v>0</v>
      </c>
      <c r="DX91" s="120">
        <f t="shared" si="147"/>
        <v>0</v>
      </c>
      <c r="DY91" s="120">
        <f t="shared" si="148"/>
        <v>0</v>
      </c>
      <c r="DZ91" s="120">
        <f t="shared" si="149"/>
        <v>0</v>
      </c>
      <c r="EA91" s="120">
        <f t="shared" si="150"/>
        <v>0</v>
      </c>
      <c r="EB91" s="120">
        <f t="shared" si="151"/>
        <v>0</v>
      </c>
      <c r="EC91" s="120">
        <f t="shared" si="152"/>
        <v>0</v>
      </c>
      <c r="ED91" s="120">
        <f t="shared" si="153"/>
        <v>0</v>
      </c>
      <c r="EE91" s="120">
        <f t="shared" si="154"/>
        <v>0</v>
      </c>
      <c r="EF91" s="120">
        <f t="shared" si="155"/>
        <v>0</v>
      </c>
      <c r="EG91" s="120">
        <f t="shared" si="156"/>
        <v>0</v>
      </c>
      <c r="EH91" s="120">
        <f t="shared" si="157"/>
        <v>0</v>
      </c>
      <c r="EI91" s="120">
        <f t="shared" si="158"/>
        <v>0</v>
      </c>
      <c r="EJ91" s="120">
        <f t="shared" si="159"/>
        <v>0</v>
      </c>
      <c r="EK91" s="120">
        <f t="shared" si="160"/>
        <v>0</v>
      </c>
      <c r="EL91" s="120">
        <f t="shared" si="161"/>
        <v>0</v>
      </c>
      <c r="EM91" s="120">
        <f t="shared" si="162"/>
        <v>0</v>
      </c>
      <c r="EN91" s="120">
        <f t="shared" si="163"/>
        <v>0</v>
      </c>
      <c r="EO91" s="120">
        <f t="shared" si="164"/>
        <v>0</v>
      </c>
      <c r="EP91" s="120">
        <f t="shared" si="165"/>
        <v>0</v>
      </c>
      <c r="EQ91" s="120">
        <f t="shared" si="166"/>
        <v>0</v>
      </c>
      <c r="ER91" s="120">
        <f t="shared" si="167"/>
        <v>0</v>
      </c>
      <c r="ES91" s="120">
        <f t="shared" si="168"/>
        <v>0</v>
      </c>
      <c r="ET91" s="120">
        <f t="shared" si="169"/>
        <v>0</v>
      </c>
      <c r="EU91" s="120">
        <f t="shared" si="170"/>
        <v>0</v>
      </c>
      <c r="EV91" s="120">
        <f t="shared" si="171"/>
        <v>0</v>
      </c>
      <c r="EW91" s="205">
        <f t="shared" si="172"/>
        <v>0</v>
      </c>
      <c r="EX91" s="72"/>
      <c r="EY91" s="119">
        <f t="shared" si="173"/>
        <v>3122.4228426562509</v>
      </c>
      <c r="EZ91" s="120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0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0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0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0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0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0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0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0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0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0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0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0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0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0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0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0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0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0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0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0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0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0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0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0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0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0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0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0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0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0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0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0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0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0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0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0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0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0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0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5">
        <f t="shared" ca="1" si="174"/>
        <v>0</v>
      </c>
    </row>
    <row r="92" spans="112:196">
      <c r="DH92" s="119">
        <f t="shared" si="131"/>
        <v>3278.5439847890634</v>
      </c>
      <c r="DI92" s="120">
        <f t="shared" si="132"/>
        <v>0</v>
      </c>
      <c r="DJ92" s="120">
        <f t="shared" si="133"/>
        <v>0</v>
      </c>
      <c r="DK92" s="120">
        <f t="shared" si="134"/>
        <v>0</v>
      </c>
      <c r="DL92" s="120">
        <f t="shared" si="135"/>
        <v>0</v>
      </c>
      <c r="DM92" s="120">
        <f t="shared" si="136"/>
        <v>0</v>
      </c>
      <c r="DN92" s="120">
        <f t="shared" si="137"/>
        <v>0</v>
      </c>
      <c r="DO92" s="120">
        <f t="shared" si="138"/>
        <v>0</v>
      </c>
      <c r="DP92" s="120">
        <f t="shared" si="139"/>
        <v>0</v>
      </c>
      <c r="DQ92" s="120">
        <f t="shared" si="140"/>
        <v>0</v>
      </c>
      <c r="DR92" s="120">
        <f t="shared" si="141"/>
        <v>0</v>
      </c>
      <c r="DS92" s="120">
        <f t="shared" si="142"/>
        <v>0</v>
      </c>
      <c r="DT92" s="120">
        <f t="shared" si="143"/>
        <v>0</v>
      </c>
      <c r="DU92" s="120">
        <f t="shared" si="144"/>
        <v>0</v>
      </c>
      <c r="DV92" s="120">
        <f t="shared" si="145"/>
        <v>0</v>
      </c>
      <c r="DW92" s="120">
        <f t="shared" si="146"/>
        <v>0</v>
      </c>
      <c r="DX92" s="120">
        <f t="shared" si="147"/>
        <v>0</v>
      </c>
      <c r="DY92" s="120">
        <f t="shared" si="148"/>
        <v>0</v>
      </c>
      <c r="DZ92" s="120">
        <f t="shared" si="149"/>
        <v>0</v>
      </c>
      <c r="EA92" s="120">
        <f t="shared" si="150"/>
        <v>0</v>
      </c>
      <c r="EB92" s="120">
        <f t="shared" si="151"/>
        <v>0</v>
      </c>
      <c r="EC92" s="120">
        <f t="shared" si="152"/>
        <v>0</v>
      </c>
      <c r="ED92" s="120">
        <f t="shared" si="153"/>
        <v>0</v>
      </c>
      <c r="EE92" s="120">
        <f t="shared" si="154"/>
        <v>0</v>
      </c>
      <c r="EF92" s="120">
        <f t="shared" si="155"/>
        <v>0</v>
      </c>
      <c r="EG92" s="120">
        <f t="shared" si="156"/>
        <v>0</v>
      </c>
      <c r="EH92" s="120">
        <f t="shared" si="157"/>
        <v>0</v>
      </c>
      <c r="EI92" s="120">
        <f t="shared" si="158"/>
        <v>0</v>
      </c>
      <c r="EJ92" s="120">
        <f t="shared" si="159"/>
        <v>0</v>
      </c>
      <c r="EK92" s="120">
        <f t="shared" si="160"/>
        <v>0</v>
      </c>
      <c r="EL92" s="120">
        <f t="shared" si="161"/>
        <v>0</v>
      </c>
      <c r="EM92" s="120">
        <f t="shared" si="162"/>
        <v>0</v>
      </c>
      <c r="EN92" s="120">
        <f t="shared" si="163"/>
        <v>0</v>
      </c>
      <c r="EO92" s="120">
        <f t="shared" si="164"/>
        <v>0</v>
      </c>
      <c r="EP92" s="120">
        <f t="shared" si="165"/>
        <v>0</v>
      </c>
      <c r="EQ92" s="120">
        <f t="shared" si="166"/>
        <v>0</v>
      </c>
      <c r="ER92" s="120">
        <f t="shared" si="167"/>
        <v>0</v>
      </c>
      <c r="ES92" s="120">
        <f t="shared" si="168"/>
        <v>0</v>
      </c>
      <c r="ET92" s="120">
        <f t="shared" si="169"/>
        <v>0</v>
      </c>
      <c r="EU92" s="120">
        <f t="shared" si="170"/>
        <v>0</v>
      </c>
      <c r="EV92" s="120">
        <f t="shared" si="171"/>
        <v>0</v>
      </c>
      <c r="EW92" s="205">
        <f t="shared" si="172"/>
        <v>0</v>
      </c>
      <c r="EX92" s="72"/>
      <c r="EY92" s="119">
        <f t="shared" si="173"/>
        <v>3278.5439847890634</v>
      </c>
      <c r="EZ92" s="120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0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0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0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0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0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0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0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0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0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0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0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0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0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0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0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0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0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0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0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0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0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0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0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0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0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0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0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0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0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0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0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0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0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0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0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0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0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0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0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5">
        <f t="shared" ca="1" si="174"/>
        <v>0</v>
      </c>
    </row>
    <row r="93" spans="112:196">
      <c r="DH93" s="119">
        <f t="shared" si="131"/>
        <v>3442.4711840285167</v>
      </c>
      <c r="DI93" s="120">
        <f t="shared" si="132"/>
        <v>0</v>
      </c>
      <c r="DJ93" s="120">
        <f t="shared" si="133"/>
        <v>0</v>
      </c>
      <c r="DK93" s="120">
        <f t="shared" si="134"/>
        <v>0</v>
      </c>
      <c r="DL93" s="120">
        <f t="shared" si="135"/>
        <v>0</v>
      </c>
      <c r="DM93" s="120">
        <f t="shared" si="136"/>
        <v>0</v>
      </c>
      <c r="DN93" s="120">
        <f t="shared" si="137"/>
        <v>0</v>
      </c>
      <c r="DO93" s="120">
        <f t="shared" si="138"/>
        <v>0</v>
      </c>
      <c r="DP93" s="120">
        <f t="shared" si="139"/>
        <v>0</v>
      </c>
      <c r="DQ93" s="120">
        <f t="shared" si="140"/>
        <v>0</v>
      </c>
      <c r="DR93" s="120">
        <f t="shared" si="141"/>
        <v>0</v>
      </c>
      <c r="DS93" s="120">
        <f t="shared" si="142"/>
        <v>0</v>
      </c>
      <c r="DT93" s="120">
        <f t="shared" si="143"/>
        <v>0</v>
      </c>
      <c r="DU93" s="120">
        <f t="shared" si="144"/>
        <v>0</v>
      </c>
      <c r="DV93" s="120">
        <f t="shared" si="145"/>
        <v>0</v>
      </c>
      <c r="DW93" s="120">
        <f t="shared" si="146"/>
        <v>0</v>
      </c>
      <c r="DX93" s="120">
        <f t="shared" si="147"/>
        <v>0</v>
      </c>
      <c r="DY93" s="120">
        <f t="shared" si="148"/>
        <v>0</v>
      </c>
      <c r="DZ93" s="120">
        <f t="shared" si="149"/>
        <v>0</v>
      </c>
      <c r="EA93" s="120">
        <f t="shared" si="150"/>
        <v>0</v>
      </c>
      <c r="EB93" s="120">
        <f t="shared" si="151"/>
        <v>0</v>
      </c>
      <c r="EC93" s="120">
        <f t="shared" si="152"/>
        <v>0</v>
      </c>
      <c r="ED93" s="120">
        <f t="shared" si="153"/>
        <v>0</v>
      </c>
      <c r="EE93" s="120">
        <f t="shared" si="154"/>
        <v>0</v>
      </c>
      <c r="EF93" s="120">
        <f t="shared" si="155"/>
        <v>0</v>
      </c>
      <c r="EG93" s="120">
        <f t="shared" si="156"/>
        <v>0</v>
      </c>
      <c r="EH93" s="120">
        <f t="shared" si="157"/>
        <v>0</v>
      </c>
      <c r="EI93" s="120">
        <f t="shared" si="158"/>
        <v>0</v>
      </c>
      <c r="EJ93" s="120">
        <f t="shared" si="159"/>
        <v>0</v>
      </c>
      <c r="EK93" s="120">
        <f t="shared" si="160"/>
        <v>0</v>
      </c>
      <c r="EL93" s="120">
        <f t="shared" si="161"/>
        <v>0</v>
      </c>
      <c r="EM93" s="120">
        <f t="shared" si="162"/>
        <v>0</v>
      </c>
      <c r="EN93" s="120">
        <f t="shared" si="163"/>
        <v>0</v>
      </c>
      <c r="EO93" s="120">
        <f t="shared" si="164"/>
        <v>0</v>
      </c>
      <c r="EP93" s="120">
        <f t="shared" si="165"/>
        <v>0</v>
      </c>
      <c r="EQ93" s="120">
        <f t="shared" si="166"/>
        <v>0</v>
      </c>
      <c r="ER93" s="120">
        <f t="shared" si="167"/>
        <v>0</v>
      </c>
      <c r="ES93" s="120">
        <f t="shared" si="168"/>
        <v>0</v>
      </c>
      <c r="ET93" s="120">
        <f t="shared" si="169"/>
        <v>0</v>
      </c>
      <c r="EU93" s="120">
        <f t="shared" si="170"/>
        <v>0</v>
      </c>
      <c r="EV93" s="120">
        <f t="shared" si="171"/>
        <v>0</v>
      </c>
      <c r="EW93" s="205">
        <f t="shared" si="172"/>
        <v>0</v>
      </c>
      <c r="EX93" s="72"/>
      <c r="EY93" s="119">
        <f t="shared" si="173"/>
        <v>3442.4711840285167</v>
      </c>
      <c r="EZ93" s="120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0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0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0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0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0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0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0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0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0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0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0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0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0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0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0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0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0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0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0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0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0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0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0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0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0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0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0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0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0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0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0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0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0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0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0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0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0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0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0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5">
        <f t="shared" ca="1" si="174"/>
        <v>0</v>
      </c>
    </row>
    <row r="94" spans="112:196">
      <c r="DH94" s="119">
        <f t="shared" si="131"/>
        <v>3614.5947432299427</v>
      </c>
      <c r="DI94" s="120">
        <f t="shared" si="132"/>
        <v>0</v>
      </c>
      <c r="DJ94" s="120">
        <f t="shared" si="133"/>
        <v>0</v>
      </c>
      <c r="DK94" s="120">
        <f t="shared" si="134"/>
        <v>0</v>
      </c>
      <c r="DL94" s="120">
        <f t="shared" si="135"/>
        <v>0</v>
      </c>
      <c r="DM94" s="120">
        <f t="shared" si="136"/>
        <v>0</v>
      </c>
      <c r="DN94" s="120">
        <f t="shared" si="137"/>
        <v>0</v>
      </c>
      <c r="DO94" s="120">
        <f t="shared" si="138"/>
        <v>0</v>
      </c>
      <c r="DP94" s="120">
        <f t="shared" si="139"/>
        <v>0</v>
      </c>
      <c r="DQ94" s="120">
        <f t="shared" si="140"/>
        <v>0</v>
      </c>
      <c r="DR94" s="120">
        <f t="shared" si="141"/>
        <v>0</v>
      </c>
      <c r="DS94" s="120">
        <f t="shared" si="142"/>
        <v>0</v>
      </c>
      <c r="DT94" s="120">
        <f t="shared" si="143"/>
        <v>0</v>
      </c>
      <c r="DU94" s="120">
        <f t="shared" si="144"/>
        <v>0</v>
      </c>
      <c r="DV94" s="120">
        <f t="shared" si="145"/>
        <v>0</v>
      </c>
      <c r="DW94" s="120">
        <f t="shared" si="146"/>
        <v>0</v>
      </c>
      <c r="DX94" s="120">
        <f t="shared" si="147"/>
        <v>0</v>
      </c>
      <c r="DY94" s="120">
        <f t="shared" si="148"/>
        <v>0</v>
      </c>
      <c r="DZ94" s="120">
        <f t="shared" si="149"/>
        <v>0</v>
      </c>
      <c r="EA94" s="120">
        <f t="shared" si="150"/>
        <v>0</v>
      </c>
      <c r="EB94" s="120">
        <f t="shared" si="151"/>
        <v>0</v>
      </c>
      <c r="EC94" s="120">
        <f t="shared" si="152"/>
        <v>0</v>
      </c>
      <c r="ED94" s="120">
        <f t="shared" si="153"/>
        <v>0</v>
      </c>
      <c r="EE94" s="120">
        <f t="shared" si="154"/>
        <v>0</v>
      </c>
      <c r="EF94" s="120">
        <f t="shared" si="155"/>
        <v>0</v>
      </c>
      <c r="EG94" s="120">
        <f t="shared" si="156"/>
        <v>0</v>
      </c>
      <c r="EH94" s="120">
        <f t="shared" si="157"/>
        <v>0</v>
      </c>
      <c r="EI94" s="120">
        <f t="shared" si="158"/>
        <v>0</v>
      </c>
      <c r="EJ94" s="120">
        <f t="shared" si="159"/>
        <v>0</v>
      </c>
      <c r="EK94" s="120">
        <f t="shared" si="160"/>
        <v>0</v>
      </c>
      <c r="EL94" s="120">
        <f t="shared" si="161"/>
        <v>0</v>
      </c>
      <c r="EM94" s="120">
        <f t="shared" si="162"/>
        <v>0</v>
      </c>
      <c r="EN94" s="120">
        <f t="shared" si="163"/>
        <v>0</v>
      </c>
      <c r="EO94" s="120">
        <f t="shared" si="164"/>
        <v>0</v>
      </c>
      <c r="EP94" s="120">
        <f t="shared" si="165"/>
        <v>0</v>
      </c>
      <c r="EQ94" s="120">
        <f t="shared" si="166"/>
        <v>0</v>
      </c>
      <c r="ER94" s="120">
        <f t="shared" si="167"/>
        <v>0</v>
      </c>
      <c r="ES94" s="120">
        <f t="shared" si="168"/>
        <v>0</v>
      </c>
      <c r="ET94" s="120">
        <f t="shared" si="169"/>
        <v>0</v>
      </c>
      <c r="EU94" s="120">
        <f t="shared" si="170"/>
        <v>0</v>
      </c>
      <c r="EV94" s="120">
        <f t="shared" si="171"/>
        <v>0</v>
      </c>
      <c r="EW94" s="205">
        <f t="shared" si="172"/>
        <v>0</v>
      </c>
      <c r="EX94" s="72"/>
      <c r="EY94" s="119">
        <f t="shared" si="173"/>
        <v>3614.5947432299427</v>
      </c>
      <c r="EZ94" s="120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0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0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0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0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0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0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0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0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0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0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0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0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0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0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0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0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0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0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0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0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0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0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0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0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0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0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0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0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0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0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0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0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0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0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0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0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0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0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0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5">
        <f t="shared" ca="1" si="174"/>
        <v>0</v>
      </c>
    </row>
    <row r="95" spans="112:196">
      <c r="DH95" s="119">
        <f t="shared" si="131"/>
        <v>3795.3244803914399</v>
      </c>
      <c r="DI95" s="120">
        <f t="shared" si="132"/>
        <v>0</v>
      </c>
      <c r="DJ95" s="120">
        <f t="shared" si="133"/>
        <v>0</v>
      </c>
      <c r="DK95" s="120">
        <f t="shared" si="134"/>
        <v>0</v>
      </c>
      <c r="DL95" s="120">
        <f t="shared" si="135"/>
        <v>0</v>
      </c>
      <c r="DM95" s="120">
        <f t="shared" si="136"/>
        <v>0</v>
      </c>
      <c r="DN95" s="120">
        <f t="shared" si="137"/>
        <v>0</v>
      </c>
      <c r="DO95" s="120">
        <f t="shared" si="138"/>
        <v>0</v>
      </c>
      <c r="DP95" s="120">
        <f t="shared" si="139"/>
        <v>0</v>
      </c>
      <c r="DQ95" s="120">
        <f t="shared" si="140"/>
        <v>0</v>
      </c>
      <c r="DR95" s="120">
        <f t="shared" si="141"/>
        <v>0</v>
      </c>
      <c r="DS95" s="120">
        <f t="shared" si="142"/>
        <v>0</v>
      </c>
      <c r="DT95" s="120">
        <f t="shared" si="143"/>
        <v>0</v>
      </c>
      <c r="DU95" s="120">
        <f t="shared" si="144"/>
        <v>0</v>
      </c>
      <c r="DV95" s="120">
        <f t="shared" si="145"/>
        <v>0</v>
      </c>
      <c r="DW95" s="120">
        <f t="shared" si="146"/>
        <v>0</v>
      </c>
      <c r="DX95" s="120">
        <f t="shared" si="147"/>
        <v>0</v>
      </c>
      <c r="DY95" s="120">
        <f t="shared" si="148"/>
        <v>0</v>
      </c>
      <c r="DZ95" s="120">
        <f t="shared" si="149"/>
        <v>0</v>
      </c>
      <c r="EA95" s="120">
        <f t="shared" si="150"/>
        <v>0</v>
      </c>
      <c r="EB95" s="120">
        <f t="shared" si="151"/>
        <v>0</v>
      </c>
      <c r="EC95" s="120">
        <f t="shared" si="152"/>
        <v>0</v>
      </c>
      <c r="ED95" s="120">
        <f t="shared" si="153"/>
        <v>0</v>
      </c>
      <c r="EE95" s="120">
        <f t="shared" si="154"/>
        <v>0</v>
      </c>
      <c r="EF95" s="120">
        <f t="shared" si="155"/>
        <v>0</v>
      </c>
      <c r="EG95" s="120">
        <f t="shared" si="156"/>
        <v>0</v>
      </c>
      <c r="EH95" s="120">
        <f t="shared" si="157"/>
        <v>0</v>
      </c>
      <c r="EI95" s="120">
        <f t="shared" si="158"/>
        <v>0</v>
      </c>
      <c r="EJ95" s="120">
        <f t="shared" si="159"/>
        <v>0</v>
      </c>
      <c r="EK95" s="120">
        <f t="shared" si="160"/>
        <v>0</v>
      </c>
      <c r="EL95" s="120">
        <f t="shared" si="161"/>
        <v>0</v>
      </c>
      <c r="EM95" s="120">
        <f t="shared" si="162"/>
        <v>0</v>
      </c>
      <c r="EN95" s="120">
        <f t="shared" si="163"/>
        <v>0</v>
      </c>
      <c r="EO95" s="120">
        <f t="shared" si="164"/>
        <v>0</v>
      </c>
      <c r="EP95" s="120">
        <f t="shared" si="165"/>
        <v>0</v>
      </c>
      <c r="EQ95" s="120">
        <f t="shared" si="166"/>
        <v>0</v>
      </c>
      <c r="ER95" s="120">
        <f t="shared" si="167"/>
        <v>0</v>
      </c>
      <c r="ES95" s="120">
        <f t="shared" si="168"/>
        <v>0</v>
      </c>
      <c r="ET95" s="120">
        <f t="shared" si="169"/>
        <v>0</v>
      </c>
      <c r="EU95" s="120">
        <f t="shared" si="170"/>
        <v>0</v>
      </c>
      <c r="EV95" s="120">
        <f t="shared" si="171"/>
        <v>0</v>
      </c>
      <c r="EW95" s="205">
        <f t="shared" si="172"/>
        <v>0</v>
      </c>
      <c r="EX95" s="72"/>
      <c r="EY95" s="119">
        <f t="shared" si="173"/>
        <v>3795.3244803914399</v>
      </c>
      <c r="EZ95" s="120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0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0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0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0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0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0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0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0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0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0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0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0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0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0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0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0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0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0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0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0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0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0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0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0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0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0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0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0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0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0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0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0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0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0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0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0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0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0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0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5">
        <f t="shared" ca="1" si="174"/>
        <v>0</v>
      </c>
    </row>
    <row r="96" spans="112:196">
      <c r="DH96" s="119">
        <f t="shared" si="131"/>
        <v>3985.0907044110122</v>
      </c>
      <c r="DI96" s="120">
        <f t="shared" si="132"/>
        <v>0</v>
      </c>
      <c r="DJ96" s="120">
        <f t="shared" si="133"/>
        <v>0</v>
      </c>
      <c r="DK96" s="120">
        <f t="shared" si="134"/>
        <v>0</v>
      </c>
      <c r="DL96" s="120">
        <f t="shared" si="135"/>
        <v>0</v>
      </c>
      <c r="DM96" s="120">
        <f t="shared" si="136"/>
        <v>0</v>
      </c>
      <c r="DN96" s="120">
        <f t="shared" si="137"/>
        <v>0</v>
      </c>
      <c r="DO96" s="120">
        <f t="shared" si="138"/>
        <v>0</v>
      </c>
      <c r="DP96" s="120">
        <f t="shared" si="139"/>
        <v>0</v>
      </c>
      <c r="DQ96" s="120">
        <f t="shared" si="140"/>
        <v>0</v>
      </c>
      <c r="DR96" s="120">
        <f t="shared" si="141"/>
        <v>0</v>
      </c>
      <c r="DS96" s="120">
        <f t="shared" si="142"/>
        <v>0</v>
      </c>
      <c r="DT96" s="120">
        <f t="shared" si="143"/>
        <v>0</v>
      </c>
      <c r="DU96" s="120">
        <f t="shared" si="144"/>
        <v>0</v>
      </c>
      <c r="DV96" s="120">
        <f t="shared" si="145"/>
        <v>0</v>
      </c>
      <c r="DW96" s="120">
        <f t="shared" si="146"/>
        <v>0</v>
      </c>
      <c r="DX96" s="120">
        <f t="shared" si="147"/>
        <v>0</v>
      </c>
      <c r="DY96" s="120">
        <f t="shared" si="148"/>
        <v>0</v>
      </c>
      <c r="DZ96" s="120">
        <f t="shared" si="149"/>
        <v>0</v>
      </c>
      <c r="EA96" s="120">
        <f t="shared" si="150"/>
        <v>0</v>
      </c>
      <c r="EB96" s="120">
        <f t="shared" si="151"/>
        <v>0</v>
      </c>
      <c r="EC96" s="120">
        <f t="shared" si="152"/>
        <v>0</v>
      </c>
      <c r="ED96" s="120">
        <f t="shared" si="153"/>
        <v>0</v>
      </c>
      <c r="EE96" s="120">
        <f t="shared" si="154"/>
        <v>0</v>
      </c>
      <c r="EF96" s="120">
        <f t="shared" si="155"/>
        <v>0</v>
      </c>
      <c r="EG96" s="120">
        <f t="shared" si="156"/>
        <v>0</v>
      </c>
      <c r="EH96" s="120">
        <f t="shared" si="157"/>
        <v>0</v>
      </c>
      <c r="EI96" s="120">
        <f t="shared" si="158"/>
        <v>0</v>
      </c>
      <c r="EJ96" s="120">
        <f t="shared" si="159"/>
        <v>0</v>
      </c>
      <c r="EK96" s="120">
        <f t="shared" si="160"/>
        <v>0</v>
      </c>
      <c r="EL96" s="120">
        <f t="shared" si="161"/>
        <v>0</v>
      </c>
      <c r="EM96" s="120">
        <f t="shared" si="162"/>
        <v>0</v>
      </c>
      <c r="EN96" s="120">
        <f t="shared" si="163"/>
        <v>0</v>
      </c>
      <c r="EO96" s="120">
        <f t="shared" si="164"/>
        <v>0</v>
      </c>
      <c r="EP96" s="120">
        <f t="shared" si="165"/>
        <v>0</v>
      </c>
      <c r="EQ96" s="120">
        <f t="shared" si="166"/>
        <v>0</v>
      </c>
      <c r="ER96" s="120">
        <f t="shared" si="167"/>
        <v>0</v>
      </c>
      <c r="ES96" s="120">
        <f t="shared" si="168"/>
        <v>0</v>
      </c>
      <c r="ET96" s="120">
        <f t="shared" si="169"/>
        <v>0</v>
      </c>
      <c r="EU96" s="120">
        <f t="shared" si="170"/>
        <v>0</v>
      </c>
      <c r="EV96" s="120">
        <f t="shared" si="171"/>
        <v>0</v>
      </c>
      <c r="EW96" s="205">
        <f t="shared" si="172"/>
        <v>0</v>
      </c>
      <c r="EX96" s="72"/>
      <c r="EY96" s="119">
        <f t="shared" si="173"/>
        <v>3985.0907044110122</v>
      </c>
      <c r="EZ96" s="120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0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0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0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0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0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0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0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0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0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0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0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0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0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0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0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0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0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0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0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0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0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0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0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0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0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0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0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0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0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0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0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0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0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0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0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0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0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0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0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5">
        <f t="shared" ca="1" si="174"/>
        <v>0</v>
      </c>
    </row>
    <row r="97" spans="112:196">
      <c r="DH97" s="119">
        <f t="shared" si="131"/>
        <v>4184.3452396315633</v>
      </c>
      <c r="DI97" s="120">
        <f t="shared" si="132"/>
        <v>0</v>
      </c>
      <c r="DJ97" s="120">
        <f t="shared" si="133"/>
        <v>0</v>
      </c>
      <c r="DK97" s="120">
        <f t="shared" si="134"/>
        <v>0</v>
      </c>
      <c r="DL97" s="120">
        <f t="shared" si="135"/>
        <v>0</v>
      </c>
      <c r="DM97" s="120">
        <f t="shared" si="136"/>
        <v>0</v>
      </c>
      <c r="DN97" s="120">
        <f t="shared" si="137"/>
        <v>0</v>
      </c>
      <c r="DO97" s="120">
        <f t="shared" si="138"/>
        <v>0</v>
      </c>
      <c r="DP97" s="120">
        <f t="shared" si="139"/>
        <v>0</v>
      </c>
      <c r="DQ97" s="120">
        <f t="shared" si="140"/>
        <v>0</v>
      </c>
      <c r="DR97" s="120">
        <f t="shared" si="141"/>
        <v>0</v>
      </c>
      <c r="DS97" s="120">
        <f t="shared" si="142"/>
        <v>0</v>
      </c>
      <c r="DT97" s="120">
        <f t="shared" si="143"/>
        <v>0</v>
      </c>
      <c r="DU97" s="120">
        <f t="shared" si="144"/>
        <v>0</v>
      </c>
      <c r="DV97" s="120">
        <f t="shared" si="145"/>
        <v>0</v>
      </c>
      <c r="DW97" s="120">
        <f t="shared" si="146"/>
        <v>0</v>
      </c>
      <c r="DX97" s="120">
        <f t="shared" si="147"/>
        <v>0</v>
      </c>
      <c r="DY97" s="120">
        <f t="shared" si="148"/>
        <v>0</v>
      </c>
      <c r="DZ97" s="120">
        <f t="shared" si="149"/>
        <v>0</v>
      </c>
      <c r="EA97" s="120">
        <f t="shared" si="150"/>
        <v>0</v>
      </c>
      <c r="EB97" s="120">
        <f t="shared" si="151"/>
        <v>0</v>
      </c>
      <c r="EC97" s="120">
        <f t="shared" si="152"/>
        <v>0</v>
      </c>
      <c r="ED97" s="120">
        <f t="shared" si="153"/>
        <v>0</v>
      </c>
      <c r="EE97" s="120">
        <f t="shared" si="154"/>
        <v>0</v>
      </c>
      <c r="EF97" s="120">
        <f t="shared" si="155"/>
        <v>0</v>
      </c>
      <c r="EG97" s="120">
        <f t="shared" si="156"/>
        <v>0</v>
      </c>
      <c r="EH97" s="120">
        <f t="shared" si="157"/>
        <v>0</v>
      </c>
      <c r="EI97" s="120">
        <f t="shared" si="158"/>
        <v>0</v>
      </c>
      <c r="EJ97" s="120">
        <f t="shared" si="159"/>
        <v>0</v>
      </c>
      <c r="EK97" s="120">
        <f t="shared" si="160"/>
        <v>0</v>
      </c>
      <c r="EL97" s="120">
        <f t="shared" si="161"/>
        <v>0</v>
      </c>
      <c r="EM97" s="120">
        <f t="shared" si="162"/>
        <v>0</v>
      </c>
      <c r="EN97" s="120">
        <f t="shared" si="163"/>
        <v>0</v>
      </c>
      <c r="EO97" s="120">
        <f t="shared" si="164"/>
        <v>0</v>
      </c>
      <c r="EP97" s="120">
        <f t="shared" si="165"/>
        <v>0</v>
      </c>
      <c r="EQ97" s="120">
        <f t="shared" si="166"/>
        <v>0</v>
      </c>
      <c r="ER97" s="120">
        <f t="shared" si="167"/>
        <v>0</v>
      </c>
      <c r="ES97" s="120">
        <f t="shared" si="168"/>
        <v>0</v>
      </c>
      <c r="ET97" s="120">
        <f t="shared" si="169"/>
        <v>0</v>
      </c>
      <c r="EU97" s="120">
        <f t="shared" si="170"/>
        <v>0</v>
      </c>
      <c r="EV97" s="120">
        <f t="shared" si="171"/>
        <v>0</v>
      </c>
      <c r="EW97" s="205">
        <f t="shared" si="172"/>
        <v>0</v>
      </c>
      <c r="EX97" s="72"/>
      <c r="EY97" s="119">
        <f t="shared" si="173"/>
        <v>4184.3452396315633</v>
      </c>
      <c r="EZ97" s="120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0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0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0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0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0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0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0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0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0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0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0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0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0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0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0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0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0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0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0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0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0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0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0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0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0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0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0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0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0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0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0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0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0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0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0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0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0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0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0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5">
        <f t="shared" ca="1" si="174"/>
        <v>0</v>
      </c>
    </row>
    <row r="98" spans="112:196">
      <c r="DH98" s="119">
        <f t="shared" si="131"/>
        <v>4393.5625016131416</v>
      </c>
      <c r="DI98" s="120">
        <f t="shared" si="132"/>
        <v>0</v>
      </c>
      <c r="DJ98" s="120">
        <f t="shared" si="133"/>
        <v>0</v>
      </c>
      <c r="DK98" s="120">
        <f t="shared" si="134"/>
        <v>0</v>
      </c>
      <c r="DL98" s="120">
        <f t="shared" si="135"/>
        <v>0</v>
      </c>
      <c r="DM98" s="120">
        <f t="shared" si="136"/>
        <v>0</v>
      </c>
      <c r="DN98" s="120">
        <f t="shared" si="137"/>
        <v>0</v>
      </c>
      <c r="DO98" s="120">
        <f t="shared" si="138"/>
        <v>0</v>
      </c>
      <c r="DP98" s="120">
        <f t="shared" si="139"/>
        <v>0</v>
      </c>
      <c r="DQ98" s="120">
        <f t="shared" si="140"/>
        <v>0</v>
      </c>
      <c r="DR98" s="120">
        <f t="shared" si="141"/>
        <v>0</v>
      </c>
      <c r="DS98" s="120">
        <f t="shared" si="142"/>
        <v>0</v>
      </c>
      <c r="DT98" s="120">
        <f t="shared" si="143"/>
        <v>0</v>
      </c>
      <c r="DU98" s="120">
        <f t="shared" si="144"/>
        <v>0</v>
      </c>
      <c r="DV98" s="120">
        <f t="shared" si="145"/>
        <v>0</v>
      </c>
      <c r="DW98" s="120">
        <f t="shared" si="146"/>
        <v>0</v>
      </c>
      <c r="DX98" s="120">
        <f t="shared" si="147"/>
        <v>0</v>
      </c>
      <c r="DY98" s="120">
        <f t="shared" si="148"/>
        <v>0</v>
      </c>
      <c r="DZ98" s="120">
        <f t="shared" si="149"/>
        <v>0</v>
      </c>
      <c r="EA98" s="120">
        <f t="shared" si="150"/>
        <v>0</v>
      </c>
      <c r="EB98" s="120">
        <f t="shared" si="151"/>
        <v>0</v>
      </c>
      <c r="EC98" s="120">
        <f t="shared" si="152"/>
        <v>0</v>
      </c>
      <c r="ED98" s="120">
        <f t="shared" si="153"/>
        <v>0</v>
      </c>
      <c r="EE98" s="120">
        <f t="shared" si="154"/>
        <v>0</v>
      </c>
      <c r="EF98" s="120">
        <f t="shared" si="155"/>
        <v>0</v>
      </c>
      <c r="EG98" s="120">
        <f t="shared" si="156"/>
        <v>0</v>
      </c>
      <c r="EH98" s="120">
        <f t="shared" si="157"/>
        <v>0</v>
      </c>
      <c r="EI98" s="120">
        <f t="shared" si="158"/>
        <v>0</v>
      </c>
      <c r="EJ98" s="120">
        <f t="shared" si="159"/>
        <v>0</v>
      </c>
      <c r="EK98" s="120">
        <f t="shared" si="160"/>
        <v>0</v>
      </c>
      <c r="EL98" s="120">
        <f t="shared" si="161"/>
        <v>0</v>
      </c>
      <c r="EM98" s="120">
        <f t="shared" si="162"/>
        <v>0</v>
      </c>
      <c r="EN98" s="120">
        <f t="shared" si="163"/>
        <v>0</v>
      </c>
      <c r="EO98" s="120">
        <f t="shared" si="164"/>
        <v>0</v>
      </c>
      <c r="EP98" s="120">
        <f t="shared" si="165"/>
        <v>0</v>
      </c>
      <c r="EQ98" s="120">
        <f t="shared" si="166"/>
        <v>0</v>
      </c>
      <c r="ER98" s="120">
        <f t="shared" si="167"/>
        <v>0</v>
      </c>
      <c r="ES98" s="120">
        <f t="shared" si="168"/>
        <v>0</v>
      </c>
      <c r="ET98" s="120">
        <f t="shared" si="169"/>
        <v>0</v>
      </c>
      <c r="EU98" s="120">
        <f t="shared" si="170"/>
        <v>0</v>
      </c>
      <c r="EV98" s="120">
        <f t="shared" si="171"/>
        <v>0</v>
      </c>
      <c r="EW98" s="205">
        <f t="shared" si="172"/>
        <v>0</v>
      </c>
      <c r="EX98" s="72"/>
      <c r="EY98" s="119">
        <f t="shared" si="173"/>
        <v>4393.5625016131416</v>
      </c>
      <c r="EZ98" s="120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0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0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0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0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0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0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0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0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0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0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0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0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0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0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0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0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0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0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0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0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0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0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0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0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0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0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0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0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0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0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0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0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0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0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0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0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0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0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0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5">
        <f t="shared" ca="1" si="174"/>
        <v>0</v>
      </c>
    </row>
    <row r="99" spans="112:196">
      <c r="DH99" s="119">
        <f t="shared" si="131"/>
        <v>4613.2406266937987</v>
      </c>
      <c r="DI99" s="120">
        <f t="shared" si="132"/>
        <v>0</v>
      </c>
      <c r="DJ99" s="120">
        <f t="shared" si="133"/>
        <v>0</v>
      </c>
      <c r="DK99" s="120">
        <f t="shared" si="134"/>
        <v>0</v>
      </c>
      <c r="DL99" s="120">
        <f t="shared" si="135"/>
        <v>0</v>
      </c>
      <c r="DM99" s="120">
        <f t="shared" si="136"/>
        <v>0</v>
      </c>
      <c r="DN99" s="120">
        <f t="shared" si="137"/>
        <v>0</v>
      </c>
      <c r="DO99" s="120">
        <f t="shared" si="138"/>
        <v>0</v>
      </c>
      <c r="DP99" s="120">
        <f t="shared" si="139"/>
        <v>0</v>
      </c>
      <c r="DQ99" s="120">
        <f t="shared" si="140"/>
        <v>0</v>
      </c>
      <c r="DR99" s="120">
        <f t="shared" si="141"/>
        <v>0</v>
      </c>
      <c r="DS99" s="120">
        <f t="shared" si="142"/>
        <v>0</v>
      </c>
      <c r="DT99" s="120">
        <f t="shared" si="143"/>
        <v>0</v>
      </c>
      <c r="DU99" s="120">
        <f t="shared" si="144"/>
        <v>0</v>
      </c>
      <c r="DV99" s="120">
        <f t="shared" si="145"/>
        <v>0</v>
      </c>
      <c r="DW99" s="120">
        <f t="shared" si="146"/>
        <v>0</v>
      </c>
      <c r="DX99" s="120">
        <f t="shared" si="147"/>
        <v>0</v>
      </c>
      <c r="DY99" s="120">
        <f t="shared" si="148"/>
        <v>0</v>
      </c>
      <c r="DZ99" s="120">
        <f t="shared" si="149"/>
        <v>0</v>
      </c>
      <c r="EA99" s="120">
        <f t="shared" si="150"/>
        <v>0</v>
      </c>
      <c r="EB99" s="120">
        <f t="shared" si="151"/>
        <v>0</v>
      </c>
      <c r="EC99" s="120">
        <f t="shared" si="152"/>
        <v>0</v>
      </c>
      <c r="ED99" s="120">
        <f t="shared" si="153"/>
        <v>0</v>
      </c>
      <c r="EE99" s="120">
        <f t="shared" si="154"/>
        <v>0</v>
      </c>
      <c r="EF99" s="120">
        <f t="shared" si="155"/>
        <v>0</v>
      </c>
      <c r="EG99" s="120">
        <f t="shared" si="156"/>
        <v>0</v>
      </c>
      <c r="EH99" s="120">
        <f t="shared" si="157"/>
        <v>0</v>
      </c>
      <c r="EI99" s="120">
        <f t="shared" si="158"/>
        <v>0</v>
      </c>
      <c r="EJ99" s="120">
        <f t="shared" si="159"/>
        <v>0</v>
      </c>
      <c r="EK99" s="120">
        <f t="shared" si="160"/>
        <v>0</v>
      </c>
      <c r="EL99" s="120">
        <f t="shared" si="161"/>
        <v>0</v>
      </c>
      <c r="EM99" s="120">
        <f t="shared" si="162"/>
        <v>0</v>
      </c>
      <c r="EN99" s="120">
        <f t="shared" si="163"/>
        <v>0</v>
      </c>
      <c r="EO99" s="120">
        <f t="shared" si="164"/>
        <v>0</v>
      </c>
      <c r="EP99" s="120">
        <f t="shared" si="165"/>
        <v>0</v>
      </c>
      <c r="EQ99" s="120">
        <f t="shared" si="166"/>
        <v>0</v>
      </c>
      <c r="ER99" s="120">
        <f t="shared" si="167"/>
        <v>0</v>
      </c>
      <c r="ES99" s="120">
        <f t="shared" si="168"/>
        <v>0</v>
      </c>
      <c r="ET99" s="120">
        <f t="shared" si="169"/>
        <v>0</v>
      </c>
      <c r="EU99" s="120">
        <f t="shared" si="170"/>
        <v>0</v>
      </c>
      <c r="EV99" s="120">
        <f t="shared" si="171"/>
        <v>0</v>
      </c>
      <c r="EW99" s="205">
        <f t="shared" si="172"/>
        <v>0</v>
      </c>
      <c r="EX99" s="72"/>
      <c r="EY99" s="119">
        <f t="shared" si="173"/>
        <v>4613.2406266937987</v>
      </c>
      <c r="EZ99" s="120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0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0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0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0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0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0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0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0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0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0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0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0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0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0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0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0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0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0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0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0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0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0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0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0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0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0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0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0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0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0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0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0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0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0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0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0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0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0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0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5">
        <f t="shared" ca="1" si="174"/>
        <v>0</v>
      </c>
    </row>
    <row r="100" spans="112:196">
      <c r="DH100" s="119">
        <f t="shared" si="131"/>
        <v>4843.902658028489</v>
      </c>
      <c r="DI100" s="120">
        <f t="shared" si="132"/>
        <v>0</v>
      </c>
      <c r="DJ100" s="120">
        <f t="shared" si="133"/>
        <v>0</v>
      </c>
      <c r="DK100" s="120">
        <f t="shared" si="134"/>
        <v>0</v>
      </c>
      <c r="DL100" s="120">
        <f t="shared" si="135"/>
        <v>0</v>
      </c>
      <c r="DM100" s="120">
        <f t="shared" si="136"/>
        <v>0</v>
      </c>
      <c r="DN100" s="120">
        <f t="shared" si="137"/>
        <v>0</v>
      </c>
      <c r="DO100" s="120">
        <f t="shared" si="138"/>
        <v>0</v>
      </c>
      <c r="DP100" s="120">
        <f t="shared" si="139"/>
        <v>0</v>
      </c>
      <c r="DQ100" s="120">
        <f t="shared" si="140"/>
        <v>0</v>
      </c>
      <c r="DR100" s="120">
        <f t="shared" si="141"/>
        <v>0</v>
      </c>
      <c r="DS100" s="120">
        <f t="shared" si="142"/>
        <v>0</v>
      </c>
      <c r="DT100" s="120">
        <f t="shared" si="143"/>
        <v>0</v>
      </c>
      <c r="DU100" s="120">
        <f t="shared" si="144"/>
        <v>0</v>
      </c>
      <c r="DV100" s="120">
        <f t="shared" si="145"/>
        <v>0</v>
      </c>
      <c r="DW100" s="120">
        <f t="shared" si="146"/>
        <v>0</v>
      </c>
      <c r="DX100" s="120">
        <f t="shared" si="147"/>
        <v>0</v>
      </c>
      <c r="DY100" s="120">
        <f t="shared" si="148"/>
        <v>0</v>
      </c>
      <c r="DZ100" s="120">
        <f t="shared" si="149"/>
        <v>0</v>
      </c>
      <c r="EA100" s="120">
        <f t="shared" si="150"/>
        <v>0</v>
      </c>
      <c r="EB100" s="120">
        <f t="shared" si="151"/>
        <v>0</v>
      </c>
      <c r="EC100" s="120">
        <f t="shared" si="152"/>
        <v>0</v>
      </c>
      <c r="ED100" s="120">
        <f t="shared" si="153"/>
        <v>0</v>
      </c>
      <c r="EE100" s="120">
        <f t="shared" si="154"/>
        <v>0</v>
      </c>
      <c r="EF100" s="120">
        <f t="shared" si="155"/>
        <v>0</v>
      </c>
      <c r="EG100" s="120">
        <f t="shared" si="156"/>
        <v>0</v>
      </c>
      <c r="EH100" s="120">
        <f t="shared" si="157"/>
        <v>0</v>
      </c>
      <c r="EI100" s="120">
        <f t="shared" si="158"/>
        <v>0</v>
      </c>
      <c r="EJ100" s="120">
        <f t="shared" si="159"/>
        <v>0</v>
      </c>
      <c r="EK100" s="120">
        <f t="shared" si="160"/>
        <v>0</v>
      </c>
      <c r="EL100" s="120">
        <f t="shared" si="161"/>
        <v>0</v>
      </c>
      <c r="EM100" s="120">
        <f t="shared" si="162"/>
        <v>0</v>
      </c>
      <c r="EN100" s="120">
        <f t="shared" si="163"/>
        <v>0</v>
      </c>
      <c r="EO100" s="120">
        <f t="shared" si="164"/>
        <v>0</v>
      </c>
      <c r="EP100" s="120">
        <f t="shared" si="165"/>
        <v>0</v>
      </c>
      <c r="EQ100" s="120">
        <f t="shared" si="166"/>
        <v>0</v>
      </c>
      <c r="ER100" s="120">
        <f t="shared" si="167"/>
        <v>0</v>
      </c>
      <c r="ES100" s="120">
        <f t="shared" si="168"/>
        <v>0</v>
      </c>
      <c r="ET100" s="120">
        <f t="shared" si="169"/>
        <v>0</v>
      </c>
      <c r="EU100" s="120">
        <f t="shared" si="170"/>
        <v>0</v>
      </c>
      <c r="EV100" s="120">
        <f t="shared" si="171"/>
        <v>0</v>
      </c>
      <c r="EW100" s="205">
        <f t="shared" si="172"/>
        <v>0</v>
      </c>
      <c r="EX100" s="72"/>
      <c r="EY100" s="119">
        <f t="shared" si="173"/>
        <v>4843.902658028489</v>
      </c>
      <c r="EZ100" s="120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0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0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0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0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0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0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0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0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0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0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0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0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0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0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0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0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0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0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0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0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0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0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0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0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0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0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0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0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0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0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0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0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0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0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0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0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0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0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0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5">
        <f t="shared" ca="1" si="174"/>
        <v>0</v>
      </c>
    </row>
    <row r="101" spans="112:196">
      <c r="DH101" s="119">
        <f t="shared" si="131"/>
        <v>5086.0977909299136</v>
      </c>
      <c r="DI101" s="120">
        <f t="shared" si="132"/>
        <v>0</v>
      </c>
      <c r="DJ101" s="120">
        <f t="shared" si="133"/>
        <v>0</v>
      </c>
      <c r="DK101" s="120">
        <f t="shared" si="134"/>
        <v>0</v>
      </c>
      <c r="DL101" s="120">
        <f t="shared" si="135"/>
        <v>0</v>
      </c>
      <c r="DM101" s="120">
        <f t="shared" si="136"/>
        <v>0</v>
      </c>
      <c r="DN101" s="120">
        <f t="shared" si="137"/>
        <v>0</v>
      </c>
      <c r="DO101" s="120">
        <f t="shared" si="138"/>
        <v>0</v>
      </c>
      <c r="DP101" s="120">
        <f t="shared" si="139"/>
        <v>0</v>
      </c>
      <c r="DQ101" s="120">
        <f t="shared" si="140"/>
        <v>0</v>
      </c>
      <c r="DR101" s="120">
        <f t="shared" si="141"/>
        <v>0</v>
      </c>
      <c r="DS101" s="120">
        <f t="shared" si="142"/>
        <v>0</v>
      </c>
      <c r="DT101" s="120">
        <f t="shared" si="143"/>
        <v>0</v>
      </c>
      <c r="DU101" s="120">
        <f t="shared" si="144"/>
        <v>0</v>
      </c>
      <c r="DV101" s="120">
        <f t="shared" si="145"/>
        <v>0</v>
      </c>
      <c r="DW101" s="120">
        <f t="shared" si="146"/>
        <v>0</v>
      </c>
      <c r="DX101" s="120">
        <f t="shared" si="147"/>
        <v>0</v>
      </c>
      <c r="DY101" s="120">
        <f t="shared" si="148"/>
        <v>0</v>
      </c>
      <c r="DZ101" s="120">
        <f t="shared" si="149"/>
        <v>0</v>
      </c>
      <c r="EA101" s="120">
        <f t="shared" si="150"/>
        <v>0</v>
      </c>
      <c r="EB101" s="120">
        <f t="shared" si="151"/>
        <v>0</v>
      </c>
      <c r="EC101" s="120">
        <f t="shared" si="152"/>
        <v>0</v>
      </c>
      <c r="ED101" s="120">
        <f t="shared" si="153"/>
        <v>0</v>
      </c>
      <c r="EE101" s="120">
        <f t="shared" si="154"/>
        <v>0</v>
      </c>
      <c r="EF101" s="120">
        <f t="shared" si="155"/>
        <v>0</v>
      </c>
      <c r="EG101" s="120">
        <f t="shared" si="156"/>
        <v>0</v>
      </c>
      <c r="EH101" s="120">
        <f t="shared" si="157"/>
        <v>0</v>
      </c>
      <c r="EI101" s="120">
        <f t="shared" si="158"/>
        <v>0</v>
      </c>
      <c r="EJ101" s="120">
        <f t="shared" si="159"/>
        <v>0</v>
      </c>
      <c r="EK101" s="120">
        <f t="shared" si="160"/>
        <v>0</v>
      </c>
      <c r="EL101" s="120">
        <f t="shared" si="161"/>
        <v>0</v>
      </c>
      <c r="EM101" s="120">
        <f t="shared" si="162"/>
        <v>0</v>
      </c>
      <c r="EN101" s="120">
        <f t="shared" si="163"/>
        <v>0</v>
      </c>
      <c r="EO101" s="120">
        <f t="shared" si="164"/>
        <v>0</v>
      </c>
      <c r="EP101" s="120">
        <f t="shared" si="165"/>
        <v>0</v>
      </c>
      <c r="EQ101" s="120">
        <f t="shared" si="166"/>
        <v>0</v>
      </c>
      <c r="ER101" s="120">
        <f t="shared" si="167"/>
        <v>0</v>
      </c>
      <c r="ES101" s="120">
        <f t="shared" si="168"/>
        <v>0</v>
      </c>
      <c r="ET101" s="120">
        <f t="shared" si="169"/>
        <v>0</v>
      </c>
      <c r="EU101" s="120">
        <f t="shared" si="170"/>
        <v>0</v>
      </c>
      <c r="EV101" s="120">
        <f t="shared" si="171"/>
        <v>0</v>
      </c>
      <c r="EW101" s="205">
        <f t="shared" si="172"/>
        <v>0</v>
      </c>
      <c r="EX101" s="72"/>
      <c r="EY101" s="119">
        <f t="shared" si="173"/>
        <v>5086.0977909299136</v>
      </c>
      <c r="EZ101" s="120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0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0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0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0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0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0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0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0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0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0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0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0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0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0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0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0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0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0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0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0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0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0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0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0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0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0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0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0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0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0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0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0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0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0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0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0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0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0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0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5">
        <f t="shared" ca="1" si="174"/>
        <v>0</v>
      </c>
    </row>
    <row r="102" spans="112:196">
      <c r="DH102" s="156" t="s">
        <v>351</v>
      </c>
      <c r="DI102" s="157" t="s">
        <v>370</v>
      </c>
      <c r="DJ102" s="157" t="s">
        <v>371</v>
      </c>
      <c r="DK102" s="157" t="s">
        <v>372</v>
      </c>
      <c r="DL102" s="157" t="s">
        <v>373</v>
      </c>
      <c r="DM102" s="157" t="s">
        <v>374</v>
      </c>
      <c r="DN102" s="231" t="s">
        <v>375</v>
      </c>
      <c r="DO102" s="231" t="s">
        <v>376</v>
      </c>
      <c r="DP102" s="231" t="s">
        <v>377</v>
      </c>
      <c r="DQ102" s="231" t="s">
        <v>378</v>
      </c>
      <c r="DR102" s="157" t="s">
        <v>379</v>
      </c>
      <c r="DS102" s="157" t="s">
        <v>380</v>
      </c>
      <c r="DT102" s="157" t="s">
        <v>381</v>
      </c>
      <c r="DU102" s="157" t="s">
        <v>382</v>
      </c>
      <c r="DV102" s="157" t="s">
        <v>383</v>
      </c>
      <c r="DW102" s="157" t="s">
        <v>384</v>
      </c>
      <c r="DX102" s="157" t="s">
        <v>385</v>
      </c>
      <c r="DY102" s="157" t="s">
        <v>386</v>
      </c>
      <c r="DZ102" s="157" t="s">
        <v>387</v>
      </c>
      <c r="EA102" s="157" t="s">
        <v>388</v>
      </c>
      <c r="EB102" s="157" t="s">
        <v>389</v>
      </c>
      <c r="EC102" s="157" t="s">
        <v>390</v>
      </c>
      <c r="ED102" s="157" t="s">
        <v>391</v>
      </c>
      <c r="EE102" s="157" t="s">
        <v>392</v>
      </c>
      <c r="EF102" s="157" t="s">
        <v>393</v>
      </c>
      <c r="EG102" s="157" t="s">
        <v>394</v>
      </c>
      <c r="EH102" s="157" t="s">
        <v>395</v>
      </c>
      <c r="EI102" s="157" t="s">
        <v>396</v>
      </c>
      <c r="EJ102" s="157" t="s">
        <v>397</v>
      </c>
      <c r="EK102" s="157" t="s">
        <v>398</v>
      </c>
      <c r="EL102" s="157" t="s">
        <v>399</v>
      </c>
      <c r="EM102" s="157" t="s">
        <v>400</v>
      </c>
      <c r="EN102" s="157" t="s">
        <v>401</v>
      </c>
      <c r="EO102" s="231" t="s">
        <v>402</v>
      </c>
      <c r="EP102" s="231" t="s">
        <v>403</v>
      </c>
      <c r="EQ102" s="231" t="s">
        <v>404</v>
      </c>
      <c r="ER102" s="231" t="s">
        <v>412</v>
      </c>
      <c r="ES102" s="231" t="s">
        <v>413</v>
      </c>
      <c r="ET102" s="231" t="s">
        <v>414</v>
      </c>
      <c r="EU102" s="231" t="s">
        <v>415</v>
      </c>
      <c r="EV102" s="231" t="s">
        <v>416</v>
      </c>
      <c r="EW102" s="159" t="s">
        <v>405</v>
      </c>
      <c r="EX102" s="72"/>
      <c r="EY102" s="156" t="s">
        <v>351</v>
      </c>
      <c r="EZ102" s="157" t="s">
        <v>370</v>
      </c>
      <c r="FA102" s="157" t="s">
        <v>371</v>
      </c>
      <c r="FB102" s="157" t="s">
        <v>372</v>
      </c>
      <c r="FC102" s="157" t="s">
        <v>373</v>
      </c>
      <c r="FD102" s="157" t="s">
        <v>374</v>
      </c>
      <c r="FE102" s="231" t="s">
        <v>375</v>
      </c>
      <c r="FF102" s="231" t="s">
        <v>376</v>
      </c>
      <c r="FG102" s="231" t="s">
        <v>377</v>
      </c>
      <c r="FH102" s="231" t="s">
        <v>378</v>
      </c>
      <c r="FI102" s="157" t="s">
        <v>379</v>
      </c>
      <c r="FJ102" s="157" t="s">
        <v>380</v>
      </c>
      <c r="FK102" s="157" t="s">
        <v>381</v>
      </c>
      <c r="FL102" s="157" t="s">
        <v>382</v>
      </c>
      <c r="FM102" s="157" t="s">
        <v>383</v>
      </c>
      <c r="FN102" s="157" t="s">
        <v>384</v>
      </c>
      <c r="FO102" s="157" t="s">
        <v>385</v>
      </c>
      <c r="FP102" s="157" t="s">
        <v>386</v>
      </c>
      <c r="FQ102" s="157" t="s">
        <v>387</v>
      </c>
      <c r="FR102" s="157" t="s">
        <v>388</v>
      </c>
      <c r="FS102" s="157" t="s">
        <v>389</v>
      </c>
      <c r="FT102" s="157" t="s">
        <v>390</v>
      </c>
      <c r="FU102" s="157" t="s">
        <v>391</v>
      </c>
      <c r="FV102" s="157" t="s">
        <v>392</v>
      </c>
      <c r="FW102" s="157" t="s">
        <v>393</v>
      </c>
      <c r="FX102" s="157" t="s">
        <v>394</v>
      </c>
      <c r="FY102" s="157" t="s">
        <v>395</v>
      </c>
      <c r="FZ102" s="157" t="s">
        <v>396</v>
      </c>
      <c r="GA102" s="157" t="s">
        <v>397</v>
      </c>
      <c r="GB102" s="157" t="s">
        <v>398</v>
      </c>
      <c r="GC102" s="157" t="s">
        <v>399</v>
      </c>
      <c r="GD102" s="157" t="s">
        <v>400</v>
      </c>
      <c r="GE102" s="157" t="s">
        <v>401</v>
      </c>
      <c r="GF102" s="231" t="s">
        <v>402</v>
      </c>
      <c r="GG102" s="231" t="s">
        <v>403</v>
      </c>
      <c r="GH102" s="231" t="s">
        <v>404</v>
      </c>
      <c r="GI102" s="231" t="s">
        <v>412</v>
      </c>
      <c r="GJ102" s="231" t="s">
        <v>413</v>
      </c>
      <c r="GK102" s="231" t="s">
        <v>414</v>
      </c>
      <c r="GL102" s="231" t="s">
        <v>415</v>
      </c>
      <c r="GM102" s="231" t="s">
        <v>416</v>
      </c>
      <c r="GN102" s="159" t="s">
        <v>405</v>
      </c>
    </row>
    <row r="103" spans="112:196">
      <c r="DH103" s="119">
        <f t="shared" ref="DH103:DH134" si="175">DH3</f>
        <v>1079.4685662722245</v>
      </c>
      <c r="DI103" s="120">
        <f t="shared" ref="DI103:DI134" si="176">IF($DH103&lt;$AG$3,$AF$3*100*($AG$3-$DH103),0)</f>
        <v>0</v>
      </c>
      <c r="DJ103" s="120">
        <f t="shared" ref="DJ103:DJ134" si="177">IF($DH103&lt;$AG$4,$AF$4*100*($AG$4-$DH103),0)</f>
        <v>0</v>
      </c>
      <c r="DK103" s="120">
        <f t="shared" ref="DK103:DK134" si="178">IF($DH103&lt;$AG$5,$AF$5*100*($AG$5-$DH103),0)</f>
        <v>0</v>
      </c>
      <c r="DL103" s="120">
        <f t="shared" ref="DL103:DL134" si="179">IF($DH103&lt;$AG$6,$AF$6*100*($AG$6-$DH103),0)</f>
        <v>0</v>
      </c>
      <c r="DM103" s="120">
        <f t="shared" ref="DM103:DM134" si="180">IF($DH103&lt;$AG$7,$AF$7*100*($AG$7-$DH103),0)</f>
        <v>0</v>
      </c>
      <c r="DN103" s="120">
        <f t="shared" ref="DN103:DN134" si="181">IF($DH103&lt;$AG$8,$AF$8*100*($AG$8-$DH103),0)</f>
        <v>0</v>
      </c>
      <c r="DO103" s="120">
        <f t="shared" ref="DO103:DO134" si="182">IF($DH103&lt;$AG$9,$AF$9*100*($AG$9-$DH103),0)</f>
        <v>0</v>
      </c>
      <c r="DP103" s="120">
        <f t="shared" ref="DP103:DP134" si="183">IF($DH103&lt;$AG$10,$AF$10*100*($AG$10-$DH103),0)</f>
        <v>0</v>
      </c>
      <c r="DQ103" s="120">
        <f t="shared" ref="DQ103:DQ134" si="184">IF($DH103&lt;$AG$11,$AF$11*100*($AG$11-$DH103),0)</f>
        <v>0</v>
      </c>
      <c r="DR103" s="120">
        <f t="shared" ref="DR103:DR134" si="185">IF($DH103&lt;$AG$12,$AF$12*100*($AG$12-$DH103),0)</f>
        <v>0</v>
      </c>
      <c r="DS103" s="120">
        <f t="shared" ref="DS103:DS134" si="186">IF($DH103&lt;$AG$13,$AF$13*100*($AG$13-$DH103),0)</f>
        <v>0</v>
      </c>
      <c r="DT103" s="120">
        <f t="shared" ref="DT103:DT134" si="187">IF($DH103&lt;$AG$14,$AF$14*100*($AG$14-$DH103),0)</f>
        <v>0</v>
      </c>
      <c r="DU103" s="120">
        <f t="shared" ref="DU103:DU134" si="188">IF($DH103&lt;$AG$15,$AF$15*100*($AG$15-$DH103),0)</f>
        <v>0</v>
      </c>
      <c r="DV103" s="120">
        <f t="shared" ref="DV103:DV134" si="189">IF($DH103&lt;$AG$16,$AF$16*100*($AG$16-$DH103),0)</f>
        <v>0</v>
      </c>
      <c r="DW103" s="120">
        <f t="shared" ref="DW103:DW134" si="190">IF($DH103&lt;$AG$17,$AF$17*100*($AG$17-$DH103),0)</f>
        <v>0</v>
      </c>
      <c r="DX103" s="120">
        <f t="shared" ref="DX103:DX134" si="191">IF($DH103&lt;$AG$18,$AF$18*100*($AG$18-$DH103),0)</f>
        <v>0</v>
      </c>
      <c r="DY103" s="120">
        <f t="shared" ref="DY103:DY134" si="192">IF($DH103&lt;$AG$19,$AF$19*100*($AG$19-$DH103),0)</f>
        <v>0</v>
      </c>
      <c r="DZ103" s="120">
        <f t="shared" ref="DZ103:DZ134" si="193">IF($DH103&lt;$AG$20,$AF$20*100*($AG$20-$DH103),0)</f>
        <v>0</v>
      </c>
      <c r="EA103" s="120">
        <f t="shared" ref="EA103:EA134" si="194">IF($DH103&lt;$AG$21,$AF$21*100*($AG$21-$DH103),0)</f>
        <v>0</v>
      </c>
      <c r="EB103" s="120">
        <f t="shared" ref="EB103:EB134" si="195">IF($DH103&lt;$AG$22,$AF$22*100*($AG$22-$DH103),0)</f>
        <v>0</v>
      </c>
      <c r="EC103" s="120">
        <f t="shared" ref="EC103:EC134" si="196">IF($DH103&lt;$AG$23,$AF$23*100*($AG$23-$DH103),0)</f>
        <v>0</v>
      </c>
      <c r="ED103" s="120">
        <f t="shared" ref="ED103:ED134" si="197">IF($DH103&lt;$AG$24,$AF$24*100*($AG$24-$DH103),0)</f>
        <v>0</v>
      </c>
      <c r="EE103" s="120">
        <f t="shared" ref="EE103:EE134" si="198">IF($DH103&lt;$AG$25,$AF$25*100*($AG$25-$DH103),0)</f>
        <v>0</v>
      </c>
      <c r="EF103" s="120">
        <f t="shared" ref="EF103:EF134" si="199">IF($DH103&lt;$AG$26,$AF$26*100*($AG$26-$DH103),0)</f>
        <v>0</v>
      </c>
      <c r="EG103" s="120">
        <f t="shared" ref="EG103:EG134" si="200">IF($DH103&lt;$AG$27,$AF$27*100*($AG$27-$DH103),0)</f>
        <v>0</v>
      </c>
      <c r="EH103" s="120">
        <f t="shared" ref="EH103:EH134" si="201">IF($DH103&lt;$AG$28,$AF$28*100*($AG$28-$DH103),0)</f>
        <v>0</v>
      </c>
      <c r="EI103" s="120">
        <f t="shared" ref="EI103:EI134" si="202">IF($DH103&lt;$AG$29,$AF$29*100*($AG$29-$DH103),0)</f>
        <v>0</v>
      </c>
      <c r="EJ103" s="120">
        <f t="shared" ref="EJ103:EJ134" si="203">IF($DH103&lt;$AG$30,$AF$30*100*($AG$30-$DH103),0)</f>
        <v>0</v>
      </c>
      <c r="EK103" s="120">
        <f t="shared" ref="EK103:EK134" si="204">IF($DH103&lt;$AG$31,$AF$31*100*($AG$31-$DH103),0)</f>
        <v>0</v>
      </c>
      <c r="EL103" s="120">
        <f t="shared" ref="EL103:EL134" si="205">IF($DH103&lt;$AG$32,$AF$32*100*($AG$32-$DH103),0)</f>
        <v>0</v>
      </c>
      <c r="EM103" s="120">
        <f t="shared" ref="EM103:EM134" si="206">IF($DH103&lt;$AG$33,$AF$33*100*($AG$33-$DH103),0)</f>
        <v>0</v>
      </c>
      <c r="EN103" s="120">
        <f t="shared" ref="EN103:EN134" si="207">IF($DH103&lt;$AG$34,$AF$34*100*($AG$34-$DH103),0)</f>
        <v>0</v>
      </c>
      <c r="EO103" s="120">
        <f t="shared" ref="EO103:EO134" si="208">IF($DH103&lt;$AG$35,$AF$35*100*($AG$35-$DH103),0)</f>
        <v>0</v>
      </c>
      <c r="EP103" s="120">
        <f t="shared" ref="EP103:EP134" si="209">IF($DH103&lt;$AG$36,$AF$36*100*($AG$36-$DH103),0)</f>
        <v>0</v>
      </c>
      <c r="EQ103" s="120">
        <f t="shared" ref="EQ103:EQ134" si="210">IF($DH103&lt;$AG$37,$AF$37*100*($AG$37-$DH103),0)</f>
        <v>0</v>
      </c>
      <c r="ER103" s="120">
        <f t="shared" ref="ER103:ER134" si="211">IF($DH103&lt;$AG$38,$AF$38*100*($AG$38-$DH103),0)</f>
        <v>0</v>
      </c>
      <c r="ES103" s="120">
        <f t="shared" ref="ES103:ES134" si="212">IF($DH103&lt;$AG$39,$AF$39*100*($AG$39-$DH103),0)</f>
        <v>0</v>
      </c>
      <c r="ET103" s="120">
        <f t="shared" ref="ET103:ET134" si="213">IF($DH103&lt;$AG$40,$AF$40*100*($AG$40-$DH103),0)</f>
        <v>0</v>
      </c>
      <c r="EU103" s="120">
        <f t="shared" ref="EU103:EU134" si="214">IF($DH103&lt;$AG$41,$AF$41*100*($AG$41-$DH103),0)</f>
        <v>0</v>
      </c>
      <c r="EV103" s="120">
        <f t="shared" ref="EV103:EV134" si="215">IF($DH103&lt;$AG$42,$AF$42*100*($AG$42-$DH103),0)</f>
        <v>0</v>
      </c>
      <c r="EW103" s="205">
        <f t="shared" ref="EW103:EW134" si="216">SUM(DI103:EV103)</f>
        <v>0</v>
      </c>
      <c r="EX103" s="72"/>
      <c r="EY103" s="119">
        <f t="shared" ref="EY103:EY134" si="217">EY3</f>
        <v>1079.4685662722245</v>
      </c>
      <c r="EZ103" s="120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0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0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0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0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0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0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0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0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0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0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0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0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0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0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0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0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0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0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0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0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0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0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0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0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0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0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0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0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0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0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0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0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0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0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0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0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0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0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0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5">
        <f t="shared" ref="GN103:GN134" ca="1" si="218">SUM(EZ103:GM103)</f>
        <v>0</v>
      </c>
    </row>
    <row r="104" spans="112:196">
      <c r="DH104" s="119">
        <f t="shared" si="175"/>
        <v>1136.2827013391839</v>
      </c>
      <c r="DI104" s="120">
        <f t="shared" si="176"/>
        <v>0</v>
      </c>
      <c r="DJ104" s="120">
        <f t="shared" si="177"/>
        <v>0</v>
      </c>
      <c r="DK104" s="120">
        <f t="shared" si="178"/>
        <v>0</v>
      </c>
      <c r="DL104" s="120">
        <f t="shared" si="179"/>
        <v>0</v>
      </c>
      <c r="DM104" s="120">
        <f t="shared" si="180"/>
        <v>0</v>
      </c>
      <c r="DN104" s="120">
        <f t="shared" si="181"/>
        <v>0</v>
      </c>
      <c r="DO104" s="120">
        <f t="shared" si="182"/>
        <v>0</v>
      </c>
      <c r="DP104" s="120">
        <f t="shared" si="183"/>
        <v>0</v>
      </c>
      <c r="DQ104" s="120">
        <f t="shared" si="184"/>
        <v>0</v>
      </c>
      <c r="DR104" s="120">
        <f t="shared" si="185"/>
        <v>0</v>
      </c>
      <c r="DS104" s="120">
        <f t="shared" si="186"/>
        <v>0</v>
      </c>
      <c r="DT104" s="120">
        <f t="shared" si="187"/>
        <v>0</v>
      </c>
      <c r="DU104" s="120">
        <f t="shared" si="188"/>
        <v>0</v>
      </c>
      <c r="DV104" s="120">
        <f t="shared" si="189"/>
        <v>0</v>
      </c>
      <c r="DW104" s="120">
        <f t="shared" si="190"/>
        <v>0</v>
      </c>
      <c r="DX104" s="120">
        <f t="shared" si="191"/>
        <v>0</v>
      </c>
      <c r="DY104" s="120">
        <f t="shared" si="192"/>
        <v>0</v>
      </c>
      <c r="DZ104" s="120">
        <f t="shared" si="193"/>
        <v>0</v>
      </c>
      <c r="EA104" s="120">
        <f t="shared" si="194"/>
        <v>0</v>
      </c>
      <c r="EB104" s="120">
        <f t="shared" si="195"/>
        <v>0</v>
      </c>
      <c r="EC104" s="120">
        <f t="shared" si="196"/>
        <v>0</v>
      </c>
      <c r="ED104" s="120">
        <f t="shared" si="197"/>
        <v>0</v>
      </c>
      <c r="EE104" s="120">
        <f t="shared" si="198"/>
        <v>0</v>
      </c>
      <c r="EF104" s="120">
        <f t="shared" si="199"/>
        <v>0</v>
      </c>
      <c r="EG104" s="120">
        <f t="shared" si="200"/>
        <v>0</v>
      </c>
      <c r="EH104" s="120">
        <f t="shared" si="201"/>
        <v>0</v>
      </c>
      <c r="EI104" s="120">
        <f t="shared" si="202"/>
        <v>0</v>
      </c>
      <c r="EJ104" s="120">
        <f t="shared" si="203"/>
        <v>0</v>
      </c>
      <c r="EK104" s="120">
        <f t="shared" si="204"/>
        <v>0</v>
      </c>
      <c r="EL104" s="120">
        <f t="shared" si="205"/>
        <v>0</v>
      </c>
      <c r="EM104" s="120">
        <f t="shared" si="206"/>
        <v>0</v>
      </c>
      <c r="EN104" s="120">
        <f t="shared" si="207"/>
        <v>0</v>
      </c>
      <c r="EO104" s="120">
        <f t="shared" si="208"/>
        <v>0</v>
      </c>
      <c r="EP104" s="120">
        <f t="shared" si="209"/>
        <v>0</v>
      </c>
      <c r="EQ104" s="120">
        <f t="shared" si="210"/>
        <v>0</v>
      </c>
      <c r="ER104" s="120">
        <f t="shared" si="211"/>
        <v>0</v>
      </c>
      <c r="ES104" s="120">
        <f t="shared" si="212"/>
        <v>0</v>
      </c>
      <c r="ET104" s="120">
        <f t="shared" si="213"/>
        <v>0</v>
      </c>
      <c r="EU104" s="120">
        <f t="shared" si="214"/>
        <v>0</v>
      </c>
      <c r="EV104" s="120">
        <f t="shared" si="215"/>
        <v>0</v>
      </c>
      <c r="EW104" s="205">
        <f t="shared" si="216"/>
        <v>0</v>
      </c>
      <c r="EX104" s="72"/>
      <c r="EY104" s="119">
        <f t="shared" si="217"/>
        <v>1136.2827013391839</v>
      </c>
      <c r="EZ104" s="120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0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0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0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0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0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0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0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0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0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0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0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0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0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0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0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0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0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0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0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0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0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0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0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0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0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0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0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0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0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0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0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0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0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0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0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0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0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0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0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5">
        <f t="shared" ca="1" si="218"/>
        <v>0</v>
      </c>
    </row>
    <row r="105" spans="112:196">
      <c r="DH105" s="119">
        <f t="shared" si="175"/>
        <v>1196.0870540412461</v>
      </c>
      <c r="DI105" s="120">
        <f t="shared" si="176"/>
        <v>0</v>
      </c>
      <c r="DJ105" s="120">
        <f t="shared" si="177"/>
        <v>0</v>
      </c>
      <c r="DK105" s="120">
        <f t="shared" si="178"/>
        <v>0</v>
      </c>
      <c r="DL105" s="120">
        <f t="shared" si="179"/>
        <v>0</v>
      </c>
      <c r="DM105" s="120">
        <f t="shared" si="180"/>
        <v>0</v>
      </c>
      <c r="DN105" s="120">
        <f t="shared" si="181"/>
        <v>0</v>
      </c>
      <c r="DO105" s="120">
        <f t="shared" si="182"/>
        <v>0</v>
      </c>
      <c r="DP105" s="120">
        <f t="shared" si="183"/>
        <v>0</v>
      </c>
      <c r="DQ105" s="120">
        <f t="shared" si="184"/>
        <v>0</v>
      </c>
      <c r="DR105" s="120">
        <f t="shared" si="185"/>
        <v>0</v>
      </c>
      <c r="DS105" s="120">
        <f t="shared" si="186"/>
        <v>0</v>
      </c>
      <c r="DT105" s="120">
        <f t="shared" si="187"/>
        <v>0</v>
      </c>
      <c r="DU105" s="120">
        <f t="shared" si="188"/>
        <v>0</v>
      </c>
      <c r="DV105" s="120">
        <f t="shared" si="189"/>
        <v>0</v>
      </c>
      <c r="DW105" s="120">
        <f t="shared" si="190"/>
        <v>0</v>
      </c>
      <c r="DX105" s="120">
        <f t="shared" si="191"/>
        <v>0</v>
      </c>
      <c r="DY105" s="120">
        <f t="shared" si="192"/>
        <v>0</v>
      </c>
      <c r="DZ105" s="120">
        <f t="shared" si="193"/>
        <v>0</v>
      </c>
      <c r="EA105" s="120">
        <f t="shared" si="194"/>
        <v>0</v>
      </c>
      <c r="EB105" s="120">
        <f t="shared" si="195"/>
        <v>0</v>
      </c>
      <c r="EC105" s="120">
        <f t="shared" si="196"/>
        <v>0</v>
      </c>
      <c r="ED105" s="120">
        <f t="shared" si="197"/>
        <v>0</v>
      </c>
      <c r="EE105" s="120">
        <f t="shared" si="198"/>
        <v>0</v>
      </c>
      <c r="EF105" s="120">
        <f t="shared" si="199"/>
        <v>0</v>
      </c>
      <c r="EG105" s="120">
        <f t="shared" si="200"/>
        <v>0</v>
      </c>
      <c r="EH105" s="120">
        <f t="shared" si="201"/>
        <v>0</v>
      </c>
      <c r="EI105" s="120">
        <f t="shared" si="202"/>
        <v>0</v>
      </c>
      <c r="EJ105" s="120">
        <f t="shared" si="203"/>
        <v>0</v>
      </c>
      <c r="EK105" s="120">
        <f t="shared" si="204"/>
        <v>0</v>
      </c>
      <c r="EL105" s="120">
        <f t="shared" si="205"/>
        <v>0</v>
      </c>
      <c r="EM105" s="120">
        <f t="shared" si="206"/>
        <v>0</v>
      </c>
      <c r="EN105" s="120">
        <f t="shared" si="207"/>
        <v>0</v>
      </c>
      <c r="EO105" s="120">
        <f t="shared" si="208"/>
        <v>0</v>
      </c>
      <c r="EP105" s="120">
        <f t="shared" si="209"/>
        <v>0</v>
      </c>
      <c r="EQ105" s="120">
        <f t="shared" si="210"/>
        <v>0</v>
      </c>
      <c r="ER105" s="120">
        <f t="shared" si="211"/>
        <v>0</v>
      </c>
      <c r="ES105" s="120">
        <f t="shared" si="212"/>
        <v>0</v>
      </c>
      <c r="ET105" s="120">
        <f t="shared" si="213"/>
        <v>0</v>
      </c>
      <c r="EU105" s="120">
        <f t="shared" si="214"/>
        <v>0</v>
      </c>
      <c r="EV105" s="120">
        <f t="shared" si="215"/>
        <v>0</v>
      </c>
      <c r="EW105" s="205">
        <f t="shared" si="216"/>
        <v>0</v>
      </c>
      <c r="EX105" s="72"/>
      <c r="EY105" s="119">
        <f t="shared" si="217"/>
        <v>1196.0870540412461</v>
      </c>
      <c r="EZ105" s="120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0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0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0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0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0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0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0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0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0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0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0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0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0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0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0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0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0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0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0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0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0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0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0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0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0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0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0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0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0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0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0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0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0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0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0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0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0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0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0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5">
        <f t="shared" ca="1" si="218"/>
        <v>0</v>
      </c>
    </row>
    <row r="106" spans="112:196">
      <c r="DH106" s="119">
        <f t="shared" si="175"/>
        <v>1259.0390042539434</v>
      </c>
      <c r="DI106" s="120">
        <f t="shared" si="176"/>
        <v>0</v>
      </c>
      <c r="DJ106" s="120">
        <f t="shared" si="177"/>
        <v>0</v>
      </c>
      <c r="DK106" s="120">
        <f t="shared" si="178"/>
        <v>0</v>
      </c>
      <c r="DL106" s="120">
        <f t="shared" si="179"/>
        <v>0</v>
      </c>
      <c r="DM106" s="120">
        <f t="shared" si="180"/>
        <v>0</v>
      </c>
      <c r="DN106" s="120">
        <f t="shared" si="181"/>
        <v>0</v>
      </c>
      <c r="DO106" s="120">
        <f t="shared" si="182"/>
        <v>0</v>
      </c>
      <c r="DP106" s="120">
        <f t="shared" si="183"/>
        <v>0</v>
      </c>
      <c r="DQ106" s="120">
        <f t="shared" si="184"/>
        <v>0</v>
      </c>
      <c r="DR106" s="120">
        <f t="shared" si="185"/>
        <v>0</v>
      </c>
      <c r="DS106" s="120">
        <f t="shared" si="186"/>
        <v>0</v>
      </c>
      <c r="DT106" s="120">
        <f t="shared" si="187"/>
        <v>0</v>
      </c>
      <c r="DU106" s="120">
        <f t="shared" si="188"/>
        <v>0</v>
      </c>
      <c r="DV106" s="120">
        <f t="shared" si="189"/>
        <v>0</v>
      </c>
      <c r="DW106" s="120">
        <f t="shared" si="190"/>
        <v>0</v>
      </c>
      <c r="DX106" s="120">
        <f t="shared" si="191"/>
        <v>0</v>
      </c>
      <c r="DY106" s="120">
        <f t="shared" si="192"/>
        <v>0</v>
      </c>
      <c r="DZ106" s="120">
        <f t="shared" si="193"/>
        <v>0</v>
      </c>
      <c r="EA106" s="120">
        <f t="shared" si="194"/>
        <v>0</v>
      </c>
      <c r="EB106" s="120">
        <f t="shared" si="195"/>
        <v>0</v>
      </c>
      <c r="EC106" s="120">
        <f t="shared" si="196"/>
        <v>0</v>
      </c>
      <c r="ED106" s="120">
        <f t="shared" si="197"/>
        <v>0</v>
      </c>
      <c r="EE106" s="120">
        <f t="shared" si="198"/>
        <v>0</v>
      </c>
      <c r="EF106" s="120">
        <f t="shared" si="199"/>
        <v>0</v>
      </c>
      <c r="EG106" s="120">
        <f t="shared" si="200"/>
        <v>0</v>
      </c>
      <c r="EH106" s="120">
        <f t="shared" si="201"/>
        <v>0</v>
      </c>
      <c r="EI106" s="120">
        <f t="shared" si="202"/>
        <v>0</v>
      </c>
      <c r="EJ106" s="120">
        <f t="shared" si="203"/>
        <v>0</v>
      </c>
      <c r="EK106" s="120">
        <f t="shared" si="204"/>
        <v>0</v>
      </c>
      <c r="EL106" s="120">
        <f t="shared" si="205"/>
        <v>0</v>
      </c>
      <c r="EM106" s="120">
        <f t="shared" si="206"/>
        <v>0</v>
      </c>
      <c r="EN106" s="120">
        <f t="shared" si="207"/>
        <v>0</v>
      </c>
      <c r="EO106" s="120">
        <f t="shared" si="208"/>
        <v>0</v>
      </c>
      <c r="EP106" s="120">
        <f t="shared" si="209"/>
        <v>0</v>
      </c>
      <c r="EQ106" s="120">
        <f t="shared" si="210"/>
        <v>0</v>
      </c>
      <c r="ER106" s="120">
        <f t="shared" si="211"/>
        <v>0</v>
      </c>
      <c r="ES106" s="120">
        <f t="shared" si="212"/>
        <v>0</v>
      </c>
      <c r="ET106" s="120">
        <f t="shared" si="213"/>
        <v>0</v>
      </c>
      <c r="EU106" s="120">
        <f t="shared" si="214"/>
        <v>0</v>
      </c>
      <c r="EV106" s="120">
        <f t="shared" si="215"/>
        <v>0</v>
      </c>
      <c r="EW106" s="205">
        <f t="shared" si="216"/>
        <v>0</v>
      </c>
      <c r="EX106" s="72"/>
      <c r="EY106" s="119">
        <f t="shared" si="217"/>
        <v>1259.0390042539434</v>
      </c>
      <c r="EZ106" s="120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0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0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0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0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0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0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0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0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0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0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0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0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0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0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0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0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0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0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0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0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0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0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0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0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0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0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0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0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0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0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0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0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0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0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0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0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0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0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0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5">
        <f t="shared" ca="1" si="218"/>
        <v>0</v>
      </c>
    </row>
    <row r="107" spans="112:196">
      <c r="DH107" s="119">
        <f t="shared" si="175"/>
        <v>1325.304215004151</v>
      </c>
      <c r="DI107" s="120">
        <f t="shared" si="176"/>
        <v>0</v>
      </c>
      <c r="DJ107" s="120">
        <f t="shared" si="177"/>
        <v>0</v>
      </c>
      <c r="DK107" s="120">
        <f t="shared" si="178"/>
        <v>0</v>
      </c>
      <c r="DL107" s="120">
        <f t="shared" si="179"/>
        <v>0</v>
      </c>
      <c r="DM107" s="120">
        <f t="shared" si="180"/>
        <v>0</v>
      </c>
      <c r="DN107" s="120">
        <f t="shared" si="181"/>
        <v>0</v>
      </c>
      <c r="DO107" s="120">
        <f t="shared" si="182"/>
        <v>0</v>
      </c>
      <c r="DP107" s="120">
        <f t="shared" si="183"/>
        <v>0</v>
      </c>
      <c r="DQ107" s="120">
        <f t="shared" si="184"/>
        <v>0</v>
      </c>
      <c r="DR107" s="120">
        <f t="shared" si="185"/>
        <v>0</v>
      </c>
      <c r="DS107" s="120">
        <f t="shared" si="186"/>
        <v>0</v>
      </c>
      <c r="DT107" s="120">
        <f t="shared" si="187"/>
        <v>0</v>
      </c>
      <c r="DU107" s="120">
        <f t="shared" si="188"/>
        <v>0</v>
      </c>
      <c r="DV107" s="120">
        <f t="shared" si="189"/>
        <v>0</v>
      </c>
      <c r="DW107" s="120">
        <f t="shared" si="190"/>
        <v>0</v>
      </c>
      <c r="DX107" s="120">
        <f t="shared" si="191"/>
        <v>0</v>
      </c>
      <c r="DY107" s="120">
        <f t="shared" si="192"/>
        <v>0</v>
      </c>
      <c r="DZ107" s="120">
        <f t="shared" si="193"/>
        <v>0</v>
      </c>
      <c r="EA107" s="120">
        <f t="shared" si="194"/>
        <v>0</v>
      </c>
      <c r="EB107" s="120">
        <f t="shared" si="195"/>
        <v>0</v>
      </c>
      <c r="EC107" s="120">
        <f t="shared" si="196"/>
        <v>0</v>
      </c>
      <c r="ED107" s="120">
        <f t="shared" si="197"/>
        <v>0</v>
      </c>
      <c r="EE107" s="120">
        <f t="shared" si="198"/>
        <v>0</v>
      </c>
      <c r="EF107" s="120">
        <f t="shared" si="199"/>
        <v>0</v>
      </c>
      <c r="EG107" s="120">
        <f t="shared" si="200"/>
        <v>0</v>
      </c>
      <c r="EH107" s="120">
        <f t="shared" si="201"/>
        <v>0</v>
      </c>
      <c r="EI107" s="120">
        <f t="shared" si="202"/>
        <v>0</v>
      </c>
      <c r="EJ107" s="120">
        <f t="shared" si="203"/>
        <v>0</v>
      </c>
      <c r="EK107" s="120">
        <f t="shared" si="204"/>
        <v>0</v>
      </c>
      <c r="EL107" s="120">
        <f t="shared" si="205"/>
        <v>0</v>
      </c>
      <c r="EM107" s="120">
        <f t="shared" si="206"/>
        <v>0</v>
      </c>
      <c r="EN107" s="120">
        <f t="shared" si="207"/>
        <v>0</v>
      </c>
      <c r="EO107" s="120">
        <f t="shared" si="208"/>
        <v>0</v>
      </c>
      <c r="EP107" s="120">
        <f t="shared" si="209"/>
        <v>0</v>
      </c>
      <c r="EQ107" s="120">
        <f t="shared" si="210"/>
        <v>0</v>
      </c>
      <c r="ER107" s="120">
        <f t="shared" si="211"/>
        <v>0</v>
      </c>
      <c r="ES107" s="120">
        <f t="shared" si="212"/>
        <v>0</v>
      </c>
      <c r="ET107" s="120">
        <f t="shared" si="213"/>
        <v>0</v>
      </c>
      <c r="EU107" s="120">
        <f t="shared" si="214"/>
        <v>0</v>
      </c>
      <c r="EV107" s="120">
        <f t="shared" si="215"/>
        <v>0</v>
      </c>
      <c r="EW107" s="205">
        <f t="shared" si="216"/>
        <v>0</v>
      </c>
      <c r="EX107" s="72"/>
      <c r="EY107" s="119">
        <f t="shared" si="217"/>
        <v>1325.304215004151</v>
      </c>
      <c r="EZ107" s="120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0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0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0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0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0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0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0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0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0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0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0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0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0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0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0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0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0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0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0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0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0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0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0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0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0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0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0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0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0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0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0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0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0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0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0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0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0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0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0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5">
        <f t="shared" ca="1" si="218"/>
        <v>0</v>
      </c>
    </row>
    <row r="108" spans="112:196">
      <c r="DH108" s="119">
        <f t="shared" si="175"/>
        <v>1395.0570684254221</v>
      </c>
      <c r="DI108" s="120">
        <f t="shared" si="176"/>
        <v>0</v>
      </c>
      <c r="DJ108" s="120">
        <f t="shared" si="177"/>
        <v>0</v>
      </c>
      <c r="DK108" s="120">
        <f t="shared" si="178"/>
        <v>0</v>
      </c>
      <c r="DL108" s="120">
        <f t="shared" si="179"/>
        <v>0</v>
      </c>
      <c r="DM108" s="120">
        <f t="shared" si="180"/>
        <v>0</v>
      </c>
      <c r="DN108" s="120">
        <f t="shared" si="181"/>
        <v>0</v>
      </c>
      <c r="DO108" s="120">
        <f t="shared" si="182"/>
        <v>0</v>
      </c>
      <c r="DP108" s="120">
        <f t="shared" si="183"/>
        <v>0</v>
      </c>
      <c r="DQ108" s="120">
        <f t="shared" si="184"/>
        <v>0</v>
      </c>
      <c r="DR108" s="120">
        <f t="shared" si="185"/>
        <v>0</v>
      </c>
      <c r="DS108" s="120">
        <f t="shared" si="186"/>
        <v>0</v>
      </c>
      <c r="DT108" s="120">
        <f t="shared" si="187"/>
        <v>0</v>
      </c>
      <c r="DU108" s="120">
        <f t="shared" si="188"/>
        <v>0</v>
      </c>
      <c r="DV108" s="120">
        <f t="shared" si="189"/>
        <v>0</v>
      </c>
      <c r="DW108" s="120">
        <f t="shared" si="190"/>
        <v>0</v>
      </c>
      <c r="DX108" s="120">
        <f t="shared" si="191"/>
        <v>0</v>
      </c>
      <c r="DY108" s="120">
        <f t="shared" si="192"/>
        <v>0</v>
      </c>
      <c r="DZ108" s="120">
        <f t="shared" si="193"/>
        <v>0</v>
      </c>
      <c r="EA108" s="120">
        <f t="shared" si="194"/>
        <v>0</v>
      </c>
      <c r="EB108" s="120">
        <f t="shared" si="195"/>
        <v>0</v>
      </c>
      <c r="EC108" s="120">
        <f t="shared" si="196"/>
        <v>0</v>
      </c>
      <c r="ED108" s="120">
        <f t="shared" si="197"/>
        <v>0</v>
      </c>
      <c r="EE108" s="120">
        <f t="shared" si="198"/>
        <v>0</v>
      </c>
      <c r="EF108" s="120">
        <f t="shared" si="199"/>
        <v>0</v>
      </c>
      <c r="EG108" s="120">
        <f t="shared" si="200"/>
        <v>0</v>
      </c>
      <c r="EH108" s="120">
        <f t="shared" si="201"/>
        <v>0</v>
      </c>
      <c r="EI108" s="120">
        <f t="shared" si="202"/>
        <v>0</v>
      </c>
      <c r="EJ108" s="120">
        <f t="shared" si="203"/>
        <v>0</v>
      </c>
      <c r="EK108" s="120">
        <f t="shared" si="204"/>
        <v>0</v>
      </c>
      <c r="EL108" s="120">
        <f t="shared" si="205"/>
        <v>0</v>
      </c>
      <c r="EM108" s="120">
        <f t="shared" si="206"/>
        <v>0</v>
      </c>
      <c r="EN108" s="120">
        <f t="shared" si="207"/>
        <v>0</v>
      </c>
      <c r="EO108" s="120">
        <f t="shared" si="208"/>
        <v>0</v>
      </c>
      <c r="EP108" s="120">
        <f t="shared" si="209"/>
        <v>0</v>
      </c>
      <c r="EQ108" s="120">
        <f t="shared" si="210"/>
        <v>0</v>
      </c>
      <c r="ER108" s="120">
        <f t="shared" si="211"/>
        <v>0</v>
      </c>
      <c r="ES108" s="120">
        <f t="shared" si="212"/>
        <v>0</v>
      </c>
      <c r="ET108" s="120">
        <f t="shared" si="213"/>
        <v>0</v>
      </c>
      <c r="EU108" s="120">
        <f t="shared" si="214"/>
        <v>0</v>
      </c>
      <c r="EV108" s="120">
        <f t="shared" si="215"/>
        <v>0</v>
      </c>
      <c r="EW108" s="205">
        <f t="shared" si="216"/>
        <v>0</v>
      </c>
      <c r="EX108" s="72"/>
      <c r="EY108" s="119">
        <f t="shared" si="217"/>
        <v>1395.0570684254221</v>
      </c>
      <c r="EZ108" s="120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0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0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0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0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0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0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0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0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0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0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0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0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0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0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0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0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0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0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0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0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0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0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0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0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0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0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0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0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0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0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0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0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0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0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0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0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0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0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0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5">
        <f t="shared" ca="1" si="218"/>
        <v>0</v>
      </c>
    </row>
    <row r="109" spans="112:196">
      <c r="DH109" s="119">
        <f t="shared" si="175"/>
        <v>1468.4811246583392</v>
      </c>
      <c r="DI109" s="120">
        <f t="shared" si="176"/>
        <v>0</v>
      </c>
      <c r="DJ109" s="120">
        <f t="shared" si="177"/>
        <v>0</v>
      </c>
      <c r="DK109" s="120">
        <f t="shared" si="178"/>
        <v>0</v>
      </c>
      <c r="DL109" s="120">
        <f t="shared" si="179"/>
        <v>0</v>
      </c>
      <c r="DM109" s="120">
        <f t="shared" si="180"/>
        <v>0</v>
      </c>
      <c r="DN109" s="120">
        <f t="shared" si="181"/>
        <v>0</v>
      </c>
      <c r="DO109" s="120">
        <f t="shared" si="182"/>
        <v>0</v>
      </c>
      <c r="DP109" s="120">
        <f t="shared" si="183"/>
        <v>0</v>
      </c>
      <c r="DQ109" s="120">
        <f t="shared" si="184"/>
        <v>0</v>
      </c>
      <c r="DR109" s="120">
        <f t="shared" si="185"/>
        <v>0</v>
      </c>
      <c r="DS109" s="120">
        <f t="shared" si="186"/>
        <v>0</v>
      </c>
      <c r="DT109" s="120">
        <f t="shared" si="187"/>
        <v>0</v>
      </c>
      <c r="DU109" s="120">
        <f t="shared" si="188"/>
        <v>0</v>
      </c>
      <c r="DV109" s="120">
        <f t="shared" si="189"/>
        <v>0</v>
      </c>
      <c r="DW109" s="120">
        <f t="shared" si="190"/>
        <v>0</v>
      </c>
      <c r="DX109" s="120">
        <f t="shared" si="191"/>
        <v>0</v>
      </c>
      <c r="DY109" s="120">
        <f t="shared" si="192"/>
        <v>0</v>
      </c>
      <c r="DZ109" s="120">
        <f t="shared" si="193"/>
        <v>0</v>
      </c>
      <c r="EA109" s="120">
        <f t="shared" si="194"/>
        <v>0</v>
      </c>
      <c r="EB109" s="120">
        <f t="shared" si="195"/>
        <v>0</v>
      </c>
      <c r="EC109" s="120">
        <f t="shared" si="196"/>
        <v>0</v>
      </c>
      <c r="ED109" s="120">
        <f t="shared" si="197"/>
        <v>0</v>
      </c>
      <c r="EE109" s="120">
        <f t="shared" si="198"/>
        <v>0</v>
      </c>
      <c r="EF109" s="120">
        <f t="shared" si="199"/>
        <v>0</v>
      </c>
      <c r="EG109" s="120">
        <f t="shared" si="200"/>
        <v>0</v>
      </c>
      <c r="EH109" s="120">
        <f t="shared" si="201"/>
        <v>0</v>
      </c>
      <c r="EI109" s="120">
        <f t="shared" si="202"/>
        <v>0</v>
      </c>
      <c r="EJ109" s="120">
        <f t="shared" si="203"/>
        <v>0</v>
      </c>
      <c r="EK109" s="120">
        <f t="shared" si="204"/>
        <v>0</v>
      </c>
      <c r="EL109" s="120">
        <f t="shared" si="205"/>
        <v>0</v>
      </c>
      <c r="EM109" s="120">
        <f t="shared" si="206"/>
        <v>0</v>
      </c>
      <c r="EN109" s="120">
        <f t="shared" si="207"/>
        <v>0</v>
      </c>
      <c r="EO109" s="120">
        <f t="shared" si="208"/>
        <v>0</v>
      </c>
      <c r="EP109" s="120">
        <f t="shared" si="209"/>
        <v>0</v>
      </c>
      <c r="EQ109" s="120">
        <f t="shared" si="210"/>
        <v>0</v>
      </c>
      <c r="ER109" s="120">
        <f t="shared" si="211"/>
        <v>0</v>
      </c>
      <c r="ES109" s="120">
        <f t="shared" si="212"/>
        <v>0</v>
      </c>
      <c r="ET109" s="120">
        <f t="shared" si="213"/>
        <v>0</v>
      </c>
      <c r="EU109" s="120">
        <f t="shared" si="214"/>
        <v>0</v>
      </c>
      <c r="EV109" s="120">
        <f t="shared" si="215"/>
        <v>0</v>
      </c>
      <c r="EW109" s="205">
        <f t="shared" si="216"/>
        <v>0</v>
      </c>
      <c r="EX109" s="72"/>
      <c r="EY109" s="119">
        <f t="shared" si="217"/>
        <v>1468.4811246583392</v>
      </c>
      <c r="EZ109" s="120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0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0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0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0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0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0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0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0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0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0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0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0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0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0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0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0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0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0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0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0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0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0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0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0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0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0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0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0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0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0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0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0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0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0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0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0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0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0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0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5">
        <f t="shared" ca="1" si="218"/>
        <v>0</v>
      </c>
    </row>
    <row r="110" spans="112:196">
      <c r="DH110" s="119">
        <f t="shared" si="175"/>
        <v>1545.7696049035151</v>
      </c>
      <c r="DI110" s="120">
        <f t="shared" si="176"/>
        <v>0</v>
      </c>
      <c r="DJ110" s="120">
        <f t="shared" si="177"/>
        <v>0</v>
      </c>
      <c r="DK110" s="120">
        <f t="shared" si="178"/>
        <v>0</v>
      </c>
      <c r="DL110" s="120">
        <f t="shared" si="179"/>
        <v>0</v>
      </c>
      <c r="DM110" s="120">
        <f t="shared" si="180"/>
        <v>0</v>
      </c>
      <c r="DN110" s="120">
        <f t="shared" si="181"/>
        <v>0</v>
      </c>
      <c r="DO110" s="120">
        <f t="shared" si="182"/>
        <v>0</v>
      </c>
      <c r="DP110" s="120">
        <f t="shared" si="183"/>
        <v>0</v>
      </c>
      <c r="DQ110" s="120">
        <f t="shared" si="184"/>
        <v>0</v>
      </c>
      <c r="DR110" s="120">
        <f t="shared" si="185"/>
        <v>0</v>
      </c>
      <c r="DS110" s="120">
        <f t="shared" si="186"/>
        <v>0</v>
      </c>
      <c r="DT110" s="120">
        <f t="shared" si="187"/>
        <v>0</v>
      </c>
      <c r="DU110" s="120">
        <f t="shared" si="188"/>
        <v>0</v>
      </c>
      <c r="DV110" s="120">
        <f t="shared" si="189"/>
        <v>0</v>
      </c>
      <c r="DW110" s="120">
        <f t="shared" si="190"/>
        <v>0</v>
      </c>
      <c r="DX110" s="120">
        <f t="shared" si="191"/>
        <v>0</v>
      </c>
      <c r="DY110" s="120">
        <f t="shared" si="192"/>
        <v>0</v>
      </c>
      <c r="DZ110" s="120">
        <f t="shared" si="193"/>
        <v>0</v>
      </c>
      <c r="EA110" s="120">
        <f t="shared" si="194"/>
        <v>0</v>
      </c>
      <c r="EB110" s="120">
        <f t="shared" si="195"/>
        <v>0</v>
      </c>
      <c r="EC110" s="120">
        <f t="shared" si="196"/>
        <v>0</v>
      </c>
      <c r="ED110" s="120">
        <f t="shared" si="197"/>
        <v>0</v>
      </c>
      <c r="EE110" s="120">
        <f t="shared" si="198"/>
        <v>0</v>
      </c>
      <c r="EF110" s="120">
        <f t="shared" si="199"/>
        <v>0</v>
      </c>
      <c r="EG110" s="120">
        <f t="shared" si="200"/>
        <v>0</v>
      </c>
      <c r="EH110" s="120">
        <f t="shared" si="201"/>
        <v>0</v>
      </c>
      <c r="EI110" s="120">
        <f t="shared" si="202"/>
        <v>0</v>
      </c>
      <c r="EJ110" s="120">
        <f t="shared" si="203"/>
        <v>0</v>
      </c>
      <c r="EK110" s="120">
        <f t="shared" si="204"/>
        <v>0</v>
      </c>
      <c r="EL110" s="120">
        <f t="shared" si="205"/>
        <v>0</v>
      </c>
      <c r="EM110" s="120">
        <f t="shared" si="206"/>
        <v>0</v>
      </c>
      <c r="EN110" s="120">
        <f t="shared" si="207"/>
        <v>0</v>
      </c>
      <c r="EO110" s="120">
        <f t="shared" si="208"/>
        <v>0</v>
      </c>
      <c r="EP110" s="120">
        <f t="shared" si="209"/>
        <v>0</v>
      </c>
      <c r="EQ110" s="120">
        <f t="shared" si="210"/>
        <v>0</v>
      </c>
      <c r="ER110" s="120">
        <f t="shared" si="211"/>
        <v>0</v>
      </c>
      <c r="ES110" s="120">
        <f t="shared" si="212"/>
        <v>0</v>
      </c>
      <c r="ET110" s="120">
        <f t="shared" si="213"/>
        <v>0</v>
      </c>
      <c r="EU110" s="120">
        <f t="shared" si="214"/>
        <v>0</v>
      </c>
      <c r="EV110" s="120">
        <f t="shared" si="215"/>
        <v>0</v>
      </c>
      <c r="EW110" s="205">
        <f t="shared" si="216"/>
        <v>0</v>
      </c>
      <c r="EX110" s="72"/>
      <c r="EY110" s="119">
        <f t="shared" si="217"/>
        <v>1545.7696049035151</v>
      </c>
      <c r="EZ110" s="120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0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0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0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0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0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0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0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0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0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0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0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0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0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0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0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0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0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0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0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0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0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0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0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0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0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0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0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0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0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0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0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0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0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0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0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0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0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0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0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5">
        <f t="shared" ca="1" si="218"/>
        <v>0</v>
      </c>
    </row>
    <row r="111" spans="112:196">
      <c r="DH111" s="119">
        <f t="shared" si="175"/>
        <v>1627.125899898437</v>
      </c>
      <c r="DI111" s="120">
        <f t="shared" si="176"/>
        <v>0</v>
      </c>
      <c r="DJ111" s="120">
        <f t="shared" si="177"/>
        <v>0</v>
      </c>
      <c r="DK111" s="120">
        <f t="shared" si="178"/>
        <v>0</v>
      </c>
      <c r="DL111" s="120">
        <f t="shared" si="179"/>
        <v>0</v>
      </c>
      <c r="DM111" s="120">
        <f t="shared" si="180"/>
        <v>0</v>
      </c>
      <c r="DN111" s="120">
        <f t="shared" si="181"/>
        <v>0</v>
      </c>
      <c r="DO111" s="120">
        <f t="shared" si="182"/>
        <v>0</v>
      </c>
      <c r="DP111" s="120">
        <f t="shared" si="183"/>
        <v>0</v>
      </c>
      <c r="DQ111" s="120">
        <f t="shared" si="184"/>
        <v>0</v>
      </c>
      <c r="DR111" s="120">
        <f t="shared" si="185"/>
        <v>0</v>
      </c>
      <c r="DS111" s="120">
        <f t="shared" si="186"/>
        <v>0</v>
      </c>
      <c r="DT111" s="120">
        <f t="shared" si="187"/>
        <v>0</v>
      </c>
      <c r="DU111" s="120">
        <f t="shared" si="188"/>
        <v>0</v>
      </c>
      <c r="DV111" s="120">
        <f t="shared" si="189"/>
        <v>0</v>
      </c>
      <c r="DW111" s="120">
        <f t="shared" si="190"/>
        <v>0</v>
      </c>
      <c r="DX111" s="120">
        <f t="shared" si="191"/>
        <v>0</v>
      </c>
      <c r="DY111" s="120">
        <f t="shared" si="192"/>
        <v>0</v>
      </c>
      <c r="DZ111" s="120">
        <f t="shared" si="193"/>
        <v>0</v>
      </c>
      <c r="EA111" s="120">
        <f t="shared" si="194"/>
        <v>0</v>
      </c>
      <c r="EB111" s="120">
        <f t="shared" si="195"/>
        <v>0</v>
      </c>
      <c r="EC111" s="120">
        <f t="shared" si="196"/>
        <v>0</v>
      </c>
      <c r="ED111" s="120">
        <f t="shared" si="197"/>
        <v>0</v>
      </c>
      <c r="EE111" s="120">
        <f t="shared" si="198"/>
        <v>0</v>
      </c>
      <c r="EF111" s="120">
        <f t="shared" si="199"/>
        <v>0</v>
      </c>
      <c r="EG111" s="120">
        <f t="shared" si="200"/>
        <v>0</v>
      </c>
      <c r="EH111" s="120">
        <f t="shared" si="201"/>
        <v>0</v>
      </c>
      <c r="EI111" s="120">
        <f t="shared" si="202"/>
        <v>0</v>
      </c>
      <c r="EJ111" s="120">
        <f t="shared" si="203"/>
        <v>0</v>
      </c>
      <c r="EK111" s="120">
        <f t="shared" si="204"/>
        <v>0</v>
      </c>
      <c r="EL111" s="120">
        <f t="shared" si="205"/>
        <v>0</v>
      </c>
      <c r="EM111" s="120">
        <f t="shared" si="206"/>
        <v>0</v>
      </c>
      <c r="EN111" s="120">
        <f t="shared" si="207"/>
        <v>0</v>
      </c>
      <c r="EO111" s="120">
        <f t="shared" si="208"/>
        <v>0</v>
      </c>
      <c r="EP111" s="120">
        <f t="shared" si="209"/>
        <v>0</v>
      </c>
      <c r="EQ111" s="120">
        <f t="shared" si="210"/>
        <v>0</v>
      </c>
      <c r="ER111" s="120">
        <f t="shared" si="211"/>
        <v>0</v>
      </c>
      <c r="ES111" s="120">
        <f t="shared" si="212"/>
        <v>0</v>
      </c>
      <c r="ET111" s="120">
        <f t="shared" si="213"/>
        <v>0</v>
      </c>
      <c r="EU111" s="120">
        <f t="shared" si="214"/>
        <v>0</v>
      </c>
      <c r="EV111" s="120">
        <f t="shared" si="215"/>
        <v>0</v>
      </c>
      <c r="EW111" s="205">
        <f t="shared" si="216"/>
        <v>0</v>
      </c>
      <c r="EX111" s="72"/>
      <c r="EY111" s="119">
        <f t="shared" si="217"/>
        <v>1627.125899898437</v>
      </c>
      <c r="EZ111" s="120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0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0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0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0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0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0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0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0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0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0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0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0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0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0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0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0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0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0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0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0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0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0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0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0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0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0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0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0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0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0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0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0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0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0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0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0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0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0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0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5">
        <f t="shared" ca="1" si="218"/>
        <v>0</v>
      </c>
    </row>
    <row r="112" spans="112:196">
      <c r="DH112" s="119">
        <f t="shared" si="175"/>
        <v>1712.7641051562496</v>
      </c>
      <c r="DI112" s="120">
        <f t="shared" si="176"/>
        <v>0</v>
      </c>
      <c r="DJ112" s="120">
        <f t="shared" si="177"/>
        <v>0</v>
      </c>
      <c r="DK112" s="120">
        <f t="shared" si="178"/>
        <v>0</v>
      </c>
      <c r="DL112" s="120">
        <f t="shared" si="179"/>
        <v>0</v>
      </c>
      <c r="DM112" s="120">
        <f t="shared" si="180"/>
        <v>0</v>
      </c>
      <c r="DN112" s="120">
        <f t="shared" si="181"/>
        <v>0</v>
      </c>
      <c r="DO112" s="120">
        <f t="shared" si="182"/>
        <v>0</v>
      </c>
      <c r="DP112" s="120">
        <f t="shared" si="183"/>
        <v>0</v>
      </c>
      <c r="DQ112" s="120">
        <f t="shared" si="184"/>
        <v>0</v>
      </c>
      <c r="DR112" s="120">
        <f t="shared" si="185"/>
        <v>0</v>
      </c>
      <c r="DS112" s="120">
        <f t="shared" si="186"/>
        <v>0</v>
      </c>
      <c r="DT112" s="120">
        <f t="shared" si="187"/>
        <v>0</v>
      </c>
      <c r="DU112" s="120">
        <f t="shared" si="188"/>
        <v>0</v>
      </c>
      <c r="DV112" s="120">
        <f t="shared" si="189"/>
        <v>0</v>
      </c>
      <c r="DW112" s="120">
        <f t="shared" si="190"/>
        <v>0</v>
      </c>
      <c r="DX112" s="120">
        <f t="shared" si="191"/>
        <v>0</v>
      </c>
      <c r="DY112" s="120">
        <f t="shared" si="192"/>
        <v>0</v>
      </c>
      <c r="DZ112" s="120">
        <f t="shared" si="193"/>
        <v>0</v>
      </c>
      <c r="EA112" s="120">
        <f t="shared" si="194"/>
        <v>0</v>
      </c>
      <c r="EB112" s="120">
        <f t="shared" si="195"/>
        <v>0</v>
      </c>
      <c r="EC112" s="120">
        <f t="shared" si="196"/>
        <v>0</v>
      </c>
      <c r="ED112" s="120">
        <f t="shared" si="197"/>
        <v>0</v>
      </c>
      <c r="EE112" s="120">
        <f t="shared" si="198"/>
        <v>0</v>
      </c>
      <c r="EF112" s="120">
        <f t="shared" si="199"/>
        <v>0</v>
      </c>
      <c r="EG112" s="120">
        <f t="shared" si="200"/>
        <v>0</v>
      </c>
      <c r="EH112" s="120">
        <f t="shared" si="201"/>
        <v>0</v>
      </c>
      <c r="EI112" s="120">
        <f t="shared" si="202"/>
        <v>0</v>
      </c>
      <c r="EJ112" s="120">
        <f t="shared" si="203"/>
        <v>0</v>
      </c>
      <c r="EK112" s="120">
        <f t="shared" si="204"/>
        <v>0</v>
      </c>
      <c r="EL112" s="120">
        <f t="shared" si="205"/>
        <v>0</v>
      </c>
      <c r="EM112" s="120">
        <f t="shared" si="206"/>
        <v>0</v>
      </c>
      <c r="EN112" s="120">
        <f t="shared" si="207"/>
        <v>0</v>
      </c>
      <c r="EO112" s="120">
        <f t="shared" si="208"/>
        <v>0</v>
      </c>
      <c r="EP112" s="120">
        <f t="shared" si="209"/>
        <v>0</v>
      </c>
      <c r="EQ112" s="120">
        <f t="shared" si="210"/>
        <v>0</v>
      </c>
      <c r="ER112" s="120">
        <f t="shared" si="211"/>
        <v>0</v>
      </c>
      <c r="ES112" s="120">
        <f t="shared" si="212"/>
        <v>0</v>
      </c>
      <c r="ET112" s="120">
        <f t="shared" si="213"/>
        <v>0</v>
      </c>
      <c r="EU112" s="120">
        <f t="shared" si="214"/>
        <v>0</v>
      </c>
      <c r="EV112" s="120">
        <f t="shared" si="215"/>
        <v>0</v>
      </c>
      <c r="EW112" s="205">
        <f t="shared" si="216"/>
        <v>0</v>
      </c>
      <c r="EX112" s="72"/>
      <c r="EY112" s="119">
        <f t="shared" si="217"/>
        <v>1712.7641051562496</v>
      </c>
      <c r="EZ112" s="120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0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0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0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0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0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0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0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0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0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0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0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0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0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0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0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0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0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0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0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0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0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0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0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0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0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0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0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0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0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0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0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0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0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0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0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0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0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0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0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5">
        <f t="shared" ca="1" si="218"/>
        <v>0</v>
      </c>
    </row>
    <row r="113" spans="112:196">
      <c r="DH113" s="119">
        <f t="shared" si="175"/>
        <v>1802.9095843749997</v>
      </c>
      <c r="DI113" s="120">
        <f t="shared" si="176"/>
        <v>0</v>
      </c>
      <c r="DJ113" s="120">
        <f t="shared" si="177"/>
        <v>0</v>
      </c>
      <c r="DK113" s="120">
        <f t="shared" si="178"/>
        <v>0</v>
      </c>
      <c r="DL113" s="120">
        <f t="shared" si="179"/>
        <v>0</v>
      </c>
      <c r="DM113" s="120">
        <f t="shared" si="180"/>
        <v>0</v>
      </c>
      <c r="DN113" s="120">
        <f t="shared" si="181"/>
        <v>0</v>
      </c>
      <c r="DO113" s="120">
        <f t="shared" si="182"/>
        <v>0</v>
      </c>
      <c r="DP113" s="120">
        <f t="shared" si="183"/>
        <v>0</v>
      </c>
      <c r="DQ113" s="120">
        <f t="shared" si="184"/>
        <v>0</v>
      </c>
      <c r="DR113" s="120">
        <f t="shared" si="185"/>
        <v>0</v>
      </c>
      <c r="DS113" s="120">
        <f t="shared" si="186"/>
        <v>0</v>
      </c>
      <c r="DT113" s="120">
        <f t="shared" si="187"/>
        <v>0</v>
      </c>
      <c r="DU113" s="120">
        <f t="shared" si="188"/>
        <v>0</v>
      </c>
      <c r="DV113" s="120">
        <f t="shared" si="189"/>
        <v>0</v>
      </c>
      <c r="DW113" s="120">
        <f t="shared" si="190"/>
        <v>0</v>
      </c>
      <c r="DX113" s="120">
        <f t="shared" si="191"/>
        <v>0</v>
      </c>
      <c r="DY113" s="120">
        <f t="shared" si="192"/>
        <v>0</v>
      </c>
      <c r="DZ113" s="120">
        <f t="shared" si="193"/>
        <v>0</v>
      </c>
      <c r="EA113" s="120">
        <f t="shared" si="194"/>
        <v>0</v>
      </c>
      <c r="EB113" s="120">
        <f t="shared" si="195"/>
        <v>0</v>
      </c>
      <c r="EC113" s="120">
        <f t="shared" si="196"/>
        <v>0</v>
      </c>
      <c r="ED113" s="120">
        <f t="shared" si="197"/>
        <v>0</v>
      </c>
      <c r="EE113" s="120">
        <f t="shared" si="198"/>
        <v>0</v>
      </c>
      <c r="EF113" s="120">
        <f t="shared" si="199"/>
        <v>0</v>
      </c>
      <c r="EG113" s="120">
        <f t="shared" si="200"/>
        <v>0</v>
      </c>
      <c r="EH113" s="120">
        <f t="shared" si="201"/>
        <v>0</v>
      </c>
      <c r="EI113" s="120">
        <f t="shared" si="202"/>
        <v>0</v>
      </c>
      <c r="EJ113" s="120">
        <f t="shared" si="203"/>
        <v>0</v>
      </c>
      <c r="EK113" s="120">
        <f t="shared" si="204"/>
        <v>0</v>
      </c>
      <c r="EL113" s="120">
        <f t="shared" si="205"/>
        <v>0</v>
      </c>
      <c r="EM113" s="120">
        <f t="shared" si="206"/>
        <v>0</v>
      </c>
      <c r="EN113" s="120">
        <f t="shared" si="207"/>
        <v>0</v>
      </c>
      <c r="EO113" s="120">
        <f t="shared" si="208"/>
        <v>0</v>
      </c>
      <c r="EP113" s="120">
        <f t="shared" si="209"/>
        <v>0</v>
      </c>
      <c r="EQ113" s="120">
        <f t="shared" si="210"/>
        <v>0</v>
      </c>
      <c r="ER113" s="120">
        <f t="shared" si="211"/>
        <v>0</v>
      </c>
      <c r="ES113" s="120">
        <f t="shared" si="212"/>
        <v>0</v>
      </c>
      <c r="ET113" s="120">
        <f t="shared" si="213"/>
        <v>0</v>
      </c>
      <c r="EU113" s="120">
        <f t="shared" si="214"/>
        <v>0</v>
      </c>
      <c r="EV113" s="120">
        <f t="shared" si="215"/>
        <v>0</v>
      </c>
      <c r="EW113" s="205">
        <f t="shared" si="216"/>
        <v>0</v>
      </c>
      <c r="EX113" s="72"/>
      <c r="EY113" s="119">
        <f t="shared" si="217"/>
        <v>1802.9095843749997</v>
      </c>
      <c r="EZ113" s="120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0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0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0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0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0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0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0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0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0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0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0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0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0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0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0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0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0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0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0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0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0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0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0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0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0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0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0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0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0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0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0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0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0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0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0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0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0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0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0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5">
        <f t="shared" ca="1" si="218"/>
        <v>0</v>
      </c>
    </row>
    <row r="114" spans="112:196">
      <c r="DH114" s="119">
        <f t="shared" si="175"/>
        <v>1897.7995624999996</v>
      </c>
      <c r="DI114" s="120">
        <f t="shared" si="176"/>
        <v>0</v>
      </c>
      <c r="DJ114" s="120">
        <f t="shared" si="177"/>
        <v>0</v>
      </c>
      <c r="DK114" s="120">
        <f t="shared" si="178"/>
        <v>0</v>
      </c>
      <c r="DL114" s="120">
        <f t="shared" si="179"/>
        <v>0</v>
      </c>
      <c r="DM114" s="120">
        <f t="shared" si="180"/>
        <v>0</v>
      </c>
      <c r="DN114" s="120">
        <f t="shared" si="181"/>
        <v>0</v>
      </c>
      <c r="DO114" s="120">
        <f t="shared" si="182"/>
        <v>0</v>
      </c>
      <c r="DP114" s="120">
        <f t="shared" si="183"/>
        <v>0</v>
      </c>
      <c r="DQ114" s="120">
        <f t="shared" si="184"/>
        <v>0</v>
      </c>
      <c r="DR114" s="120">
        <f t="shared" si="185"/>
        <v>0</v>
      </c>
      <c r="DS114" s="120">
        <f t="shared" si="186"/>
        <v>0</v>
      </c>
      <c r="DT114" s="120">
        <f t="shared" si="187"/>
        <v>0</v>
      </c>
      <c r="DU114" s="120">
        <f t="shared" si="188"/>
        <v>0</v>
      </c>
      <c r="DV114" s="120">
        <f t="shared" si="189"/>
        <v>0</v>
      </c>
      <c r="DW114" s="120">
        <f t="shared" si="190"/>
        <v>0</v>
      </c>
      <c r="DX114" s="120">
        <f t="shared" si="191"/>
        <v>0</v>
      </c>
      <c r="DY114" s="120">
        <f t="shared" si="192"/>
        <v>0</v>
      </c>
      <c r="DZ114" s="120">
        <f t="shared" si="193"/>
        <v>0</v>
      </c>
      <c r="EA114" s="120">
        <f t="shared" si="194"/>
        <v>0</v>
      </c>
      <c r="EB114" s="120">
        <f t="shared" si="195"/>
        <v>0</v>
      </c>
      <c r="EC114" s="120">
        <f t="shared" si="196"/>
        <v>0</v>
      </c>
      <c r="ED114" s="120">
        <f t="shared" si="197"/>
        <v>0</v>
      </c>
      <c r="EE114" s="120">
        <f t="shared" si="198"/>
        <v>0</v>
      </c>
      <c r="EF114" s="120">
        <f t="shared" si="199"/>
        <v>0</v>
      </c>
      <c r="EG114" s="120">
        <f t="shared" si="200"/>
        <v>0</v>
      </c>
      <c r="EH114" s="120">
        <f t="shared" si="201"/>
        <v>0</v>
      </c>
      <c r="EI114" s="120">
        <f t="shared" si="202"/>
        <v>0</v>
      </c>
      <c r="EJ114" s="120">
        <f t="shared" si="203"/>
        <v>0</v>
      </c>
      <c r="EK114" s="120">
        <f t="shared" si="204"/>
        <v>0</v>
      </c>
      <c r="EL114" s="120">
        <f t="shared" si="205"/>
        <v>0</v>
      </c>
      <c r="EM114" s="120">
        <f t="shared" si="206"/>
        <v>0</v>
      </c>
      <c r="EN114" s="120">
        <f t="shared" si="207"/>
        <v>0</v>
      </c>
      <c r="EO114" s="120">
        <f t="shared" si="208"/>
        <v>0</v>
      </c>
      <c r="EP114" s="120">
        <f t="shared" si="209"/>
        <v>0</v>
      </c>
      <c r="EQ114" s="120">
        <f t="shared" si="210"/>
        <v>0</v>
      </c>
      <c r="ER114" s="120">
        <f t="shared" si="211"/>
        <v>0</v>
      </c>
      <c r="ES114" s="120">
        <f t="shared" si="212"/>
        <v>0</v>
      </c>
      <c r="ET114" s="120">
        <f t="shared" si="213"/>
        <v>0</v>
      </c>
      <c r="EU114" s="120">
        <f t="shared" si="214"/>
        <v>0</v>
      </c>
      <c r="EV114" s="120">
        <f t="shared" si="215"/>
        <v>0</v>
      </c>
      <c r="EW114" s="205">
        <f t="shared" si="216"/>
        <v>0</v>
      </c>
      <c r="EX114" s="72"/>
      <c r="EY114" s="119">
        <f t="shared" si="217"/>
        <v>1897.7995624999996</v>
      </c>
      <c r="EZ114" s="120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0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0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0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0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0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0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0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0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0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0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0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0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0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0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0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0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0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0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0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0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0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0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0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0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0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0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0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0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0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0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0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0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0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0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0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0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0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0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0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5">
        <f t="shared" ca="1" si="218"/>
        <v>0</v>
      </c>
    </row>
    <row r="115" spans="112:196">
      <c r="DH115" s="119">
        <f t="shared" si="175"/>
        <v>1997.6837499999997</v>
      </c>
      <c r="DI115" s="120">
        <f t="shared" si="176"/>
        <v>0</v>
      </c>
      <c r="DJ115" s="120">
        <f t="shared" si="177"/>
        <v>0</v>
      </c>
      <c r="DK115" s="120">
        <f t="shared" si="178"/>
        <v>0</v>
      </c>
      <c r="DL115" s="120">
        <f t="shared" si="179"/>
        <v>0</v>
      </c>
      <c r="DM115" s="120">
        <f t="shared" si="180"/>
        <v>0</v>
      </c>
      <c r="DN115" s="120">
        <f t="shared" si="181"/>
        <v>0</v>
      </c>
      <c r="DO115" s="120">
        <f t="shared" si="182"/>
        <v>0</v>
      </c>
      <c r="DP115" s="120">
        <f t="shared" si="183"/>
        <v>0</v>
      </c>
      <c r="DQ115" s="120">
        <f t="shared" si="184"/>
        <v>0</v>
      </c>
      <c r="DR115" s="120">
        <f t="shared" si="185"/>
        <v>0</v>
      </c>
      <c r="DS115" s="120">
        <f t="shared" si="186"/>
        <v>0</v>
      </c>
      <c r="DT115" s="120">
        <f t="shared" si="187"/>
        <v>0</v>
      </c>
      <c r="DU115" s="120">
        <f t="shared" si="188"/>
        <v>0</v>
      </c>
      <c r="DV115" s="120">
        <f t="shared" si="189"/>
        <v>0</v>
      </c>
      <c r="DW115" s="120">
        <f t="shared" si="190"/>
        <v>0</v>
      </c>
      <c r="DX115" s="120">
        <f t="shared" si="191"/>
        <v>0</v>
      </c>
      <c r="DY115" s="120">
        <f t="shared" si="192"/>
        <v>0</v>
      </c>
      <c r="DZ115" s="120">
        <f t="shared" si="193"/>
        <v>0</v>
      </c>
      <c r="EA115" s="120">
        <f t="shared" si="194"/>
        <v>0</v>
      </c>
      <c r="EB115" s="120">
        <f t="shared" si="195"/>
        <v>0</v>
      </c>
      <c r="EC115" s="120">
        <f t="shared" si="196"/>
        <v>0</v>
      </c>
      <c r="ED115" s="120">
        <f t="shared" si="197"/>
        <v>0</v>
      </c>
      <c r="EE115" s="120">
        <f t="shared" si="198"/>
        <v>0</v>
      </c>
      <c r="EF115" s="120">
        <f t="shared" si="199"/>
        <v>0</v>
      </c>
      <c r="EG115" s="120">
        <f t="shared" si="200"/>
        <v>0</v>
      </c>
      <c r="EH115" s="120">
        <f t="shared" si="201"/>
        <v>0</v>
      </c>
      <c r="EI115" s="120">
        <f t="shared" si="202"/>
        <v>0</v>
      </c>
      <c r="EJ115" s="120">
        <f t="shared" si="203"/>
        <v>0</v>
      </c>
      <c r="EK115" s="120">
        <f t="shared" si="204"/>
        <v>0</v>
      </c>
      <c r="EL115" s="120">
        <f t="shared" si="205"/>
        <v>0</v>
      </c>
      <c r="EM115" s="120">
        <f t="shared" si="206"/>
        <v>0</v>
      </c>
      <c r="EN115" s="120">
        <f t="shared" si="207"/>
        <v>0</v>
      </c>
      <c r="EO115" s="120">
        <f t="shared" si="208"/>
        <v>0</v>
      </c>
      <c r="EP115" s="120">
        <f t="shared" si="209"/>
        <v>0</v>
      </c>
      <c r="EQ115" s="120">
        <f t="shared" si="210"/>
        <v>0</v>
      </c>
      <c r="ER115" s="120">
        <f t="shared" si="211"/>
        <v>0</v>
      </c>
      <c r="ES115" s="120">
        <f t="shared" si="212"/>
        <v>0</v>
      </c>
      <c r="ET115" s="120">
        <f t="shared" si="213"/>
        <v>0</v>
      </c>
      <c r="EU115" s="120">
        <f t="shared" si="214"/>
        <v>0</v>
      </c>
      <c r="EV115" s="120">
        <f t="shared" si="215"/>
        <v>0</v>
      </c>
      <c r="EW115" s="205">
        <f t="shared" si="216"/>
        <v>0</v>
      </c>
      <c r="EX115" s="72"/>
      <c r="EY115" s="119">
        <f t="shared" si="217"/>
        <v>1997.6837499999997</v>
      </c>
      <c r="EZ115" s="120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0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0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0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0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0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0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0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0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0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0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0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0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0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0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0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0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0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0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0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0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0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0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0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0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0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0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0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0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0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0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0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0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0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0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0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0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0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0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0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5">
        <f t="shared" ca="1" si="218"/>
        <v>0</v>
      </c>
    </row>
    <row r="116" spans="112:196">
      <c r="DH116" s="119">
        <f t="shared" si="175"/>
        <v>2102.8249999999998</v>
      </c>
      <c r="DI116" s="120">
        <f t="shared" si="176"/>
        <v>0</v>
      </c>
      <c r="DJ116" s="120">
        <f t="shared" si="177"/>
        <v>0</v>
      </c>
      <c r="DK116" s="120">
        <f t="shared" si="178"/>
        <v>0</v>
      </c>
      <c r="DL116" s="120">
        <f t="shared" si="179"/>
        <v>0</v>
      </c>
      <c r="DM116" s="120">
        <f t="shared" si="180"/>
        <v>0</v>
      </c>
      <c r="DN116" s="120">
        <f t="shared" si="181"/>
        <v>0</v>
      </c>
      <c r="DO116" s="120">
        <f t="shared" si="182"/>
        <v>0</v>
      </c>
      <c r="DP116" s="120">
        <f t="shared" si="183"/>
        <v>0</v>
      </c>
      <c r="DQ116" s="120">
        <f t="shared" si="184"/>
        <v>0</v>
      </c>
      <c r="DR116" s="120">
        <f t="shared" si="185"/>
        <v>0</v>
      </c>
      <c r="DS116" s="120">
        <f t="shared" si="186"/>
        <v>0</v>
      </c>
      <c r="DT116" s="120">
        <f t="shared" si="187"/>
        <v>0</v>
      </c>
      <c r="DU116" s="120">
        <f t="shared" si="188"/>
        <v>0</v>
      </c>
      <c r="DV116" s="120">
        <f t="shared" si="189"/>
        <v>0</v>
      </c>
      <c r="DW116" s="120">
        <f t="shared" si="190"/>
        <v>0</v>
      </c>
      <c r="DX116" s="120">
        <f t="shared" si="191"/>
        <v>0</v>
      </c>
      <c r="DY116" s="120">
        <f t="shared" si="192"/>
        <v>0</v>
      </c>
      <c r="DZ116" s="120">
        <f t="shared" si="193"/>
        <v>0</v>
      </c>
      <c r="EA116" s="120">
        <f t="shared" si="194"/>
        <v>0</v>
      </c>
      <c r="EB116" s="120">
        <f t="shared" si="195"/>
        <v>0</v>
      </c>
      <c r="EC116" s="120">
        <f t="shared" si="196"/>
        <v>0</v>
      </c>
      <c r="ED116" s="120">
        <f t="shared" si="197"/>
        <v>0</v>
      </c>
      <c r="EE116" s="120">
        <f t="shared" si="198"/>
        <v>0</v>
      </c>
      <c r="EF116" s="120">
        <f t="shared" si="199"/>
        <v>0</v>
      </c>
      <c r="EG116" s="120">
        <f t="shared" si="200"/>
        <v>0</v>
      </c>
      <c r="EH116" s="120">
        <f t="shared" si="201"/>
        <v>0</v>
      </c>
      <c r="EI116" s="120">
        <f t="shared" si="202"/>
        <v>0</v>
      </c>
      <c r="EJ116" s="120">
        <f t="shared" si="203"/>
        <v>0</v>
      </c>
      <c r="EK116" s="120">
        <f t="shared" si="204"/>
        <v>0</v>
      </c>
      <c r="EL116" s="120">
        <f t="shared" si="205"/>
        <v>0</v>
      </c>
      <c r="EM116" s="120">
        <f t="shared" si="206"/>
        <v>0</v>
      </c>
      <c r="EN116" s="120">
        <f t="shared" si="207"/>
        <v>0</v>
      </c>
      <c r="EO116" s="120">
        <f t="shared" si="208"/>
        <v>0</v>
      </c>
      <c r="EP116" s="120">
        <f t="shared" si="209"/>
        <v>0</v>
      </c>
      <c r="EQ116" s="120">
        <f t="shared" si="210"/>
        <v>0</v>
      </c>
      <c r="ER116" s="120">
        <f t="shared" si="211"/>
        <v>0</v>
      </c>
      <c r="ES116" s="120">
        <f t="shared" si="212"/>
        <v>0</v>
      </c>
      <c r="ET116" s="120">
        <f t="shared" si="213"/>
        <v>0</v>
      </c>
      <c r="EU116" s="120">
        <f t="shared" si="214"/>
        <v>0</v>
      </c>
      <c r="EV116" s="120">
        <f t="shared" si="215"/>
        <v>0</v>
      </c>
      <c r="EW116" s="205">
        <f t="shared" si="216"/>
        <v>0</v>
      </c>
      <c r="EX116" s="72"/>
      <c r="EY116" s="119">
        <f t="shared" si="217"/>
        <v>2102.8249999999998</v>
      </c>
      <c r="EZ116" s="120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0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0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0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0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0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0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0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0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0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0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0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0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0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0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0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0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0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0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0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0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0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0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0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0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0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0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0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0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0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0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0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0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0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0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0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0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0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0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0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5">
        <f t="shared" ca="1" si="218"/>
        <v>0</v>
      </c>
    </row>
    <row r="117" spans="112:196">
      <c r="DH117" s="119">
        <f t="shared" si="175"/>
        <v>2213.5</v>
      </c>
      <c r="DI117" s="120">
        <f t="shared" si="176"/>
        <v>0</v>
      </c>
      <c r="DJ117" s="120">
        <f t="shared" si="177"/>
        <v>0</v>
      </c>
      <c r="DK117" s="120">
        <f t="shared" si="178"/>
        <v>0</v>
      </c>
      <c r="DL117" s="120">
        <f t="shared" si="179"/>
        <v>0</v>
      </c>
      <c r="DM117" s="120">
        <f t="shared" si="180"/>
        <v>0</v>
      </c>
      <c r="DN117" s="120">
        <f t="shared" si="181"/>
        <v>0</v>
      </c>
      <c r="DO117" s="120">
        <f t="shared" si="182"/>
        <v>0</v>
      </c>
      <c r="DP117" s="120">
        <f t="shared" si="183"/>
        <v>0</v>
      </c>
      <c r="DQ117" s="120">
        <f t="shared" si="184"/>
        <v>0</v>
      </c>
      <c r="DR117" s="120">
        <f t="shared" si="185"/>
        <v>0</v>
      </c>
      <c r="DS117" s="120">
        <f t="shared" si="186"/>
        <v>0</v>
      </c>
      <c r="DT117" s="120">
        <f t="shared" si="187"/>
        <v>0</v>
      </c>
      <c r="DU117" s="120">
        <f t="shared" si="188"/>
        <v>0</v>
      </c>
      <c r="DV117" s="120">
        <f t="shared" si="189"/>
        <v>0</v>
      </c>
      <c r="DW117" s="120">
        <f t="shared" si="190"/>
        <v>0</v>
      </c>
      <c r="DX117" s="120">
        <f t="shared" si="191"/>
        <v>0</v>
      </c>
      <c r="DY117" s="120">
        <f t="shared" si="192"/>
        <v>0</v>
      </c>
      <c r="DZ117" s="120">
        <f t="shared" si="193"/>
        <v>0</v>
      </c>
      <c r="EA117" s="120">
        <f t="shared" si="194"/>
        <v>0</v>
      </c>
      <c r="EB117" s="120">
        <f t="shared" si="195"/>
        <v>0</v>
      </c>
      <c r="EC117" s="120">
        <f t="shared" si="196"/>
        <v>0</v>
      </c>
      <c r="ED117" s="120">
        <f t="shared" si="197"/>
        <v>0</v>
      </c>
      <c r="EE117" s="120">
        <f t="shared" si="198"/>
        <v>0</v>
      </c>
      <c r="EF117" s="120">
        <f t="shared" si="199"/>
        <v>0</v>
      </c>
      <c r="EG117" s="120">
        <f t="shared" si="200"/>
        <v>0</v>
      </c>
      <c r="EH117" s="120">
        <f t="shared" si="201"/>
        <v>0</v>
      </c>
      <c r="EI117" s="120">
        <f t="shared" si="202"/>
        <v>0</v>
      </c>
      <c r="EJ117" s="120">
        <f t="shared" si="203"/>
        <v>0</v>
      </c>
      <c r="EK117" s="120">
        <f t="shared" si="204"/>
        <v>0</v>
      </c>
      <c r="EL117" s="120">
        <f t="shared" si="205"/>
        <v>0</v>
      </c>
      <c r="EM117" s="120">
        <f t="shared" si="206"/>
        <v>0</v>
      </c>
      <c r="EN117" s="120">
        <f t="shared" si="207"/>
        <v>0</v>
      </c>
      <c r="EO117" s="120">
        <f t="shared" si="208"/>
        <v>0</v>
      </c>
      <c r="EP117" s="120">
        <f t="shared" si="209"/>
        <v>0</v>
      </c>
      <c r="EQ117" s="120">
        <f t="shared" si="210"/>
        <v>0</v>
      </c>
      <c r="ER117" s="120">
        <f t="shared" si="211"/>
        <v>0</v>
      </c>
      <c r="ES117" s="120">
        <f t="shared" si="212"/>
        <v>0</v>
      </c>
      <c r="ET117" s="120">
        <f t="shared" si="213"/>
        <v>0</v>
      </c>
      <c r="EU117" s="120">
        <f t="shared" si="214"/>
        <v>0</v>
      </c>
      <c r="EV117" s="120">
        <f t="shared" si="215"/>
        <v>0</v>
      </c>
      <c r="EW117" s="205">
        <f t="shared" si="216"/>
        <v>0</v>
      </c>
      <c r="EX117" s="72"/>
      <c r="EY117" s="119">
        <f t="shared" si="217"/>
        <v>2213.5</v>
      </c>
      <c r="EZ117" s="120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0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0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0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0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0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0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0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0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0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0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0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0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0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0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0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0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0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0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0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0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0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0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0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0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0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0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0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0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0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0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0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0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0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0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0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0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0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0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0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5">
        <f t="shared" ca="1" si="218"/>
        <v>0</v>
      </c>
    </row>
    <row r="118" spans="112:196">
      <c r="DH118" s="119">
        <f t="shared" si="175"/>
        <v>2330</v>
      </c>
      <c r="DI118" s="120">
        <f t="shared" si="176"/>
        <v>0</v>
      </c>
      <c r="DJ118" s="120">
        <f t="shared" si="177"/>
        <v>0</v>
      </c>
      <c r="DK118" s="120">
        <f t="shared" si="178"/>
        <v>0</v>
      </c>
      <c r="DL118" s="120">
        <f t="shared" si="179"/>
        <v>0</v>
      </c>
      <c r="DM118" s="120">
        <f t="shared" si="180"/>
        <v>0</v>
      </c>
      <c r="DN118" s="120">
        <f t="shared" si="181"/>
        <v>0</v>
      </c>
      <c r="DO118" s="120">
        <f t="shared" si="182"/>
        <v>0</v>
      </c>
      <c r="DP118" s="120">
        <f t="shared" si="183"/>
        <v>0</v>
      </c>
      <c r="DQ118" s="120">
        <f t="shared" si="184"/>
        <v>0</v>
      </c>
      <c r="DR118" s="120">
        <f t="shared" si="185"/>
        <v>0</v>
      </c>
      <c r="DS118" s="120">
        <f t="shared" si="186"/>
        <v>0</v>
      </c>
      <c r="DT118" s="120">
        <f t="shared" si="187"/>
        <v>0</v>
      </c>
      <c r="DU118" s="120">
        <f t="shared" si="188"/>
        <v>0</v>
      </c>
      <c r="DV118" s="120">
        <f t="shared" si="189"/>
        <v>0</v>
      </c>
      <c r="DW118" s="120">
        <f t="shared" si="190"/>
        <v>0</v>
      </c>
      <c r="DX118" s="120">
        <f t="shared" si="191"/>
        <v>0</v>
      </c>
      <c r="DY118" s="120">
        <f t="shared" si="192"/>
        <v>0</v>
      </c>
      <c r="DZ118" s="120">
        <f t="shared" si="193"/>
        <v>0</v>
      </c>
      <c r="EA118" s="120">
        <f t="shared" si="194"/>
        <v>0</v>
      </c>
      <c r="EB118" s="120">
        <f t="shared" si="195"/>
        <v>0</v>
      </c>
      <c r="EC118" s="120">
        <f t="shared" si="196"/>
        <v>0</v>
      </c>
      <c r="ED118" s="120">
        <f t="shared" si="197"/>
        <v>0</v>
      </c>
      <c r="EE118" s="120">
        <f t="shared" si="198"/>
        <v>0</v>
      </c>
      <c r="EF118" s="120">
        <f t="shared" si="199"/>
        <v>0</v>
      </c>
      <c r="EG118" s="120">
        <f t="shared" si="200"/>
        <v>0</v>
      </c>
      <c r="EH118" s="120">
        <f t="shared" si="201"/>
        <v>0</v>
      </c>
      <c r="EI118" s="120">
        <f t="shared" si="202"/>
        <v>0</v>
      </c>
      <c r="EJ118" s="120">
        <f t="shared" si="203"/>
        <v>0</v>
      </c>
      <c r="EK118" s="120">
        <f t="shared" si="204"/>
        <v>0</v>
      </c>
      <c r="EL118" s="120">
        <f t="shared" si="205"/>
        <v>0</v>
      </c>
      <c r="EM118" s="120">
        <f t="shared" si="206"/>
        <v>0</v>
      </c>
      <c r="EN118" s="120">
        <f t="shared" si="207"/>
        <v>0</v>
      </c>
      <c r="EO118" s="120">
        <f t="shared" si="208"/>
        <v>0</v>
      </c>
      <c r="EP118" s="120">
        <f t="shared" si="209"/>
        <v>0</v>
      </c>
      <c r="EQ118" s="120">
        <f t="shared" si="210"/>
        <v>0</v>
      </c>
      <c r="ER118" s="120">
        <f t="shared" si="211"/>
        <v>0</v>
      </c>
      <c r="ES118" s="120">
        <f t="shared" si="212"/>
        <v>0</v>
      </c>
      <c r="ET118" s="120">
        <f t="shared" si="213"/>
        <v>0</v>
      </c>
      <c r="EU118" s="120">
        <f t="shared" si="214"/>
        <v>0</v>
      </c>
      <c r="EV118" s="120">
        <f t="shared" si="215"/>
        <v>0</v>
      </c>
      <c r="EW118" s="205">
        <f t="shared" si="216"/>
        <v>0</v>
      </c>
      <c r="EX118" s="72"/>
      <c r="EY118" s="119">
        <f t="shared" si="217"/>
        <v>2330</v>
      </c>
      <c r="EZ118" s="120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0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0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0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0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0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0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0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0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0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0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0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0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0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0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0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0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0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0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0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0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0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0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0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0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0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0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0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0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0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0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0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0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0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0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0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0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0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0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0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5">
        <f t="shared" ca="1" si="218"/>
        <v>0</v>
      </c>
    </row>
    <row r="119" spans="112:196">
      <c r="DH119" s="119">
        <f t="shared" si="175"/>
        <v>2446.5</v>
      </c>
      <c r="DI119" s="120">
        <f t="shared" si="176"/>
        <v>0</v>
      </c>
      <c r="DJ119" s="120">
        <f t="shared" si="177"/>
        <v>0</v>
      </c>
      <c r="DK119" s="120">
        <f t="shared" si="178"/>
        <v>0</v>
      </c>
      <c r="DL119" s="120">
        <f t="shared" si="179"/>
        <v>0</v>
      </c>
      <c r="DM119" s="120">
        <f t="shared" si="180"/>
        <v>0</v>
      </c>
      <c r="DN119" s="120">
        <f t="shared" si="181"/>
        <v>0</v>
      </c>
      <c r="DO119" s="120">
        <f t="shared" si="182"/>
        <v>0</v>
      </c>
      <c r="DP119" s="120">
        <f t="shared" si="183"/>
        <v>0</v>
      </c>
      <c r="DQ119" s="120">
        <f t="shared" si="184"/>
        <v>0</v>
      </c>
      <c r="DR119" s="120">
        <f t="shared" si="185"/>
        <v>0</v>
      </c>
      <c r="DS119" s="120">
        <f t="shared" si="186"/>
        <v>0</v>
      </c>
      <c r="DT119" s="120">
        <f t="shared" si="187"/>
        <v>0</v>
      </c>
      <c r="DU119" s="120">
        <f t="shared" si="188"/>
        <v>0</v>
      </c>
      <c r="DV119" s="120">
        <f t="shared" si="189"/>
        <v>0</v>
      </c>
      <c r="DW119" s="120">
        <f t="shared" si="190"/>
        <v>0</v>
      </c>
      <c r="DX119" s="120">
        <f t="shared" si="191"/>
        <v>0</v>
      </c>
      <c r="DY119" s="120">
        <f t="shared" si="192"/>
        <v>0</v>
      </c>
      <c r="DZ119" s="120">
        <f t="shared" si="193"/>
        <v>0</v>
      </c>
      <c r="EA119" s="120">
        <f t="shared" si="194"/>
        <v>0</v>
      </c>
      <c r="EB119" s="120">
        <f t="shared" si="195"/>
        <v>0</v>
      </c>
      <c r="EC119" s="120">
        <f t="shared" si="196"/>
        <v>0</v>
      </c>
      <c r="ED119" s="120">
        <f t="shared" si="197"/>
        <v>0</v>
      </c>
      <c r="EE119" s="120">
        <f t="shared" si="198"/>
        <v>0</v>
      </c>
      <c r="EF119" s="120">
        <f t="shared" si="199"/>
        <v>0</v>
      </c>
      <c r="EG119" s="120">
        <f t="shared" si="200"/>
        <v>0</v>
      </c>
      <c r="EH119" s="120">
        <f t="shared" si="201"/>
        <v>0</v>
      </c>
      <c r="EI119" s="120">
        <f t="shared" si="202"/>
        <v>0</v>
      </c>
      <c r="EJ119" s="120">
        <f t="shared" si="203"/>
        <v>0</v>
      </c>
      <c r="EK119" s="120">
        <f t="shared" si="204"/>
        <v>0</v>
      </c>
      <c r="EL119" s="120">
        <f t="shared" si="205"/>
        <v>0</v>
      </c>
      <c r="EM119" s="120">
        <f t="shared" si="206"/>
        <v>0</v>
      </c>
      <c r="EN119" s="120">
        <f t="shared" si="207"/>
        <v>0</v>
      </c>
      <c r="EO119" s="120">
        <f t="shared" si="208"/>
        <v>0</v>
      </c>
      <c r="EP119" s="120">
        <f t="shared" si="209"/>
        <v>0</v>
      </c>
      <c r="EQ119" s="120">
        <f t="shared" si="210"/>
        <v>0</v>
      </c>
      <c r="ER119" s="120">
        <f t="shared" si="211"/>
        <v>0</v>
      </c>
      <c r="ES119" s="120">
        <f t="shared" si="212"/>
        <v>0</v>
      </c>
      <c r="ET119" s="120">
        <f t="shared" si="213"/>
        <v>0</v>
      </c>
      <c r="EU119" s="120">
        <f t="shared" si="214"/>
        <v>0</v>
      </c>
      <c r="EV119" s="120">
        <f t="shared" si="215"/>
        <v>0</v>
      </c>
      <c r="EW119" s="205">
        <f t="shared" si="216"/>
        <v>0</v>
      </c>
      <c r="EX119" s="72"/>
      <c r="EY119" s="119">
        <f t="shared" si="217"/>
        <v>2446.5</v>
      </c>
      <c r="EZ119" s="120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0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0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0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0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0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0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0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0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0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0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0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0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0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0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0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0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0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0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0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0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0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0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0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0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0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0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0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0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0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0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0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0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0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0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0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0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0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0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0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5">
        <f t="shared" ca="1" si="218"/>
        <v>0</v>
      </c>
    </row>
    <row r="120" spans="112:196">
      <c r="DH120" s="119">
        <f t="shared" si="175"/>
        <v>2568.8250000000003</v>
      </c>
      <c r="DI120" s="120">
        <f t="shared" si="176"/>
        <v>0</v>
      </c>
      <c r="DJ120" s="120">
        <f t="shared" si="177"/>
        <v>0</v>
      </c>
      <c r="DK120" s="120">
        <f t="shared" si="178"/>
        <v>0</v>
      </c>
      <c r="DL120" s="120">
        <f t="shared" si="179"/>
        <v>0</v>
      </c>
      <c r="DM120" s="120">
        <f t="shared" si="180"/>
        <v>0</v>
      </c>
      <c r="DN120" s="120">
        <f t="shared" si="181"/>
        <v>0</v>
      </c>
      <c r="DO120" s="120">
        <f t="shared" si="182"/>
        <v>0</v>
      </c>
      <c r="DP120" s="120">
        <f t="shared" si="183"/>
        <v>0</v>
      </c>
      <c r="DQ120" s="120">
        <f t="shared" si="184"/>
        <v>0</v>
      </c>
      <c r="DR120" s="120">
        <f t="shared" si="185"/>
        <v>0</v>
      </c>
      <c r="DS120" s="120">
        <f t="shared" si="186"/>
        <v>0</v>
      </c>
      <c r="DT120" s="120">
        <f t="shared" si="187"/>
        <v>0</v>
      </c>
      <c r="DU120" s="120">
        <f t="shared" si="188"/>
        <v>0</v>
      </c>
      <c r="DV120" s="120">
        <f t="shared" si="189"/>
        <v>0</v>
      </c>
      <c r="DW120" s="120">
        <f t="shared" si="190"/>
        <v>0</v>
      </c>
      <c r="DX120" s="120">
        <f t="shared" si="191"/>
        <v>0</v>
      </c>
      <c r="DY120" s="120">
        <f t="shared" si="192"/>
        <v>0</v>
      </c>
      <c r="DZ120" s="120">
        <f t="shared" si="193"/>
        <v>0</v>
      </c>
      <c r="EA120" s="120">
        <f t="shared" si="194"/>
        <v>0</v>
      </c>
      <c r="EB120" s="120">
        <f t="shared" si="195"/>
        <v>0</v>
      </c>
      <c r="EC120" s="120">
        <f t="shared" si="196"/>
        <v>0</v>
      </c>
      <c r="ED120" s="120">
        <f t="shared" si="197"/>
        <v>0</v>
      </c>
      <c r="EE120" s="120">
        <f t="shared" si="198"/>
        <v>0</v>
      </c>
      <c r="EF120" s="120">
        <f t="shared" si="199"/>
        <v>0</v>
      </c>
      <c r="EG120" s="120">
        <f t="shared" si="200"/>
        <v>0</v>
      </c>
      <c r="EH120" s="120">
        <f t="shared" si="201"/>
        <v>0</v>
      </c>
      <c r="EI120" s="120">
        <f t="shared" si="202"/>
        <v>0</v>
      </c>
      <c r="EJ120" s="120">
        <f t="shared" si="203"/>
        <v>0</v>
      </c>
      <c r="EK120" s="120">
        <f t="shared" si="204"/>
        <v>0</v>
      </c>
      <c r="EL120" s="120">
        <f t="shared" si="205"/>
        <v>0</v>
      </c>
      <c r="EM120" s="120">
        <f t="shared" si="206"/>
        <v>0</v>
      </c>
      <c r="EN120" s="120">
        <f t="shared" si="207"/>
        <v>0</v>
      </c>
      <c r="EO120" s="120">
        <f t="shared" si="208"/>
        <v>0</v>
      </c>
      <c r="EP120" s="120">
        <f t="shared" si="209"/>
        <v>0</v>
      </c>
      <c r="EQ120" s="120">
        <f t="shared" si="210"/>
        <v>0</v>
      </c>
      <c r="ER120" s="120">
        <f t="shared" si="211"/>
        <v>0</v>
      </c>
      <c r="ES120" s="120">
        <f t="shared" si="212"/>
        <v>0</v>
      </c>
      <c r="ET120" s="120">
        <f t="shared" si="213"/>
        <v>0</v>
      </c>
      <c r="EU120" s="120">
        <f t="shared" si="214"/>
        <v>0</v>
      </c>
      <c r="EV120" s="120">
        <f t="shared" si="215"/>
        <v>0</v>
      </c>
      <c r="EW120" s="205">
        <f t="shared" si="216"/>
        <v>0</v>
      </c>
      <c r="EX120" s="72"/>
      <c r="EY120" s="119">
        <f t="shared" si="217"/>
        <v>2568.8250000000003</v>
      </c>
      <c r="EZ120" s="120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0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0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0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0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0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0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0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0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0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0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0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0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0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0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0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0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0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0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0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0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0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0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0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0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0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0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0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0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0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0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0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0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0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0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0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0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0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0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0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5">
        <f t="shared" ca="1" si="218"/>
        <v>0</v>
      </c>
    </row>
    <row r="121" spans="112:196">
      <c r="DH121" s="119">
        <f t="shared" si="175"/>
        <v>2697.2662500000006</v>
      </c>
      <c r="DI121" s="120">
        <f t="shared" si="176"/>
        <v>0</v>
      </c>
      <c r="DJ121" s="120">
        <f t="shared" si="177"/>
        <v>0</v>
      </c>
      <c r="DK121" s="120">
        <f t="shared" si="178"/>
        <v>0</v>
      </c>
      <c r="DL121" s="120">
        <f t="shared" si="179"/>
        <v>0</v>
      </c>
      <c r="DM121" s="120">
        <f t="shared" si="180"/>
        <v>0</v>
      </c>
      <c r="DN121" s="120">
        <f t="shared" si="181"/>
        <v>0</v>
      </c>
      <c r="DO121" s="120">
        <f t="shared" si="182"/>
        <v>0</v>
      </c>
      <c r="DP121" s="120">
        <f t="shared" si="183"/>
        <v>0</v>
      </c>
      <c r="DQ121" s="120">
        <f t="shared" si="184"/>
        <v>0</v>
      </c>
      <c r="DR121" s="120">
        <f t="shared" si="185"/>
        <v>0</v>
      </c>
      <c r="DS121" s="120">
        <f t="shared" si="186"/>
        <v>0</v>
      </c>
      <c r="DT121" s="120">
        <f t="shared" si="187"/>
        <v>0</v>
      </c>
      <c r="DU121" s="120">
        <f t="shared" si="188"/>
        <v>0</v>
      </c>
      <c r="DV121" s="120">
        <f t="shared" si="189"/>
        <v>0</v>
      </c>
      <c r="DW121" s="120">
        <f t="shared" si="190"/>
        <v>0</v>
      </c>
      <c r="DX121" s="120">
        <f t="shared" si="191"/>
        <v>0</v>
      </c>
      <c r="DY121" s="120">
        <f t="shared" si="192"/>
        <v>0</v>
      </c>
      <c r="DZ121" s="120">
        <f t="shared" si="193"/>
        <v>0</v>
      </c>
      <c r="EA121" s="120">
        <f t="shared" si="194"/>
        <v>0</v>
      </c>
      <c r="EB121" s="120">
        <f t="shared" si="195"/>
        <v>0</v>
      </c>
      <c r="EC121" s="120">
        <f t="shared" si="196"/>
        <v>0</v>
      </c>
      <c r="ED121" s="120">
        <f t="shared" si="197"/>
        <v>0</v>
      </c>
      <c r="EE121" s="120">
        <f t="shared" si="198"/>
        <v>0</v>
      </c>
      <c r="EF121" s="120">
        <f t="shared" si="199"/>
        <v>0</v>
      </c>
      <c r="EG121" s="120">
        <f t="shared" si="200"/>
        <v>0</v>
      </c>
      <c r="EH121" s="120">
        <f t="shared" si="201"/>
        <v>0</v>
      </c>
      <c r="EI121" s="120">
        <f t="shared" si="202"/>
        <v>0</v>
      </c>
      <c r="EJ121" s="120">
        <f t="shared" si="203"/>
        <v>0</v>
      </c>
      <c r="EK121" s="120">
        <f t="shared" si="204"/>
        <v>0</v>
      </c>
      <c r="EL121" s="120">
        <f t="shared" si="205"/>
        <v>0</v>
      </c>
      <c r="EM121" s="120">
        <f t="shared" si="206"/>
        <v>0</v>
      </c>
      <c r="EN121" s="120">
        <f t="shared" si="207"/>
        <v>0</v>
      </c>
      <c r="EO121" s="120">
        <f t="shared" si="208"/>
        <v>0</v>
      </c>
      <c r="EP121" s="120">
        <f t="shared" si="209"/>
        <v>0</v>
      </c>
      <c r="EQ121" s="120">
        <f t="shared" si="210"/>
        <v>0</v>
      </c>
      <c r="ER121" s="120">
        <f t="shared" si="211"/>
        <v>0</v>
      </c>
      <c r="ES121" s="120">
        <f t="shared" si="212"/>
        <v>0</v>
      </c>
      <c r="ET121" s="120">
        <f t="shared" si="213"/>
        <v>0</v>
      </c>
      <c r="EU121" s="120">
        <f t="shared" si="214"/>
        <v>0</v>
      </c>
      <c r="EV121" s="120">
        <f t="shared" si="215"/>
        <v>0</v>
      </c>
      <c r="EW121" s="205">
        <f t="shared" si="216"/>
        <v>0</v>
      </c>
      <c r="EX121" s="72"/>
      <c r="EY121" s="119">
        <f t="shared" si="217"/>
        <v>2697.2662500000006</v>
      </c>
      <c r="EZ121" s="120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0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0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0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0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0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0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0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0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0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0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0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0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0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0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0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0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0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0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0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0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0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0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0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0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0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0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0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0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0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0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0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0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0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0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0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0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0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0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0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5">
        <f t="shared" ca="1" si="218"/>
        <v>0</v>
      </c>
    </row>
    <row r="122" spans="112:196">
      <c r="DH122" s="119">
        <f t="shared" si="175"/>
        <v>2832.1295625000007</v>
      </c>
      <c r="DI122" s="120">
        <f t="shared" si="176"/>
        <v>0</v>
      </c>
      <c r="DJ122" s="120">
        <f t="shared" si="177"/>
        <v>0</v>
      </c>
      <c r="DK122" s="120">
        <f t="shared" si="178"/>
        <v>0</v>
      </c>
      <c r="DL122" s="120">
        <f t="shared" si="179"/>
        <v>0</v>
      </c>
      <c r="DM122" s="120">
        <f t="shared" si="180"/>
        <v>0</v>
      </c>
      <c r="DN122" s="120">
        <f t="shared" si="181"/>
        <v>0</v>
      </c>
      <c r="DO122" s="120">
        <f t="shared" si="182"/>
        <v>0</v>
      </c>
      <c r="DP122" s="120">
        <f t="shared" si="183"/>
        <v>0</v>
      </c>
      <c r="DQ122" s="120">
        <f t="shared" si="184"/>
        <v>0</v>
      </c>
      <c r="DR122" s="120">
        <f t="shared" si="185"/>
        <v>0</v>
      </c>
      <c r="DS122" s="120">
        <f t="shared" si="186"/>
        <v>0</v>
      </c>
      <c r="DT122" s="120">
        <f t="shared" si="187"/>
        <v>0</v>
      </c>
      <c r="DU122" s="120">
        <f t="shared" si="188"/>
        <v>0</v>
      </c>
      <c r="DV122" s="120">
        <f t="shared" si="189"/>
        <v>0</v>
      </c>
      <c r="DW122" s="120">
        <f t="shared" si="190"/>
        <v>0</v>
      </c>
      <c r="DX122" s="120">
        <f t="shared" si="191"/>
        <v>0</v>
      </c>
      <c r="DY122" s="120">
        <f t="shared" si="192"/>
        <v>0</v>
      </c>
      <c r="DZ122" s="120">
        <f t="shared" si="193"/>
        <v>0</v>
      </c>
      <c r="EA122" s="120">
        <f t="shared" si="194"/>
        <v>0</v>
      </c>
      <c r="EB122" s="120">
        <f t="shared" si="195"/>
        <v>0</v>
      </c>
      <c r="EC122" s="120">
        <f t="shared" si="196"/>
        <v>0</v>
      </c>
      <c r="ED122" s="120">
        <f t="shared" si="197"/>
        <v>0</v>
      </c>
      <c r="EE122" s="120">
        <f t="shared" si="198"/>
        <v>0</v>
      </c>
      <c r="EF122" s="120">
        <f t="shared" si="199"/>
        <v>0</v>
      </c>
      <c r="EG122" s="120">
        <f t="shared" si="200"/>
        <v>0</v>
      </c>
      <c r="EH122" s="120">
        <f t="shared" si="201"/>
        <v>0</v>
      </c>
      <c r="EI122" s="120">
        <f t="shared" si="202"/>
        <v>0</v>
      </c>
      <c r="EJ122" s="120">
        <f t="shared" si="203"/>
        <v>0</v>
      </c>
      <c r="EK122" s="120">
        <f t="shared" si="204"/>
        <v>0</v>
      </c>
      <c r="EL122" s="120">
        <f t="shared" si="205"/>
        <v>0</v>
      </c>
      <c r="EM122" s="120">
        <f t="shared" si="206"/>
        <v>0</v>
      </c>
      <c r="EN122" s="120">
        <f t="shared" si="207"/>
        <v>0</v>
      </c>
      <c r="EO122" s="120">
        <f t="shared" si="208"/>
        <v>0</v>
      </c>
      <c r="EP122" s="120">
        <f t="shared" si="209"/>
        <v>0</v>
      </c>
      <c r="EQ122" s="120">
        <f t="shared" si="210"/>
        <v>0</v>
      </c>
      <c r="ER122" s="120">
        <f t="shared" si="211"/>
        <v>0</v>
      </c>
      <c r="ES122" s="120">
        <f t="shared" si="212"/>
        <v>0</v>
      </c>
      <c r="ET122" s="120">
        <f t="shared" si="213"/>
        <v>0</v>
      </c>
      <c r="EU122" s="120">
        <f t="shared" si="214"/>
        <v>0</v>
      </c>
      <c r="EV122" s="120">
        <f t="shared" si="215"/>
        <v>0</v>
      </c>
      <c r="EW122" s="205">
        <f t="shared" si="216"/>
        <v>0</v>
      </c>
      <c r="EX122" s="72"/>
      <c r="EY122" s="119">
        <f t="shared" si="217"/>
        <v>2832.1295625000007</v>
      </c>
      <c r="EZ122" s="120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0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0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0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0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0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0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0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0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0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0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0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0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0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0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0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0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0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0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0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0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0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0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0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0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0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0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0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0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0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0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0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0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0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0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0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0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0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0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0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5">
        <f t="shared" ca="1" si="218"/>
        <v>0</v>
      </c>
    </row>
    <row r="123" spans="112:196">
      <c r="DH123" s="119">
        <f t="shared" si="175"/>
        <v>2973.7360406250009</v>
      </c>
      <c r="DI123" s="120">
        <f t="shared" si="176"/>
        <v>0</v>
      </c>
      <c r="DJ123" s="120">
        <f t="shared" si="177"/>
        <v>0</v>
      </c>
      <c r="DK123" s="120">
        <f t="shared" si="178"/>
        <v>0</v>
      </c>
      <c r="DL123" s="120">
        <f t="shared" si="179"/>
        <v>0</v>
      </c>
      <c r="DM123" s="120">
        <f t="shared" si="180"/>
        <v>0</v>
      </c>
      <c r="DN123" s="120">
        <f t="shared" si="181"/>
        <v>0</v>
      </c>
      <c r="DO123" s="120">
        <f t="shared" si="182"/>
        <v>0</v>
      </c>
      <c r="DP123" s="120">
        <f t="shared" si="183"/>
        <v>0</v>
      </c>
      <c r="DQ123" s="120">
        <f t="shared" si="184"/>
        <v>0</v>
      </c>
      <c r="DR123" s="120">
        <f t="shared" si="185"/>
        <v>0</v>
      </c>
      <c r="DS123" s="120">
        <f t="shared" si="186"/>
        <v>0</v>
      </c>
      <c r="DT123" s="120">
        <f t="shared" si="187"/>
        <v>0</v>
      </c>
      <c r="DU123" s="120">
        <f t="shared" si="188"/>
        <v>0</v>
      </c>
      <c r="DV123" s="120">
        <f t="shared" si="189"/>
        <v>0</v>
      </c>
      <c r="DW123" s="120">
        <f t="shared" si="190"/>
        <v>0</v>
      </c>
      <c r="DX123" s="120">
        <f t="shared" si="191"/>
        <v>0</v>
      </c>
      <c r="DY123" s="120">
        <f t="shared" si="192"/>
        <v>0</v>
      </c>
      <c r="DZ123" s="120">
        <f t="shared" si="193"/>
        <v>0</v>
      </c>
      <c r="EA123" s="120">
        <f t="shared" si="194"/>
        <v>0</v>
      </c>
      <c r="EB123" s="120">
        <f t="shared" si="195"/>
        <v>0</v>
      </c>
      <c r="EC123" s="120">
        <f t="shared" si="196"/>
        <v>0</v>
      </c>
      <c r="ED123" s="120">
        <f t="shared" si="197"/>
        <v>0</v>
      </c>
      <c r="EE123" s="120">
        <f t="shared" si="198"/>
        <v>0</v>
      </c>
      <c r="EF123" s="120">
        <f t="shared" si="199"/>
        <v>0</v>
      </c>
      <c r="EG123" s="120">
        <f t="shared" si="200"/>
        <v>0</v>
      </c>
      <c r="EH123" s="120">
        <f t="shared" si="201"/>
        <v>0</v>
      </c>
      <c r="EI123" s="120">
        <f t="shared" si="202"/>
        <v>0</v>
      </c>
      <c r="EJ123" s="120">
        <f t="shared" si="203"/>
        <v>0</v>
      </c>
      <c r="EK123" s="120">
        <f t="shared" si="204"/>
        <v>0</v>
      </c>
      <c r="EL123" s="120">
        <f t="shared" si="205"/>
        <v>0</v>
      </c>
      <c r="EM123" s="120">
        <f t="shared" si="206"/>
        <v>0</v>
      </c>
      <c r="EN123" s="120">
        <f t="shared" si="207"/>
        <v>0</v>
      </c>
      <c r="EO123" s="120">
        <f t="shared" si="208"/>
        <v>0</v>
      </c>
      <c r="EP123" s="120">
        <f t="shared" si="209"/>
        <v>0</v>
      </c>
      <c r="EQ123" s="120">
        <f t="shared" si="210"/>
        <v>0</v>
      </c>
      <c r="ER123" s="120">
        <f t="shared" si="211"/>
        <v>0</v>
      </c>
      <c r="ES123" s="120">
        <f t="shared" si="212"/>
        <v>0</v>
      </c>
      <c r="ET123" s="120">
        <f t="shared" si="213"/>
        <v>0</v>
      </c>
      <c r="EU123" s="120">
        <f t="shared" si="214"/>
        <v>0</v>
      </c>
      <c r="EV123" s="120">
        <f t="shared" si="215"/>
        <v>0</v>
      </c>
      <c r="EW123" s="205">
        <f t="shared" si="216"/>
        <v>0</v>
      </c>
      <c r="EX123" s="72"/>
      <c r="EY123" s="119">
        <f t="shared" si="217"/>
        <v>2973.7360406250009</v>
      </c>
      <c r="EZ123" s="120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0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0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0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0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0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0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0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0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0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0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0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0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0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0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0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0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0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0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0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0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0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0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0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0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0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0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0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0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0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0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0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0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0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0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0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0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0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0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0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5">
        <f t="shared" ca="1" si="218"/>
        <v>0</v>
      </c>
    </row>
    <row r="124" spans="112:196">
      <c r="DH124" s="119">
        <f t="shared" si="175"/>
        <v>3122.4228426562509</v>
      </c>
      <c r="DI124" s="120">
        <f t="shared" si="176"/>
        <v>0</v>
      </c>
      <c r="DJ124" s="120">
        <f t="shared" si="177"/>
        <v>0</v>
      </c>
      <c r="DK124" s="120">
        <f t="shared" si="178"/>
        <v>0</v>
      </c>
      <c r="DL124" s="120">
        <f t="shared" si="179"/>
        <v>0</v>
      </c>
      <c r="DM124" s="120">
        <f t="shared" si="180"/>
        <v>0</v>
      </c>
      <c r="DN124" s="120">
        <f t="shared" si="181"/>
        <v>0</v>
      </c>
      <c r="DO124" s="120">
        <f t="shared" si="182"/>
        <v>0</v>
      </c>
      <c r="DP124" s="120">
        <f t="shared" si="183"/>
        <v>0</v>
      </c>
      <c r="DQ124" s="120">
        <f t="shared" si="184"/>
        <v>0</v>
      </c>
      <c r="DR124" s="120">
        <f t="shared" si="185"/>
        <v>0</v>
      </c>
      <c r="DS124" s="120">
        <f t="shared" si="186"/>
        <v>0</v>
      </c>
      <c r="DT124" s="120">
        <f t="shared" si="187"/>
        <v>0</v>
      </c>
      <c r="DU124" s="120">
        <f t="shared" si="188"/>
        <v>0</v>
      </c>
      <c r="DV124" s="120">
        <f t="shared" si="189"/>
        <v>0</v>
      </c>
      <c r="DW124" s="120">
        <f t="shared" si="190"/>
        <v>0</v>
      </c>
      <c r="DX124" s="120">
        <f t="shared" si="191"/>
        <v>0</v>
      </c>
      <c r="DY124" s="120">
        <f t="shared" si="192"/>
        <v>0</v>
      </c>
      <c r="DZ124" s="120">
        <f t="shared" si="193"/>
        <v>0</v>
      </c>
      <c r="EA124" s="120">
        <f t="shared" si="194"/>
        <v>0</v>
      </c>
      <c r="EB124" s="120">
        <f t="shared" si="195"/>
        <v>0</v>
      </c>
      <c r="EC124" s="120">
        <f t="shared" si="196"/>
        <v>0</v>
      </c>
      <c r="ED124" s="120">
        <f t="shared" si="197"/>
        <v>0</v>
      </c>
      <c r="EE124" s="120">
        <f t="shared" si="198"/>
        <v>0</v>
      </c>
      <c r="EF124" s="120">
        <f t="shared" si="199"/>
        <v>0</v>
      </c>
      <c r="EG124" s="120">
        <f t="shared" si="200"/>
        <v>0</v>
      </c>
      <c r="EH124" s="120">
        <f t="shared" si="201"/>
        <v>0</v>
      </c>
      <c r="EI124" s="120">
        <f t="shared" si="202"/>
        <v>0</v>
      </c>
      <c r="EJ124" s="120">
        <f t="shared" si="203"/>
        <v>0</v>
      </c>
      <c r="EK124" s="120">
        <f t="shared" si="204"/>
        <v>0</v>
      </c>
      <c r="EL124" s="120">
        <f t="shared" si="205"/>
        <v>0</v>
      </c>
      <c r="EM124" s="120">
        <f t="shared" si="206"/>
        <v>0</v>
      </c>
      <c r="EN124" s="120">
        <f t="shared" si="207"/>
        <v>0</v>
      </c>
      <c r="EO124" s="120">
        <f t="shared" si="208"/>
        <v>0</v>
      </c>
      <c r="EP124" s="120">
        <f t="shared" si="209"/>
        <v>0</v>
      </c>
      <c r="EQ124" s="120">
        <f t="shared" si="210"/>
        <v>0</v>
      </c>
      <c r="ER124" s="120">
        <f t="shared" si="211"/>
        <v>0</v>
      </c>
      <c r="ES124" s="120">
        <f t="shared" si="212"/>
        <v>0</v>
      </c>
      <c r="ET124" s="120">
        <f t="shared" si="213"/>
        <v>0</v>
      </c>
      <c r="EU124" s="120">
        <f t="shared" si="214"/>
        <v>0</v>
      </c>
      <c r="EV124" s="120">
        <f t="shared" si="215"/>
        <v>0</v>
      </c>
      <c r="EW124" s="205">
        <f t="shared" si="216"/>
        <v>0</v>
      </c>
      <c r="EX124" s="72"/>
      <c r="EY124" s="119">
        <f t="shared" si="217"/>
        <v>3122.4228426562509</v>
      </c>
      <c r="EZ124" s="120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0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0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0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0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0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0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0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0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0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0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0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0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0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0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0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0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0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0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0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0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0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0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0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0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0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0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0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0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0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0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0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0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0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0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0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0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0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0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0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5">
        <f t="shared" ca="1" si="218"/>
        <v>0</v>
      </c>
    </row>
    <row r="125" spans="112:196">
      <c r="DH125" s="119">
        <f t="shared" si="175"/>
        <v>3278.5439847890634</v>
      </c>
      <c r="DI125" s="120">
        <f t="shared" si="176"/>
        <v>0</v>
      </c>
      <c r="DJ125" s="120">
        <f t="shared" si="177"/>
        <v>0</v>
      </c>
      <c r="DK125" s="120">
        <f t="shared" si="178"/>
        <v>0</v>
      </c>
      <c r="DL125" s="120">
        <f t="shared" si="179"/>
        <v>0</v>
      </c>
      <c r="DM125" s="120">
        <f t="shared" si="180"/>
        <v>0</v>
      </c>
      <c r="DN125" s="120">
        <f t="shared" si="181"/>
        <v>0</v>
      </c>
      <c r="DO125" s="120">
        <f t="shared" si="182"/>
        <v>0</v>
      </c>
      <c r="DP125" s="120">
        <f t="shared" si="183"/>
        <v>0</v>
      </c>
      <c r="DQ125" s="120">
        <f t="shared" si="184"/>
        <v>0</v>
      </c>
      <c r="DR125" s="120">
        <f t="shared" si="185"/>
        <v>0</v>
      </c>
      <c r="DS125" s="120">
        <f t="shared" si="186"/>
        <v>0</v>
      </c>
      <c r="DT125" s="120">
        <f t="shared" si="187"/>
        <v>0</v>
      </c>
      <c r="DU125" s="120">
        <f t="shared" si="188"/>
        <v>0</v>
      </c>
      <c r="DV125" s="120">
        <f t="shared" si="189"/>
        <v>0</v>
      </c>
      <c r="DW125" s="120">
        <f t="shared" si="190"/>
        <v>0</v>
      </c>
      <c r="DX125" s="120">
        <f t="shared" si="191"/>
        <v>0</v>
      </c>
      <c r="DY125" s="120">
        <f t="shared" si="192"/>
        <v>0</v>
      </c>
      <c r="DZ125" s="120">
        <f t="shared" si="193"/>
        <v>0</v>
      </c>
      <c r="EA125" s="120">
        <f t="shared" si="194"/>
        <v>0</v>
      </c>
      <c r="EB125" s="120">
        <f t="shared" si="195"/>
        <v>0</v>
      </c>
      <c r="EC125" s="120">
        <f t="shared" si="196"/>
        <v>0</v>
      </c>
      <c r="ED125" s="120">
        <f t="shared" si="197"/>
        <v>0</v>
      </c>
      <c r="EE125" s="120">
        <f t="shared" si="198"/>
        <v>0</v>
      </c>
      <c r="EF125" s="120">
        <f t="shared" si="199"/>
        <v>0</v>
      </c>
      <c r="EG125" s="120">
        <f t="shared" si="200"/>
        <v>0</v>
      </c>
      <c r="EH125" s="120">
        <f t="shared" si="201"/>
        <v>0</v>
      </c>
      <c r="EI125" s="120">
        <f t="shared" si="202"/>
        <v>0</v>
      </c>
      <c r="EJ125" s="120">
        <f t="shared" si="203"/>
        <v>0</v>
      </c>
      <c r="EK125" s="120">
        <f t="shared" si="204"/>
        <v>0</v>
      </c>
      <c r="EL125" s="120">
        <f t="shared" si="205"/>
        <v>0</v>
      </c>
      <c r="EM125" s="120">
        <f t="shared" si="206"/>
        <v>0</v>
      </c>
      <c r="EN125" s="120">
        <f t="shared" si="207"/>
        <v>0</v>
      </c>
      <c r="EO125" s="120">
        <f t="shared" si="208"/>
        <v>0</v>
      </c>
      <c r="EP125" s="120">
        <f t="shared" si="209"/>
        <v>0</v>
      </c>
      <c r="EQ125" s="120">
        <f t="shared" si="210"/>
        <v>0</v>
      </c>
      <c r="ER125" s="120">
        <f t="shared" si="211"/>
        <v>0</v>
      </c>
      <c r="ES125" s="120">
        <f t="shared" si="212"/>
        <v>0</v>
      </c>
      <c r="ET125" s="120">
        <f t="shared" si="213"/>
        <v>0</v>
      </c>
      <c r="EU125" s="120">
        <f t="shared" si="214"/>
        <v>0</v>
      </c>
      <c r="EV125" s="120">
        <f t="shared" si="215"/>
        <v>0</v>
      </c>
      <c r="EW125" s="205">
        <f t="shared" si="216"/>
        <v>0</v>
      </c>
      <c r="EX125" s="72"/>
      <c r="EY125" s="119">
        <f t="shared" si="217"/>
        <v>3278.5439847890634</v>
      </c>
      <c r="EZ125" s="120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0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0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0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0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0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0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0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0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0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0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0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0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0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0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0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0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0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0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0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0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0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0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0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0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0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0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0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0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0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0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0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0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0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0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0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0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0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0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0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5">
        <f t="shared" ca="1" si="218"/>
        <v>0</v>
      </c>
    </row>
    <row r="126" spans="112:196">
      <c r="DH126" s="119">
        <f t="shared" si="175"/>
        <v>3442.4711840285167</v>
      </c>
      <c r="DI126" s="120">
        <f t="shared" si="176"/>
        <v>0</v>
      </c>
      <c r="DJ126" s="120">
        <f t="shared" si="177"/>
        <v>0</v>
      </c>
      <c r="DK126" s="120">
        <f t="shared" si="178"/>
        <v>0</v>
      </c>
      <c r="DL126" s="120">
        <f t="shared" si="179"/>
        <v>0</v>
      </c>
      <c r="DM126" s="120">
        <f t="shared" si="180"/>
        <v>0</v>
      </c>
      <c r="DN126" s="120">
        <f t="shared" si="181"/>
        <v>0</v>
      </c>
      <c r="DO126" s="120">
        <f t="shared" si="182"/>
        <v>0</v>
      </c>
      <c r="DP126" s="120">
        <f t="shared" si="183"/>
        <v>0</v>
      </c>
      <c r="DQ126" s="120">
        <f t="shared" si="184"/>
        <v>0</v>
      </c>
      <c r="DR126" s="120">
        <f t="shared" si="185"/>
        <v>0</v>
      </c>
      <c r="DS126" s="120">
        <f t="shared" si="186"/>
        <v>0</v>
      </c>
      <c r="DT126" s="120">
        <f t="shared" si="187"/>
        <v>0</v>
      </c>
      <c r="DU126" s="120">
        <f t="shared" si="188"/>
        <v>0</v>
      </c>
      <c r="DV126" s="120">
        <f t="shared" si="189"/>
        <v>0</v>
      </c>
      <c r="DW126" s="120">
        <f t="shared" si="190"/>
        <v>0</v>
      </c>
      <c r="DX126" s="120">
        <f t="shared" si="191"/>
        <v>0</v>
      </c>
      <c r="DY126" s="120">
        <f t="shared" si="192"/>
        <v>0</v>
      </c>
      <c r="DZ126" s="120">
        <f t="shared" si="193"/>
        <v>0</v>
      </c>
      <c r="EA126" s="120">
        <f t="shared" si="194"/>
        <v>0</v>
      </c>
      <c r="EB126" s="120">
        <f t="shared" si="195"/>
        <v>0</v>
      </c>
      <c r="EC126" s="120">
        <f t="shared" si="196"/>
        <v>0</v>
      </c>
      <c r="ED126" s="120">
        <f t="shared" si="197"/>
        <v>0</v>
      </c>
      <c r="EE126" s="120">
        <f t="shared" si="198"/>
        <v>0</v>
      </c>
      <c r="EF126" s="120">
        <f t="shared" si="199"/>
        <v>0</v>
      </c>
      <c r="EG126" s="120">
        <f t="shared" si="200"/>
        <v>0</v>
      </c>
      <c r="EH126" s="120">
        <f t="shared" si="201"/>
        <v>0</v>
      </c>
      <c r="EI126" s="120">
        <f t="shared" si="202"/>
        <v>0</v>
      </c>
      <c r="EJ126" s="120">
        <f t="shared" si="203"/>
        <v>0</v>
      </c>
      <c r="EK126" s="120">
        <f t="shared" si="204"/>
        <v>0</v>
      </c>
      <c r="EL126" s="120">
        <f t="shared" si="205"/>
        <v>0</v>
      </c>
      <c r="EM126" s="120">
        <f t="shared" si="206"/>
        <v>0</v>
      </c>
      <c r="EN126" s="120">
        <f t="shared" si="207"/>
        <v>0</v>
      </c>
      <c r="EO126" s="120">
        <f t="shared" si="208"/>
        <v>0</v>
      </c>
      <c r="EP126" s="120">
        <f t="shared" si="209"/>
        <v>0</v>
      </c>
      <c r="EQ126" s="120">
        <f t="shared" si="210"/>
        <v>0</v>
      </c>
      <c r="ER126" s="120">
        <f t="shared" si="211"/>
        <v>0</v>
      </c>
      <c r="ES126" s="120">
        <f t="shared" si="212"/>
        <v>0</v>
      </c>
      <c r="ET126" s="120">
        <f t="shared" si="213"/>
        <v>0</v>
      </c>
      <c r="EU126" s="120">
        <f t="shared" si="214"/>
        <v>0</v>
      </c>
      <c r="EV126" s="120">
        <f t="shared" si="215"/>
        <v>0</v>
      </c>
      <c r="EW126" s="205">
        <f t="shared" si="216"/>
        <v>0</v>
      </c>
      <c r="EX126" s="72"/>
      <c r="EY126" s="119">
        <f t="shared" si="217"/>
        <v>3442.4711840285167</v>
      </c>
      <c r="EZ126" s="120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0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0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0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0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0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0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0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0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0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0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0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0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0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0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0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0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0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0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0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0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0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0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0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0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0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0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0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0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0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0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0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0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0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0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0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0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0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0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0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5">
        <f t="shared" ca="1" si="218"/>
        <v>0</v>
      </c>
    </row>
    <row r="127" spans="112:196">
      <c r="DH127" s="119">
        <f t="shared" si="175"/>
        <v>3614.5947432299427</v>
      </c>
      <c r="DI127" s="120">
        <f t="shared" si="176"/>
        <v>0</v>
      </c>
      <c r="DJ127" s="120">
        <f t="shared" si="177"/>
        <v>0</v>
      </c>
      <c r="DK127" s="120">
        <f t="shared" si="178"/>
        <v>0</v>
      </c>
      <c r="DL127" s="120">
        <f t="shared" si="179"/>
        <v>0</v>
      </c>
      <c r="DM127" s="120">
        <f t="shared" si="180"/>
        <v>0</v>
      </c>
      <c r="DN127" s="120">
        <f t="shared" si="181"/>
        <v>0</v>
      </c>
      <c r="DO127" s="120">
        <f t="shared" si="182"/>
        <v>0</v>
      </c>
      <c r="DP127" s="120">
        <f t="shared" si="183"/>
        <v>0</v>
      </c>
      <c r="DQ127" s="120">
        <f t="shared" si="184"/>
        <v>0</v>
      </c>
      <c r="DR127" s="120">
        <f t="shared" si="185"/>
        <v>0</v>
      </c>
      <c r="DS127" s="120">
        <f t="shared" si="186"/>
        <v>0</v>
      </c>
      <c r="DT127" s="120">
        <f t="shared" si="187"/>
        <v>0</v>
      </c>
      <c r="DU127" s="120">
        <f t="shared" si="188"/>
        <v>0</v>
      </c>
      <c r="DV127" s="120">
        <f t="shared" si="189"/>
        <v>0</v>
      </c>
      <c r="DW127" s="120">
        <f t="shared" si="190"/>
        <v>0</v>
      </c>
      <c r="DX127" s="120">
        <f t="shared" si="191"/>
        <v>0</v>
      </c>
      <c r="DY127" s="120">
        <f t="shared" si="192"/>
        <v>0</v>
      </c>
      <c r="DZ127" s="120">
        <f t="shared" si="193"/>
        <v>0</v>
      </c>
      <c r="EA127" s="120">
        <f t="shared" si="194"/>
        <v>0</v>
      </c>
      <c r="EB127" s="120">
        <f t="shared" si="195"/>
        <v>0</v>
      </c>
      <c r="EC127" s="120">
        <f t="shared" si="196"/>
        <v>0</v>
      </c>
      <c r="ED127" s="120">
        <f t="shared" si="197"/>
        <v>0</v>
      </c>
      <c r="EE127" s="120">
        <f t="shared" si="198"/>
        <v>0</v>
      </c>
      <c r="EF127" s="120">
        <f t="shared" si="199"/>
        <v>0</v>
      </c>
      <c r="EG127" s="120">
        <f t="shared" si="200"/>
        <v>0</v>
      </c>
      <c r="EH127" s="120">
        <f t="shared" si="201"/>
        <v>0</v>
      </c>
      <c r="EI127" s="120">
        <f t="shared" si="202"/>
        <v>0</v>
      </c>
      <c r="EJ127" s="120">
        <f t="shared" si="203"/>
        <v>0</v>
      </c>
      <c r="EK127" s="120">
        <f t="shared" si="204"/>
        <v>0</v>
      </c>
      <c r="EL127" s="120">
        <f t="shared" si="205"/>
        <v>0</v>
      </c>
      <c r="EM127" s="120">
        <f t="shared" si="206"/>
        <v>0</v>
      </c>
      <c r="EN127" s="120">
        <f t="shared" si="207"/>
        <v>0</v>
      </c>
      <c r="EO127" s="120">
        <f t="shared" si="208"/>
        <v>0</v>
      </c>
      <c r="EP127" s="120">
        <f t="shared" si="209"/>
        <v>0</v>
      </c>
      <c r="EQ127" s="120">
        <f t="shared" si="210"/>
        <v>0</v>
      </c>
      <c r="ER127" s="120">
        <f t="shared" si="211"/>
        <v>0</v>
      </c>
      <c r="ES127" s="120">
        <f t="shared" si="212"/>
        <v>0</v>
      </c>
      <c r="ET127" s="120">
        <f t="shared" si="213"/>
        <v>0</v>
      </c>
      <c r="EU127" s="120">
        <f t="shared" si="214"/>
        <v>0</v>
      </c>
      <c r="EV127" s="120">
        <f t="shared" si="215"/>
        <v>0</v>
      </c>
      <c r="EW127" s="205">
        <f t="shared" si="216"/>
        <v>0</v>
      </c>
      <c r="EX127" s="72"/>
      <c r="EY127" s="119">
        <f t="shared" si="217"/>
        <v>3614.5947432299427</v>
      </c>
      <c r="EZ127" s="120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0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0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0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0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0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0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0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0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0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0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0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0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0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0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0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0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0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0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0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0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0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0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0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0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0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0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0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0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0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0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0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0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0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0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0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0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0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0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0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5">
        <f t="shared" ca="1" si="218"/>
        <v>0</v>
      </c>
    </row>
    <row r="128" spans="112:196">
      <c r="DH128" s="119">
        <f t="shared" si="175"/>
        <v>3795.3244803914399</v>
      </c>
      <c r="DI128" s="120">
        <f t="shared" si="176"/>
        <v>0</v>
      </c>
      <c r="DJ128" s="120">
        <f t="shared" si="177"/>
        <v>0</v>
      </c>
      <c r="DK128" s="120">
        <f t="shared" si="178"/>
        <v>0</v>
      </c>
      <c r="DL128" s="120">
        <f t="shared" si="179"/>
        <v>0</v>
      </c>
      <c r="DM128" s="120">
        <f t="shared" si="180"/>
        <v>0</v>
      </c>
      <c r="DN128" s="120">
        <f t="shared" si="181"/>
        <v>0</v>
      </c>
      <c r="DO128" s="120">
        <f t="shared" si="182"/>
        <v>0</v>
      </c>
      <c r="DP128" s="120">
        <f t="shared" si="183"/>
        <v>0</v>
      </c>
      <c r="DQ128" s="120">
        <f t="shared" si="184"/>
        <v>0</v>
      </c>
      <c r="DR128" s="120">
        <f t="shared" si="185"/>
        <v>0</v>
      </c>
      <c r="DS128" s="120">
        <f t="shared" si="186"/>
        <v>0</v>
      </c>
      <c r="DT128" s="120">
        <f t="shared" si="187"/>
        <v>0</v>
      </c>
      <c r="DU128" s="120">
        <f t="shared" si="188"/>
        <v>0</v>
      </c>
      <c r="DV128" s="120">
        <f t="shared" si="189"/>
        <v>0</v>
      </c>
      <c r="DW128" s="120">
        <f t="shared" si="190"/>
        <v>0</v>
      </c>
      <c r="DX128" s="120">
        <f t="shared" si="191"/>
        <v>0</v>
      </c>
      <c r="DY128" s="120">
        <f t="shared" si="192"/>
        <v>0</v>
      </c>
      <c r="DZ128" s="120">
        <f t="shared" si="193"/>
        <v>0</v>
      </c>
      <c r="EA128" s="120">
        <f t="shared" si="194"/>
        <v>0</v>
      </c>
      <c r="EB128" s="120">
        <f t="shared" si="195"/>
        <v>0</v>
      </c>
      <c r="EC128" s="120">
        <f t="shared" si="196"/>
        <v>0</v>
      </c>
      <c r="ED128" s="120">
        <f t="shared" si="197"/>
        <v>0</v>
      </c>
      <c r="EE128" s="120">
        <f t="shared" si="198"/>
        <v>0</v>
      </c>
      <c r="EF128" s="120">
        <f t="shared" si="199"/>
        <v>0</v>
      </c>
      <c r="EG128" s="120">
        <f t="shared" si="200"/>
        <v>0</v>
      </c>
      <c r="EH128" s="120">
        <f t="shared" si="201"/>
        <v>0</v>
      </c>
      <c r="EI128" s="120">
        <f t="shared" si="202"/>
        <v>0</v>
      </c>
      <c r="EJ128" s="120">
        <f t="shared" si="203"/>
        <v>0</v>
      </c>
      <c r="EK128" s="120">
        <f t="shared" si="204"/>
        <v>0</v>
      </c>
      <c r="EL128" s="120">
        <f t="shared" si="205"/>
        <v>0</v>
      </c>
      <c r="EM128" s="120">
        <f t="shared" si="206"/>
        <v>0</v>
      </c>
      <c r="EN128" s="120">
        <f t="shared" si="207"/>
        <v>0</v>
      </c>
      <c r="EO128" s="120">
        <f t="shared" si="208"/>
        <v>0</v>
      </c>
      <c r="EP128" s="120">
        <f t="shared" si="209"/>
        <v>0</v>
      </c>
      <c r="EQ128" s="120">
        <f t="shared" si="210"/>
        <v>0</v>
      </c>
      <c r="ER128" s="120">
        <f t="shared" si="211"/>
        <v>0</v>
      </c>
      <c r="ES128" s="120">
        <f t="shared" si="212"/>
        <v>0</v>
      </c>
      <c r="ET128" s="120">
        <f t="shared" si="213"/>
        <v>0</v>
      </c>
      <c r="EU128" s="120">
        <f t="shared" si="214"/>
        <v>0</v>
      </c>
      <c r="EV128" s="120">
        <f t="shared" si="215"/>
        <v>0</v>
      </c>
      <c r="EW128" s="205">
        <f t="shared" si="216"/>
        <v>0</v>
      </c>
      <c r="EX128" s="72"/>
      <c r="EY128" s="119">
        <f t="shared" si="217"/>
        <v>3795.3244803914399</v>
      </c>
      <c r="EZ128" s="120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0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0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0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0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0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0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0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0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0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0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0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0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0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0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0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0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0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0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0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0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0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0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0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0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0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0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0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0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0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0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0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0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0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0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0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0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0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0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0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5">
        <f t="shared" ca="1" si="218"/>
        <v>0</v>
      </c>
    </row>
    <row r="129" spans="112:196">
      <c r="DH129" s="119">
        <f t="shared" si="175"/>
        <v>3985.0907044110122</v>
      </c>
      <c r="DI129" s="120">
        <f t="shared" si="176"/>
        <v>0</v>
      </c>
      <c r="DJ129" s="120">
        <f t="shared" si="177"/>
        <v>0</v>
      </c>
      <c r="DK129" s="120">
        <f t="shared" si="178"/>
        <v>0</v>
      </c>
      <c r="DL129" s="120">
        <f t="shared" si="179"/>
        <v>0</v>
      </c>
      <c r="DM129" s="120">
        <f t="shared" si="180"/>
        <v>0</v>
      </c>
      <c r="DN129" s="120">
        <f t="shared" si="181"/>
        <v>0</v>
      </c>
      <c r="DO129" s="120">
        <f t="shared" si="182"/>
        <v>0</v>
      </c>
      <c r="DP129" s="120">
        <f t="shared" si="183"/>
        <v>0</v>
      </c>
      <c r="DQ129" s="120">
        <f t="shared" si="184"/>
        <v>0</v>
      </c>
      <c r="DR129" s="120">
        <f t="shared" si="185"/>
        <v>0</v>
      </c>
      <c r="DS129" s="120">
        <f t="shared" si="186"/>
        <v>0</v>
      </c>
      <c r="DT129" s="120">
        <f t="shared" si="187"/>
        <v>0</v>
      </c>
      <c r="DU129" s="120">
        <f t="shared" si="188"/>
        <v>0</v>
      </c>
      <c r="DV129" s="120">
        <f t="shared" si="189"/>
        <v>0</v>
      </c>
      <c r="DW129" s="120">
        <f t="shared" si="190"/>
        <v>0</v>
      </c>
      <c r="DX129" s="120">
        <f t="shared" si="191"/>
        <v>0</v>
      </c>
      <c r="DY129" s="120">
        <f t="shared" si="192"/>
        <v>0</v>
      </c>
      <c r="DZ129" s="120">
        <f t="shared" si="193"/>
        <v>0</v>
      </c>
      <c r="EA129" s="120">
        <f t="shared" si="194"/>
        <v>0</v>
      </c>
      <c r="EB129" s="120">
        <f t="shared" si="195"/>
        <v>0</v>
      </c>
      <c r="EC129" s="120">
        <f t="shared" si="196"/>
        <v>0</v>
      </c>
      <c r="ED129" s="120">
        <f t="shared" si="197"/>
        <v>0</v>
      </c>
      <c r="EE129" s="120">
        <f t="shared" si="198"/>
        <v>0</v>
      </c>
      <c r="EF129" s="120">
        <f t="shared" si="199"/>
        <v>0</v>
      </c>
      <c r="EG129" s="120">
        <f t="shared" si="200"/>
        <v>0</v>
      </c>
      <c r="EH129" s="120">
        <f t="shared" si="201"/>
        <v>0</v>
      </c>
      <c r="EI129" s="120">
        <f t="shared" si="202"/>
        <v>0</v>
      </c>
      <c r="EJ129" s="120">
        <f t="shared" si="203"/>
        <v>0</v>
      </c>
      <c r="EK129" s="120">
        <f t="shared" si="204"/>
        <v>0</v>
      </c>
      <c r="EL129" s="120">
        <f t="shared" si="205"/>
        <v>0</v>
      </c>
      <c r="EM129" s="120">
        <f t="shared" si="206"/>
        <v>0</v>
      </c>
      <c r="EN129" s="120">
        <f t="shared" si="207"/>
        <v>0</v>
      </c>
      <c r="EO129" s="120">
        <f t="shared" si="208"/>
        <v>0</v>
      </c>
      <c r="EP129" s="120">
        <f t="shared" si="209"/>
        <v>0</v>
      </c>
      <c r="EQ129" s="120">
        <f t="shared" si="210"/>
        <v>0</v>
      </c>
      <c r="ER129" s="120">
        <f t="shared" si="211"/>
        <v>0</v>
      </c>
      <c r="ES129" s="120">
        <f t="shared" si="212"/>
        <v>0</v>
      </c>
      <c r="ET129" s="120">
        <f t="shared" si="213"/>
        <v>0</v>
      </c>
      <c r="EU129" s="120">
        <f t="shared" si="214"/>
        <v>0</v>
      </c>
      <c r="EV129" s="120">
        <f t="shared" si="215"/>
        <v>0</v>
      </c>
      <c r="EW129" s="205">
        <f t="shared" si="216"/>
        <v>0</v>
      </c>
      <c r="EX129" s="72"/>
      <c r="EY129" s="119">
        <f t="shared" si="217"/>
        <v>3985.0907044110122</v>
      </c>
      <c r="EZ129" s="120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0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0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0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0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0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0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0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0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0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0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0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0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0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0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0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0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0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0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0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0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0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0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0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0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0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0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0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0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0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0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0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0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0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0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0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0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0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0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0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5">
        <f t="shared" ca="1" si="218"/>
        <v>0</v>
      </c>
    </row>
    <row r="130" spans="112:196">
      <c r="DH130" s="119">
        <f t="shared" si="175"/>
        <v>4184.3452396315633</v>
      </c>
      <c r="DI130" s="120">
        <f t="shared" si="176"/>
        <v>0</v>
      </c>
      <c r="DJ130" s="120">
        <f t="shared" si="177"/>
        <v>0</v>
      </c>
      <c r="DK130" s="120">
        <f t="shared" si="178"/>
        <v>0</v>
      </c>
      <c r="DL130" s="120">
        <f t="shared" si="179"/>
        <v>0</v>
      </c>
      <c r="DM130" s="120">
        <f t="shared" si="180"/>
        <v>0</v>
      </c>
      <c r="DN130" s="120">
        <f t="shared" si="181"/>
        <v>0</v>
      </c>
      <c r="DO130" s="120">
        <f t="shared" si="182"/>
        <v>0</v>
      </c>
      <c r="DP130" s="120">
        <f t="shared" si="183"/>
        <v>0</v>
      </c>
      <c r="DQ130" s="120">
        <f t="shared" si="184"/>
        <v>0</v>
      </c>
      <c r="DR130" s="120">
        <f t="shared" si="185"/>
        <v>0</v>
      </c>
      <c r="DS130" s="120">
        <f t="shared" si="186"/>
        <v>0</v>
      </c>
      <c r="DT130" s="120">
        <f t="shared" si="187"/>
        <v>0</v>
      </c>
      <c r="DU130" s="120">
        <f t="shared" si="188"/>
        <v>0</v>
      </c>
      <c r="DV130" s="120">
        <f t="shared" si="189"/>
        <v>0</v>
      </c>
      <c r="DW130" s="120">
        <f t="shared" si="190"/>
        <v>0</v>
      </c>
      <c r="DX130" s="120">
        <f t="shared" si="191"/>
        <v>0</v>
      </c>
      <c r="DY130" s="120">
        <f t="shared" si="192"/>
        <v>0</v>
      </c>
      <c r="DZ130" s="120">
        <f t="shared" si="193"/>
        <v>0</v>
      </c>
      <c r="EA130" s="120">
        <f t="shared" si="194"/>
        <v>0</v>
      </c>
      <c r="EB130" s="120">
        <f t="shared" si="195"/>
        <v>0</v>
      </c>
      <c r="EC130" s="120">
        <f t="shared" si="196"/>
        <v>0</v>
      </c>
      <c r="ED130" s="120">
        <f t="shared" si="197"/>
        <v>0</v>
      </c>
      <c r="EE130" s="120">
        <f t="shared" si="198"/>
        <v>0</v>
      </c>
      <c r="EF130" s="120">
        <f t="shared" si="199"/>
        <v>0</v>
      </c>
      <c r="EG130" s="120">
        <f t="shared" si="200"/>
        <v>0</v>
      </c>
      <c r="EH130" s="120">
        <f t="shared" si="201"/>
        <v>0</v>
      </c>
      <c r="EI130" s="120">
        <f t="shared" si="202"/>
        <v>0</v>
      </c>
      <c r="EJ130" s="120">
        <f t="shared" si="203"/>
        <v>0</v>
      </c>
      <c r="EK130" s="120">
        <f t="shared" si="204"/>
        <v>0</v>
      </c>
      <c r="EL130" s="120">
        <f t="shared" si="205"/>
        <v>0</v>
      </c>
      <c r="EM130" s="120">
        <f t="shared" si="206"/>
        <v>0</v>
      </c>
      <c r="EN130" s="120">
        <f t="shared" si="207"/>
        <v>0</v>
      </c>
      <c r="EO130" s="120">
        <f t="shared" si="208"/>
        <v>0</v>
      </c>
      <c r="EP130" s="120">
        <f t="shared" si="209"/>
        <v>0</v>
      </c>
      <c r="EQ130" s="120">
        <f t="shared" si="210"/>
        <v>0</v>
      </c>
      <c r="ER130" s="120">
        <f t="shared" si="211"/>
        <v>0</v>
      </c>
      <c r="ES130" s="120">
        <f t="shared" si="212"/>
        <v>0</v>
      </c>
      <c r="ET130" s="120">
        <f t="shared" si="213"/>
        <v>0</v>
      </c>
      <c r="EU130" s="120">
        <f t="shared" si="214"/>
        <v>0</v>
      </c>
      <c r="EV130" s="120">
        <f t="shared" si="215"/>
        <v>0</v>
      </c>
      <c r="EW130" s="205">
        <f t="shared" si="216"/>
        <v>0</v>
      </c>
      <c r="EX130" s="72"/>
      <c r="EY130" s="119">
        <f t="shared" si="217"/>
        <v>4184.3452396315633</v>
      </c>
      <c r="EZ130" s="120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0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0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0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0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0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0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0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0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0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0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0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0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0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0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0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0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0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0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0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0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0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0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0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0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0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0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0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0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0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0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0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0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0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0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0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0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0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0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0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5">
        <f t="shared" ca="1" si="218"/>
        <v>0</v>
      </c>
    </row>
    <row r="131" spans="112:196">
      <c r="DH131" s="119">
        <f t="shared" si="175"/>
        <v>4393.5625016131416</v>
      </c>
      <c r="DI131" s="120">
        <f t="shared" si="176"/>
        <v>0</v>
      </c>
      <c r="DJ131" s="120">
        <f t="shared" si="177"/>
        <v>0</v>
      </c>
      <c r="DK131" s="120">
        <f t="shared" si="178"/>
        <v>0</v>
      </c>
      <c r="DL131" s="120">
        <f t="shared" si="179"/>
        <v>0</v>
      </c>
      <c r="DM131" s="120">
        <f t="shared" si="180"/>
        <v>0</v>
      </c>
      <c r="DN131" s="120">
        <f t="shared" si="181"/>
        <v>0</v>
      </c>
      <c r="DO131" s="120">
        <f t="shared" si="182"/>
        <v>0</v>
      </c>
      <c r="DP131" s="120">
        <f t="shared" si="183"/>
        <v>0</v>
      </c>
      <c r="DQ131" s="120">
        <f t="shared" si="184"/>
        <v>0</v>
      </c>
      <c r="DR131" s="120">
        <f t="shared" si="185"/>
        <v>0</v>
      </c>
      <c r="DS131" s="120">
        <f t="shared" si="186"/>
        <v>0</v>
      </c>
      <c r="DT131" s="120">
        <f t="shared" si="187"/>
        <v>0</v>
      </c>
      <c r="DU131" s="120">
        <f t="shared" si="188"/>
        <v>0</v>
      </c>
      <c r="DV131" s="120">
        <f t="shared" si="189"/>
        <v>0</v>
      </c>
      <c r="DW131" s="120">
        <f t="shared" si="190"/>
        <v>0</v>
      </c>
      <c r="DX131" s="120">
        <f t="shared" si="191"/>
        <v>0</v>
      </c>
      <c r="DY131" s="120">
        <f t="shared" si="192"/>
        <v>0</v>
      </c>
      <c r="DZ131" s="120">
        <f t="shared" si="193"/>
        <v>0</v>
      </c>
      <c r="EA131" s="120">
        <f t="shared" si="194"/>
        <v>0</v>
      </c>
      <c r="EB131" s="120">
        <f t="shared" si="195"/>
        <v>0</v>
      </c>
      <c r="EC131" s="120">
        <f t="shared" si="196"/>
        <v>0</v>
      </c>
      <c r="ED131" s="120">
        <f t="shared" si="197"/>
        <v>0</v>
      </c>
      <c r="EE131" s="120">
        <f t="shared" si="198"/>
        <v>0</v>
      </c>
      <c r="EF131" s="120">
        <f t="shared" si="199"/>
        <v>0</v>
      </c>
      <c r="EG131" s="120">
        <f t="shared" si="200"/>
        <v>0</v>
      </c>
      <c r="EH131" s="120">
        <f t="shared" si="201"/>
        <v>0</v>
      </c>
      <c r="EI131" s="120">
        <f t="shared" si="202"/>
        <v>0</v>
      </c>
      <c r="EJ131" s="120">
        <f t="shared" si="203"/>
        <v>0</v>
      </c>
      <c r="EK131" s="120">
        <f t="shared" si="204"/>
        <v>0</v>
      </c>
      <c r="EL131" s="120">
        <f t="shared" si="205"/>
        <v>0</v>
      </c>
      <c r="EM131" s="120">
        <f t="shared" si="206"/>
        <v>0</v>
      </c>
      <c r="EN131" s="120">
        <f t="shared" si="207"/>
        <v>0</v>
      </c>
      <c r="EO131" s="120">
        <f t="shared" si="208"/>
        <v>0</v>
      </c>
      <c r="EP131" s="120">
        <f t="shared" si="209"/>
        <v>0</v>
      </c>
      <c r="EQ131" s="120">
        <f t="shared" si="210"/>
        <v>0</v>
      </c>
      <c r="ER131" s="120">
        <f t="shared" si="211"/>
        <v>0</v>
      </c>
      <c r="ES131" s="120">
        <f t="shared" si="212"/>
        <v>0</v>
      </c>
      <c r="ET131" s="120">
        <f t="shared" si="213"/>
        <v>0</v>
      </c>
      <c r="EU131" s="120">
        <f t="shared" si="214"/>
        <v>0</v>
      </c>
      <c r="EV131" s="120">
        <f t="shared" si="215"/>
        <v>0</v>
      </c>
      <c r="EW131" s="205">
        <f t="shared" si="216"/>
        <v>0</v>
      </c>
      <c r="EX131" s="72"/>
      <c r="EY131" s="119">
        <f t="shared" si="217"/>
        <v>4393.5625016131416</v>
      </c>
      <c r="EZ131" s="120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0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0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0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0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0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0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0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0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0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0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0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0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0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0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0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0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0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0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0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0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0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0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0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0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0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0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0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0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0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0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0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0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0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0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0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0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0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0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0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5">
        <f t="shared" ca="1" si="218"/>
        <v>0</v>
      </c>
    </row>
    <row r="132" spans="112:196">
      <c r="DH132" s="119">
        <f t="shared" si="175"/>
        <v>4613.2406266937987</v>
      </c>
      <c r="DI132" s="120">
        <f t="shared" si="176"/>
        <v>0</v>
      </c>
      <c r="DJ132" s="120">
        <f t="shared" si="177"/>
        <v>0</v>
      </c>
      <c r="DK132" s="120">
        <f t="shared" si="178"/>
        <v>0</v>
      </c>
      <c r="DL132" s="120">
        <f t="shared" si="179"/>
        <v>0</v>
      </c>
      <c r="DM132" s="120">
        <f t="shared" si="180"/>
        <v>0</v>
      </c>
      <c r="DN132" s="120">
        <f t="shared" si="181"/>
        <v>0</v>
      </c>
      <c r="DO132" s="120">
        <f t="shared" si="182"/>
        <v>0</v>
      </c>
      <c r="DP132" s="120">
        <f t="shared" si="183"/>
        <v>0</v>
      </c>
      <c r="DQ132" s="120">
        <f t="shared" si="184"/>
        <v>0</v>
      </c>
      <c r="DR132" s="120">
        <f t="shared" si="185"/>
        <v>0</v>
      </c>
      <c r="DS132" s="120">
        <f t="shared" si="186"/>
        <v>0</v>
      </c>
      <c r="DT132" s="120">
        <f t="shared" si="187"/>
        <v>0</v>
      </c>
      <c r="DU132" s="120">
        <f t="shared" si="188"/>
        <v>0</v>
      </c>
      <c r="DV132" s="120">
        <f t="shared" si="189"/>
        <v>0</v>
      </c>
      <c r="DW132" s="120">
        <f t="shared" si="190"/>
        <v>0</v>
      </c>
      <c r="DX132" s="120">
        <f t="shared" si="191"/>
        <v>0</v>
      </c>
      <c r="DY132" s="120">
        <f t="shared" si="192"/>
        <v>0</v>
      </c>
      <c r="DZ132" s="120">
        <f t="shared" si="193"/>
        <v>0</v>
      </c>
      <c r="EA132" s="120">
        <f t="shared" si="194"/>
        <v>0</v>
      </c>
      <c r="EB132" s="120">
        <f t="shared" si="195"/>
        <v>0</v>
      </c>
      <c r="EC132" s="120">
        <f t="shared" si="196"/>
        <v>0</v>
      </c>
      <c r="ED132" s="120">
        <f t="shared" si="197"/>
        <v>0</v>
      </c>
      <c r="EE132" s="120">
        <f t="shared" si="198"/>
        <v>0</v>
      </c>
      <c r="EF132" s="120">
        <f t="shared" si="199"/>
        <v>0</v>
      </c>
      <c r="EG132" s="120">
        <f t="shared" si="200"/>
        <v>0</v>
      </c>
      <c r="EH132" s="120">
        <f t="shared" si="201"/>
        <v>0</v>
      </c>
      <c r="EI132" s="120">
        <f t="shared" si="202"/>
        <v>0</v>
      </c>
      <c r="EJ132" s="120">
        <f t="shared" si="203"/>
        <v>0</v>
      </c>
      <c r="EK132" s="120">
        <f t="shared" si="204"/>
        <v>0</v>
      </c>
      <c r="EL132" s="120">
        <f t="shared" si="205"/>
        <v>0</v>
      </c>
      <c r="EM132" s="120">
        <f t="shared" si="206"/>
        <v>0</v>
      </c>
      <c r="EN132" s="120">
        <f t="shared" si="207"/>
        <v>0</v>
      </c>
      <c r="EO132" s="120">
        <f t="shared" si="208"/>
        <v>0</v>
      </c>
      <c r="EP132" s="120">
        <f t="shared" si="209"/>
        <v>0</v>
      </c>
      <c r="EQ132" s="120">
        <f t="shared" si="210"/>
        <v>0</v>
      </c>
      <c r="ER132" s="120">
        <f t="shared" si="211"/>
        <v>0</v>
      </c>
      <c r="ES132" s="120">
        <f t="shared" si="212"/>
        <v>0</v>
      </c>
      <c r="ET132" s="120">
        <f t="shared" si="213"/>
        <v>0</v>
      </c>
      <c r="EU132" s="120">
        <f t="shared" si="214"/>
        <v>0</v>
      </c>
      <c r="EV132" s="120">
        <f t="shared" si="215"/>
        <v>0</v>
      </c>
      <c r="EW132" s="205">
        <f t="shared" si="216"/>
        <v>0</v>
      </c>
      <c r="EX132" s="72"/>
      <c r="EY132" s="119">
        <f t="shared" si="217"/>
        <v>4613.2406266937987</v>
      </c>
      <c r="EZ132" s="120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0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0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0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0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0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0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0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0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0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0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0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0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0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0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0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0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0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0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0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0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0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0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0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0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0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0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0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0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0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0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0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0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0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0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0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0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0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0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0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5">
        <f t="shared" ca="1" si="218"/>
        <v>0</v>
      </c>
    </row>
    <row r="133" spans="112:196">
      <c r="DH133" s="119">
        <f t="shared" si="175"/>
        <v>4843.902658028489</v>
      </c>
      <c r="DI133" s="120">
        <f t="shared" si="176"/>
        <v>0</v>
      </c>
      <c r="DJ133" s="120">
        <f t="shared" si="177"/>
        <v>0</v>
      </c>
      <c r="DK133" s="120">
        <f t="shared" si="178"/>
        <v>0</v>
      </c>
      <c r="DL133" s="120">
        <f t="shared" si="179"/>
        <v>0</v>
      </c>
      <c r="DM133" s="120">
        <f t="shared" si="180"/>
        <v>0</v>
      </c>
      <c r="DN133" s="120">
        <f t="shared" si="181"/>
        <v>0</v>
      </c>
      <c r="DO133" s="120">
        <f t="shared" si="182"/>
        <v>0</v>
      </c>
      <c r="DP133" s="120">
        <f t="shared" si="183"/>
        <v>0</v>
      </c>
      <c r="DQ133" s="120">
        <f t="shared" si="184"/>
        <v>0</v>
      </c>
      <c r="DR133" s="120">
        <f t="shared" si="185"/>
        <v>0</v>
      </c>
      <c r="DS133" s="120">
        <f t="shared" si="186"/>
        <v>0</v>
      </c>
      <c r="DT133" s="120">
        <f t="shared" si="187"/>
        <v>0</v>
      </c>
      <c r="DU133" s="120">
        <f t="shared" si="188"/>
        <v>0</v>
      </c>
      <c r="DV133" s="120">
        <f t="shared" si="189"/>
        <v>0</v>
      </c>
      <c r="DW133" s="120">
        <f t="shared" si="190"/>
        <v>0</v>
      </c>
      <c r="DX133" s="120">
        <f t="shared" si="191"/>
        <v>0</v>
      </c>
      <c r="DY133" s="120">
        <f t="shared" si="192"/>
        <v>0</v>
      </c>
      <c r="DZ133" s="120">
        <f t="shared" si="193"/>
        <v>0</v>
      </c>
      <c r="EA133" s="120">
        <f t="shared" si="194"/>
        <v>0</v>
      </c>
      <c r="EB133" s="120">
        <f t="shared" si="195"/>
        <v>0</v>
      </c>
      <c r="EC133" s="120">
        <f t="shared" si="196"/>
        <v>0</v>
      </c>
      <c r="ED133" s="120">
        <f t="shared" si="197"/>
        <v>0</v>
      </c>
      <c r="EE133" s="120">
        <f t="shared" si="198"/>
        <v>0</v>
      </c>
      <c r="EF133" s="120">
        <f t="shared" si="199"/>
        <v>0</v>
      </c>
      <c r="EG133" s="120">
        <f t="shared" si="200"/>
        <v>0</v>
      </c>
      <c r="EH133" s="120">
        <f t="shared" si="201"/>
        <v>0</v>
      </c>
      <c r="EI133" s="120">
        <f t="shared" si="202"/>
        <v>0</v>
      </c>
      <c r="EJ133" s="120">
        <f t="shared" si="203"/>
        <v>0</v>
      </c>
      <c r="EK133" s="120">
        <f t="shared" si="204"/>
        <v>0</v>
      </c>
      <c r="EL133" s="120">
        <f t="shared" si="205"/>
        <v>0</v>
      </c>
      <c r="EM133" s="120">
        <f t="shared" si="206"/>
        <v>0</v>
      </c>
      <c r="EN133" s="120">
        <f t="shared" si="207"/>
        <v>0</v>
      </c>
      <c r="EO133" s="120">
        <f t="shared" si="208"/>
        <v>0</v>
      </c>
      <c r="EP133" s="120">
        <f t="shared" si="209"/>
        <v>0</v>
      </c>
      <c r="EQ133" s="120">
        <f t="shared" si="210"/>
        <v>0</v>
      </c>
      <c r="ER133" s="120">
        <f t="shared" si="211"/>
        <v>0</v>
      </c>
      <c r="ES133" s="120">
        <f t="shared" si="212"/>
        <v>0</v>
      </c>
      <c r="ET133" s="120">
        <f t="shared" si="213"/>
        <v>0</v>
      </c>
      <c r="EU133" s="120">
        <f t="shared" si="214"/>
        <v>0</v>
      </c>
      <c r="EV133" s="120">
        <f t="shared" si="215"/>
        <v>0</v>
      </c>
      <c r="EW133" s="205">
        <f t="shared" si="216"/>
        <v>0</v>
      </c>
      <c r="EX133" s="72"/>
      <c r="EY133" s="119">
        <f t="shared" si="217"/>
        <v>4843.902658028489</v>
      </c>
      <c r="EZ133" s="120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0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0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0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0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0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0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0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0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0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0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0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0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0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0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0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0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0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0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0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0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0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0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0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0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0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0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0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0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0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0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0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0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0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0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0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0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0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0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0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5">
        <f t="shared" ca="1" si="218"/>
        <v>0</v>
      </c>
    </row>
    <row r="134" spans="112:196">
      <c r="DH134" s="195">
        <f t="shared" si="175"/>
        <v>5086.0977909299136</v>
      </c>
      <c r="DI134" s="196">
        <f t="shared" si="176"/>
        <v>0</v>
      </c>
      <c r="DJ134" s="196">
        <f t="shared" si="177"/>
        <v>0</v>
      </c>
      <c r="DK134" s="196">
        <f t="shared" si="178"/>
        <v>0</v>
      </c>
      <c r="DL134" s="196">
        <f t="shared" si="179"/>
        <v>0</v>
      </c>
      <c r="DM134" s="196">
        <f t="shared" si="180"/>
        <v>0</v>
      </c>
      <c r="DN134" s="196">
        <f t="shared" si="181"/>
        <v>0</v>
      </c>
      <c r="DO134" s="196">
        <f t="shared" si="182"/>
        <v>0</v>
      </c>
      <c r="DP134" s="196">
        <f t="shared" si="183"/>
        <v>0</v>
      </c>
      <c r="DQ134" s="196">
        <f t="shared" si="184"/>
        <v>0</v>
      </c>
      <c r="DR134" s="196">
        <f t="shared" si="185"/>
        <v>0</v>
      </c>
      <c r="DS134" s="196">
        <f t="shared" si="186"/>
        <v>0</v>
      </c>
      <c r="DT134" s="196">
        <f t="shared" si="187"/>
        <v>0</v>
      </c>
      <c r="DU134" s="196">
        <f t="shared" si="188"/>
        <v>0</v>
      </c>
      <c r="DV134" s="196">
        <f t="shared" si="189"/>
        <v>0</v>
      </c>
      <c r="DW134" s="196">
        <f t="shared" si="190"/>
        <v>0</v>
      </c>
      <c r="DX134" s="196">
        <f t="shared" si="191"/>
        <v>0</v>
      </c>
      <c r="DY134" s="196">
        <f t="shared" si="192"/>
        <v>0</v>
      </c>
      <c r="DZ134" s="196">
        <f t="shared" si="193"/>
        <v>0</v>
      </c>
      <c r="EA134" s="196">
        <f t="shared" si="194"/>
        <v>0</v>
      </c>
      <c r="EB134" s="196">
        <f t="shared" si="195"/>
        <v>0</v>
      </c>
      <c r="EC134" s="196">
        <f t="shared" si="196"/>
        <v>0</v>
      </c>
      <c r="ED134" s="196">
        <f t="shared" si="197"/>
        <v>0</v>
      </c>
      <c r="EE134" s="196">
        <f t="shared" si="198"/>
        <v>0</v>
      </c>
      <c r="EF134" s="196">
        <f t="shared" si="199"/>
        <v>0</v>
      </c>
      <c r="EG134" s="196">
        <f t="shared" si="200"/>
        <v>0</v>
      </c>
      <c r="EH134" s="196">
        <f t="shared" si="201"/>
        <v>0</v>
      </c>
      <c r="EI134" s="196">
        <f t="shared" si="202"/>
        <v>0</v>
      </c>
      <c r="EJ134" s="196">
        <f t="shared" si="203"/>
        <v>0</v>
      </c>
      <c r="EK134" s="196">
        <f t="shared" si="204"/>
        <v>0</v>
      </c>
      <c r="EL134" s="196">
        <f t="shared" si="205"/>
        <v>0</v>
      </c>
      <c r="EM134" s="196">
        <f t="shared" si="206"/>
        <v>0</v>
      </c>
      <c r="EN134" s="196">
        <f t="shared" si="207"/>
        <v>0</v>
      </c>
      <c r="EO134" s="196">
        <f t="shared" si="208"/>
        <v>0</v>
      </c>
      <c r="EP134" s="196">
        <f t="shared" si="209"/>
        <v>0</v>
      </c>
      <c r="EQ134" s="196">
        <f t="shared" si="210"/>
        <v>0</v>
      </c>
      <c r="ER134" s="196">
        <f t="shared" si="211"/>
        <v>0</v>
      </c>
      <c r="ES134" s="196">
        <f t="shared" si="212"/>
        <v>0</v>
      </c>
      <c r="ET134" s="196">
        <f t="shared" si="213"/>
        <v>0</v>
      </c>
      <c r="EU134" s="196">
        <f t="shared" si="214"/>
        <v>0</v>
      </c>
      <c r="EV134" s="196">
        <f t="shared" si="215"/>
        <v>0</v>
      </c>
      <c r="EW134" s="232">
        <f t="shared" si="216"/>
        <v>0</v>
      </c>
      <c r="EX134" s="72"/>
      <c r="EY134" s="195">
        <f t="shared" si="217"/>
        <v>5086.0977909299136</v>
      </c>
      <c r="EZ134" s="196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6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6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6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6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6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6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6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6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6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6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6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6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6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6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6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6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6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6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6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6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6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6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6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6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6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6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6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6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6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6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6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6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6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6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6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6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6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6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6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2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493" priority="394">
      <formula>T3&gt;0</formula>
    </cfRule>
  </conditionalFormatting>
  <conditionalFormatting sqref="AG3:AG6 AG27:AG42 U27:U42">
    <cfRule type="expression" dxfId="492" priority="395">
      <formula>T3&lt;0</formula>
    </cfRule>
  </conditionalFormatting>
  <conditionalFormatting sqref="P3:Q34">
    <cfRule type="cellIs" dxfId="491" priority="396" operator="greaterThan">
      <formula>0</formula>
    </cfRule>
  </conditionalFormatting>
  <conditionalFormatting sqref="P3:Q34">
    <cfRule type="cellIs" dxfId="490" priority="397" operator="lessThan">
      <formula>0</formula>
    </cfRule>
  </conditionalFormatting>
  <conditionalFormatting sqref="B73:B74 B17:B18 B20:B30 AF3:AF17">
    <cfRule type="cellIs" dxfId="489" priority="398" operator="greaterThan">
      <formula>0</formula>
    </cfRule>
  </conditionalFormatting>
  <conditionalFormatting sqref="B73:B74 B17:B18 B20:B30 AF3:AF17">
    <cfRule type="cellIs" dxfId="488" priority="399" operator="lessThan">
      <formula>0</formula>
    </cfRule>
  </conditionalFormatting>
  <conditionalFormatting sqref="BD61:BD76">
    <cfRule type="cellIs" dxfId="487" priority="400" operator="greaterThan">
      <formula>0</formula>
    </cfRule>
  </conditionalFormatting>
  <conditionalFormatting sqref="BD61:BD76">
    <cfRule type="cellIs" dxfId="486" priority="401" operator="lessThan">
      <formula>0</formula>
    </cfRule>
  </conditionalFormatting>
  <conditionalFormatting sqref="BD6:BD8">
    <cfRule type="cellIs" dxfId="485" priority="402" operator="greaterThan">
      <formula>0</formula>
    </cfRule>
  </conditionalFormatting>
  <conditionalFormatting sqref="BD6:BD8">
    <cfRule type="cellIs" dxfId="484" priority="403" operator="lessThan">
      <formula>0</formula>
    </cfRule>
  </conditionalFormatting>
  <conditionalFormatting sqref="B43 B17:B18 B41 B20:B30 T3:T42 AF3:AF42">
    <cfRule type="cellIs" dxfId="483" priority="404" operator="greaterThan">
      <formula>0</formula>
    </cfRule>
  </conditionalFormatting>
  <conditionalFormatting sqref="B43 B17:B18 B41 B20:B30 T3:T42 AF3:AF42">
    <cfRule type="cellIs" dxfId="482" priority="405" operator="lessThan">
      <formula>0</formula>
    </cfRule>
  </conditionalFormatting>
  <conditionalFormatting sqref="B30">
    <cfRule type="cellIs" dxfId="481" priority="406" operator="greaterThan">
      <formula>0</formula>
    </cfRule>
  </conditionalFormatting>
  <conditionalFormatting sqref="B30">
    <cfRule type="cellIs" dxfId="480" priority="407" operator="lessThan">
      <formula>0</formula>
    </cfRule>
  </conditionalFormatting>
  <conditionalFormatting sqref="B75">
    <cfRule type="cellIs" dxfId="479" priority="408" operator="greaterThan">
      <formula>0</formula>
    </cfRule>
  </conditionalFormatting>
  <conditionalFormatting sqref="B75">
    <cfRule type="cellIs" dxfId="478" priority="409" operator="lessThan">
      <formula>0</formula>
    </cfRule>
  </conditionalFormatting>
  <conditionalFormatting sqref="BD9">
    <cfRule type="cellIs" dxfId="477" priority="410" operator="greaterThan">
      <formula>0</formula>
    </cfRule>
  </conditionalFormatting>
  <conditionalFormatting sqref="BD9">
    <cfRule type="cellIs" dxfId="476" priority="411" operator="lessThan">
      <formula>0</formula>
    </cfRule>
  </conditionalFormatting>
  <conditionalFormatting sqref="AX14:AX16">
    <cfRule type="cellIs" dxfId="475" priority="412" operator="greaterThan">
      <formula>0</formula>
    </cfRule>
  </conditionalFormatting>
  <conditionalFormatting sqref="AX14:AX16">
    <cfRule type="cellIs" dxfId="474" priority="413" operator="lessThan">
      <formula>0</formula>
    </cfRule>
  </conditionalFormatting>
  <conditionalFormatting sqref="AX28">
    <cfRule type="cellIs" dxfId="473" priority="414" operator="greaterThan">
      <formula>0</formula>
    </cfRule>
  </conditionalFormatting>
  <conditionalFormatting sqref="AX28">
    <cfRule type="cellIs" dxfId="472" priority="415" operator="lessThan">
      <formula>0</formula>
    </cfRule>
  </conditionalFormatting>
  <conditionalFormatting sqref="BD27">
    <cfRule type="cellIs" dxfId="471" priority="416" operator="greaterThan">
      <formula>0</formula>
    </cfRule>
  </conditionalFormatting>
  <conditionalFormatting sqref="BD27">
    <cfRule type="cellIs" dxfId="470" priority="417" operator="lessThan">
      <formula>0</formula>
    </cfRule>
  </conditionalFormatting>
  <conditionalFormatting sqref="BD22">
    <cfRule type="cellIs" dxfId="469" priority="418" operator="greaterThan">
      <formula>0</formula>
    </cfRule>
  </conditionalFormatting>
  <conditionalFormatting sqref="BD22">
    <cfRule type="cellIs" dxfId="468" priority="419" operator="lessThan">
      <formula>0</formula>
    </cfRule>
  </conditionalFormatting>
  <conditionalFormatting sqref="AX16:AX42">
    <cfRule type="cellIs" dxfId="467" priority="420" operator="greaterThan">
      <formula>0</formula>
    </cfRule>
  </conditionalFormatting>
  <conditionalFormatting sqref="AX16:AX42">
    <cfRule type="cellIs" dxfId="466" priority="421" operator="lessThan">
      <formula>0</formula>
    </cfRule>
  </conditionalFormatting>
  <conditionalFormatting sqref="AX24:AX27">
    <cfRule type="cellIs" dxfId="465" priority="422" operator="greaterThan">
      <formula>0</formula>
    </cfRule>
  </conditionalFormatting>
  <conditionalFormatting sqref="AX24:AX27">
    <cfRule type="cellIs" dxfId="464" priority="423" operator="lessThan">
      <formula>0</formula>
    </cfRule>
  </conditionalFormatting>
  <conditionalFormatting sqref="BD10:BD11 BD16:BD18 BD20:BD42">
    <cfRule type="cellIs" dxfId="463" priority="424" operator="greaterThan">
      <formula>0</formula>
    </cfRule>
  </conditionalFormatting>
  <conditionalFormatting sqref="BD10:BD11 BD16:BD18 BD20:BD42">
    <cfRule type="cellIs" dxfId="462" priority="425" operator="lessThan">
      <formula>0</formula>
    </cfRule>
  </conditionalFormatting>
  <conditionalFormatting sqref="BD12:BD15">
    <cfRule type="cellIs" dxfId="461" priority="426" operator="greaterThan">
      <formula>0</formula>
    </cfRule>
  </conditionalFormatting>
  <conditionalFormatting sqref="BD12:BD15">
    <cfRule type="cellIs" dxfId="460" priority="427" operator="lessThan">
      <formula>0</formula>
    </cfRule>
  </conditionalFormatting>
  <conditionalFormatting sqref="BD19">
    <cfRule type="cellIs" dxfId="459" priority="428" operator="greaterThan">
      <formula>0</formula>
    </cfRule>
  </conditionalFormatting>
  <conditionalFormatting sqref="BD19">
    <cfRule type="cellIs" dxfId="458" priority="429" operator="lessThan">
      <formula>0</formula>
    </cfRule>
  </conditionalFormatting>
  <conditionalFormatting sqref="AX29:AX36">
    <cfRule type="cellIs" dxfId="457" priority="430" operator="greaterThan">
      <formula>0</formula>
    </cfRule>
  </conditionalFormatting>
  <conditionalFormatting sqref="AX29:AX36">
    <cfRule type="cellIs" dxfId="456" priority="431" operator="lessThan">
      <formula>0</formula>
    </cfRule>
  </conditionalFormatting>
  <conditionalFormatting sqref="BD23:BD24">
    <cfRule type="cellIs" dxfId="455" priority="432" operator="greaterThan">
      <formula>0</formula>
    </cfRule>
  </conditionalFormatting>
  <conditionalFormatting sqref="BD23:BD24">
    <cfRule type="cellIs" dxfId="454" priority="433" operator="lessThan">
      <formula>0</formula>
    </cfRule>
  </conditionalFormatting>
  <conditionalFormatting sqref="BD25:BD26">
    <cfRule type="cellIs" dxfId="453" priority="434" operator="greaterThan">
      <formula>0</formula>
    </cfRule>
  </conditionalFormatting>
  <conditionalFormatting sqref="BD25:BD26">
    <cfRule type="cellIs" dxfId="452" priority="435" operator="lessThan">
      <formula>0</formula>
    </cfRule>
  </conditionalFormatting>
  <conditionalFormatting sqref="AX61:AX76">
    <cfRule type="cellIs" dxfId="451" priority="436" operator="greaterThan">
      <formula>0</formula>
    </cfRule>
  </conditionalFormatting>
  <conditionalFormatting sqref="AX61:AX76">
    <cfRule type="cellIs" dxfId="450" priority="437" operator="lessThan">
      <formula>0</formula>
    </cfRule>
  </conditionalFormatting>
  <conditionalFormatting sqref="AX50:AX53 AX55:AX68">
    <cfRule type="cellIs" dxfId="449" priority="438" operator="greaterThan">
      <formula>0</formula>
    </cfRule>
  </conditionalFormatting>
  <conditionalFormatting sqref="AX50:AX53 AX55:AX68">
    <cfRule type="cellIs" dxfId="448" priority="439" operator="lessThan">
      <formula>0</formula>
    </cfRule>
  </conditionalFormatting>
  <conditionalFormatting sqref="AX50">
    <cfRule type="cellIs" dxfId="447" priority="440" operator="greaterThan">
      <formula>0</formula>
    </cfRule>
  </conditionalFormatting>
  <conditionalFormatting sqref="AX50">
    <cfRule type="cellIs" dxfId="446" priority="441" operator="lessThan">
      <formula>0</formula>
    </cfRule>
  </conditionalFormatting>
  <conditionalFormatting sqref="AX70">
    <cfRule type="cellIs" dxfId="445" priority="442" operator="greaterThan">
      <formula>0</formula>
    </cfRule>
  </conditionalFormatting>
  <conditionalFormatting sqref="AX70">
    <cfRule type="cellIs" dxfId="444" priority="443" operator="lessThan">
      <formula>0</formula>
    </cfRule>
  </conditionalFormatting>
  <conditionalFormatting sqref="AX35:AX47 AX50">
    <cfRule type="cellIs" dxfId="443" priority="444" operator="greaterThan">
      <formula>0</formula>
    </cfRule>
  </conditionalFormatting>
  <conditionalFormatting sqref="AX35:AX47 AX50">
    <cfRule type="cellIs" dxfId="442" priority="445" operator="lessThan">
      <formula>0</formula>
    </cfRule>
  </conditionalFormatting>
  <conditionalFormatting sqref="AX43:AX47 AX50">
    <cfRule type="cellIs" dxfId="441" priority="446" operator="greaterThan">
      <formula>0</formula>
    </cfRule>
  </conditionalFormatting>
  <conditionalFormatting sqref="AX43:AX47 AX50">
    <cfRule type="cellIs" dxfId="440" priority="447" operator="lessThan">
      <formula>0</formula>
    </cfRule>
  </conditionalFormatting>
  <conditionalFormatting sqref="AX69">
    <cfRule type="cellIs" dxfId="439" priority="448" operator="greaterThan">
      <formula>0</formula>
    </cfRule>
  </conditionalFormatting>
  <conditionalFormatting sqref="AX69">
    <cfRule type="cellIs" dxfId="438" priority="449" operator="lessThan">
      <formula>0</formula>
    </cfRule>
  </conditionalFormatting>
  <conditionalFormatting sqref="AX59">
    <cfRule type="cellIs" dxfId="437" priority="450" operator="greaterThan">
      <formula>0</formula>
    </cfRule>
  </conditionalFormatting>
  <conditionalFormatting sqref="AX59">
    <cfRule type="cellIs" dxfId="436" priority="451" operator="lessThan">
      <formula>0</formula>
    </cfRule>
  </conditionalFormatting>
  <conditionalFormatting sqref="AX47:AX50">
    <cfRule type="cellIs" dxfId="435" priority="452" operator="greaterThan">
      <formula>0</formula>
    </cfRule>
  </conditionalFormatting>
  <conditionalFormatting sqref="AX47:AX50">
    <cfRule type="cellIs" dxfId="434" priority="453" operator="lessThan">
      <formula>0</formula>
    </cfRule>
  </conditionalFormatting>
  <conditionalFormatting sqref="AX59">
    <cfRule type="cellIs" dxfId="433" priority="454" operator="greaterThan">
      <formula>0</formula>
    </cfRule>
  </conditionalFormatting>
  <conditionalFormatting sqref="AX59">
    <cfRule type="cellIs" dxfId="432" priority="455" operator="lessThan">
      <formula>0</formula>
    </cfRule>
  </conditionalFormatting>
  <conditionalFormatting sqref="AX60">
    <cfRule type="cellIs" dxfId="431" priority="456" operator="greaterThan">
      <formula>0</formula>
    </cfRule>
  </conditionalFormatting>
  <conditionalFormatting sqref="AX60">
    <cfRule type="cellIs" dxfId="430" priority="457" operator="lessThan">
      <formula>0</formula>
    </cfRule>
  </conditionalFormatting>
  <conditionalFormatting sqref="AX61:AX63">
    <cfRule type="cellIs" dxfId="429" priority="458" operator="greaterThan">
      <formula>0</formula>
    </cfRule>
  </conditionalFormatting>
  <conditionalFormatting sqref="AX61:AX63">
    <cfRule type="cellIs" dxfId="428" priority="459" operator="lessThan">
      <formula>0</formula>
    </cfRule>
  </conditionalFormatting>
  <conditionalFormatting sqref="AX63">
    <cfRule type="cellIs" dxfId="427" priority="460" operator="greaterThan">
      <formula>0</formula>
    </cfRule>
  </conditionalFormatting>
  <conditionalFormatting sqref="AX63">
    <cfRule type="cellIs" dxfId="426" priority="461" operator="lessThan">
      <formula>0</formula>
    </cfRule>
  </conditionalFormatting>
  <conditionalFormatting sqref="AX64:AX65">
    <cfRule type="cellIs" dxfId="425" priority="462" operator="greaterThan">
      <formula>0</formula>
    </cfRule>
  </conditionalFormatting>
  <conditionalFormatting sqref="AX64:AX65">
    <cfRule type="cellIs" dxfId="424" priority="463" operator="lessThan">
      <formula>0</formula>
    </cfRule>
  </conditionalFormatting>
  <conditionalFormatting sqref="AX52:AX54">
    <cfRule type="cellIs" dxfId="423" priority="464" operator="greaterThan">
      <formula>0</formula>
    </cfRule>
  </conditionalFormatting>
  <conditionalFormatting sqref="AX52:AX54">
    <cfRule type="cellIs" dxfId="422" priority="465" operator="lessThan">
      <formula>0</formula>
    </cfRule>
  </conditionalFormatting>
  <conditionalFormatting sqref="AX65">
    <cfRule type="cellIs" dxfId="421" priority="466" operator="greaterThan">
      <formula>0</formula>
    </cfRule>
  </conditionalFormatting>
  <conditionalFormatting sqref="AX65">
    <cfRule type="cellIs" dxfId="420" priority="467" operator="lessThan">
      <formula>0</formula>
    </cfRule>
  </conditionalFormatting>
  <conditionalFormatting sqref="AX64">
    <cfRule type="cellIs" dxfId="419" priority="468" operator="greaterThan">
      <formula>0</formula>
    </cfRule>
  </conditionalFormatting>
  <conditionalFormatting sqref="AX64">
    <cfRule type="cellIs" dxfId="418" priority="469" operator="lessThan">
      <formula>0</formula>
    </cfRule>
  </conditionalFormatting>
  <conditionalFormatting sqref="AX54">
    <cfRule type="cellIs" dxfId="417" priority="470" operator="greaterThan">
      <formula>0</formula>
    </cfRule>
  </conditionalFormatting>
  <conditionalFormatting sqref="AX54">
    <cfRule type="cellIs" dxfId="416" priority="471" operator="lessThan">
      <formula>0</formula>
    </cfRule>
  </conditionalFormatting>
  <conditionalFormatting sqref="AX54">
    <cfRule type="cellIs" dxfId="415" priority="472" operator="greaterThan">
      <formula>0</formula>
    </cfRule>
  </conditionalFormatting>
  <conditionalFormatting sqref="AX54">
    <cfRule type="cellIs" dxfId="414" priority="473" operator="lessThan">
      <formula>0</formula>
    </cfRule>
  </conditionalFormatting>
  <conditionalFormatting sqref="AX55:AX68">
    <cfRule type="cellIs" dxfId="413" priority="474" operator="greaterThan">
      <formula>0</formula>
    </cfRule>
  </conditionalFormatting>
  <conditionalFormatting sqref="AX55:AX68">
    <cfRule type="cellIs" dxfId="412" priority="475" operator="lessThan">
      <formula>0</formula>
    </cfRule>
  </conditionalFormatting>
  <conditionalFormatting sqref="AX56:AX58">
    <cfRule type="cellIs" dxfId="411" priority="476" operator="greaterThan">
      <formula>0</formula>
    </cfRule>
  </conditionalFormatting>
  <conditionalFormatting sqref="AX56:AX58">
    <cfRule type="cellIs" dxfId="410" priority="477" operator="lessThan">
      <formula>0</formula>
    </cfRule>
  </conditionalFormatting>
  <conditionalFormatting sqref="AX58">
    <cfRule type="cellIs" dxfId="409" priority="478" operator="greaterThan">
      <formula>0</formula>
    </cfRule>
  </conditionalFormatting>
  <conditionalFormatting sqref="AX58">
    <cfRule type="cellIs" dxfId="408" priority="479" operator="lessThan">
      <formula>0</formula>
    </cfRule>
  </conditionalFormatting>
  <conditionalFormatting sqref="AX59:AX60">
    <cfRule type="cellIs" dxfId="407" priority="480" operator="greaterThan">
      <formula>0</formula>
    </cfRule>
  </conditionalFormatting>
  <conditionalFormatting sqref="AX59:AX60">
    <cfRule type="cellIs" dxfId="406" priority="481" operator="lessThan">
      <formula>0</formula>
    </cfRule>
  </conditionalFormatting>
  <conditionalFormatting sqref="BD28:BD29 BD34:BD36 BD38:BD68">
    <cfRule type="cellIs" dxfId="405" priority="482" operator="greaterThan">
      <formula>0</formula>
    </cfRule>
  </conditionalFormatting>
  <conditionalFormatting sqref="BD28:BD29 BD34:BD36 BD38:BD68">
    <cfRule type="cellIs" dxfId="404" priority="483" operator="lessThan">
      <formula>0</formula>
    </cfRule>
  </conditionalFormatting>
  <conditionalFormatting sqref="BD30:BD33">
    <cfRule type="cellIs" dxfId="403" priority="484" operator="greaterThan">
      <formula>0</formula>
    </cfRule>
  </conditionalFormatting>
  <conditionalFormatting sqref="BD30:BD33">
    <cfRule type="cellIs" dxfId="402" priority="485" operator="lessThan">
      <formula>0</formula>
    </cfRule>
  </conditionalFormatting>
  <conditionalFormatting sqref="BD57">
    <cfRule type="cellIs" dxfId="401" priority="486" operator="greaterThan">
      <formula>0</formula>
    </cfRule>
  </conditionalFormatting>
  <conditionalFormatting sqref="BD57">
    <cfRule type="cellIs" dxfId="400" priority="487" operator="lessThan">
      <formula>0</formula>
    </cfRule>
  </conditionalFormatting>
  <conditionalFormatting sqref="BD37">
    <cfRule type="cellIs" dxfId="399" priority="488" operator="greaterThan">
      <formula>0</formula>
    </cfRule>
  </conditionalFormatting>
  <conditionalFormatting sqref="BD37">
    <cfRule type="cellIs" dxfId="398" priority="489" operator="lessThan">
      <formula>0</formula>
    </cfRule>
  </conditionalFormatting>
  <conditionalFormatting sqref="AX5:AX14">
    <cfRule type="cellIs" dxfId="397" priority="490" operator="greaterThan">
      <formula>0</formula>
    </cfRule>
  </conditionalFormatting>
  <conditionalFormatting sqref="AX5:AX14">
    <cfRule type="cellIs" dxfId="396" priority="491" operator="lessThan">
      <formula>0</formula>
    </cfRule>
  </conditionalFormatting>
  <conditionalFormatting sqref="AX13">
    <cfRule type="cellIs" dxfId="395" priority="492" operator="greaterThan">
      <formula>0</formula>
    </cfRule>
  </conditionalFormatting>
  <conditionalFormatting sqref="AX13">
    <cfRule type="cellIs" dxfId="394" priority="493" operator="lessThan">
      <formula>0</formula>
    </cfRule>
  </conditionalFormatting>
  <conditionalFormatting sqref="B65:B72">
    <cfRule type="cellIs" dxfId="393" priority="494" operator="greaterThan">
      <formula>0</formula>
    </cfRule>
  </conditionalFormatting>
  <conditionalFormatting sqref="B65:B72">
    <cfRule type="cellIs" dxfId="392" priority="495" operator="lessThan">
      <formula>0</formula>
    </cfRule>
  </conditionalFormatting>
  <conditionalFormatting sqref="BJ3:BJ76">
    <cfRule type="cellIs" dxfId="391" priority="496" operator="greaterThan">
      <formula>0</formula>
    </cfRule>
  </conditionalFormatting>
  <conditionalFormatting sqref="BJ3:BJ76">
    <cfRule type="cellIs" dxfId="390" priority="497" operator="lessThan">
      <formula>0</formula>
    </cfRule>
  </conditionalFormatting>
  <conditionalFormatting sqref="AX21">
    <cfRule type="cellIs" dxfId="389" priority="498" operator="greaterThan">
      <formula>0</formula>
    </cfRule>
  </conditionalFormatting>
  <conditionalFormatting sqref="AX21">
    <cfRule type="cellIs" dxfId="388" priority="499" operator="lessThan">
      <formula>0</formula>
    </cfRule>
  </conditionalFormatting>
  <conditionalFormatting sqref="AX21">
    <cfRule type="cellIs" dxfId="387" priority="500" operator="greaterThan">
      <formula>0</formula>
    </cfRule>
  </conditionalFormatting>
  <conditionalFormatting sqref="AX21">
    <cfRule type="cellIs" dxfId="386" priority="501" operator="lessThan">
      <formula>0</formula>
    </cfRule>
  </conditionalFormatting>
  <conditionalFormatting sqref="AX14">
    <cfRule type="cellIs" dxfId="385" priority="502" operator="greaterThan">
      <formula>0</formula>
    </cfRule>
  </conditionalFormatting>
  <conditionalFormatting sqref="AX14">
    <cfRule type="cellIs" dxfId="384" priority="503" operator="lessThan">
      <formula>0</formula>
    </cfRule>
  </conditionalFormatting>
  <conditionalFormatting sqref="AX22">
    <cfRule type="cellIs" dxfId="383" priority="504" operator="greaterThan">
      <formula>0</formula>
    </cfRule>
  </conditionalFormatting>
  <conditionalFormatting sqref="AX22">
    <cfRule type="cellIs" dxfId="382" priority="505" operator="lessThan">
      <formula>0</formula>
    </cfRule>
  </conditionalFormatting>
  <conditionalFormatting sqref="AX22">
    <cfRule type="cellIs" dxfId="381" priority="506" operator="greaterThan">
      <formula>0</formula>
    </cfRule>
  </conditionalFormatting>
  <conditionalFormatting sqref="AX22">
    <cfRule type="cellIs" dxfId="380" priority="507" operator="lessThan">
      <formula>0</formula>
    </cfRule>
  </conditionalFormatting>
  <conditionalFormatting sqref="B64">
    <cfRule type="cellIs" dxfId="379" priority="508" operator="greaterThan">
      <formula>0</formula>
    </cfRule>
  </conditionalFormatting>
  <conditionalFormatting sqref="B64">
    <cfRule type="cellIs" dxfId="378" priority="509" operator="lessThan">
      <formula>0</formula>
    </cfRule>
  </conditionalFormatting>
  <conditionalFormatting sqref="B41 B43:B72 AF3:AF42">
    <cfRule type="cellIs" dxfId="377" priority="510" operator="greaterThan">
      <formula>0</formula>
    </cfRule>
  </conditionalFormatting>
  <conditionalFormatting sqref="B41 B43:B72 AF3:AF42">
    <cfRule type="cellIs" dxfId="376" priority="511" operator="lessThan">
      <formula>0</formula>
    </cfRule>
  </conditionalFormatting>
  <conditionalFormatting sqref="B41 B43:B72">
    <cfRule type="cellIs" dxfId="375" priority="512" operator="greaterThan">
      <formula>0</formula>
    </cfRule>
  </conditionalFormatting>
  <conditionalFormatting sqref="B41 B43:B72">
    <cfRule type="cellIs" dxfId="374" priority="513" operator="lessThan">
      <formula>0</formula>
    </cfRule>
  </conditionalFormatting>
  <conditionalFormatting sqref="B29">
    <cfRule type="cellIs" dxfId="373" priority="514" operator="greaterThan">
      <formula>0</formula>
    </cfRule>
  </conditionalFormatting>
  <conditionalFormatting sqref="B29">
    <cfRule type="cellIs" dxfId="372" priority="515" operator="lessThan">
      <formula>0</formula>
    </cfRule>
  </conditionalFormatting>
  <conditionalFormatting sqref="AX3">
    <cfRule type="cellIs" dxfId="371" priority="516" operator="greaterThan">
      <formula>0</formula>
    </cfRule>
  </conditionalFormatting>
  <conditionalFormatting sqref="AX3">
    <cfRule type="cellIs" dxfId="370" priority="517" operator="lessThan">
      <formula>0</formula>
    </cfRule>
  </conditionalFormatting>
  <conditionalFormatting sqref="AX4">
    <cfRule type="cellIs" dxfId="369" priority="518" operator="greaterThan">
      <formula>0</formula>
    </cfRule>
  </conditionalFormatting>
  <conditionalFormatting sqref="AX4">
    <cfRule type="cellIs" dxfId="368" priority="519" operator="lessThan">
      <formula>0</formula>
    </cfRule>
  </conditionalFormatting>
  <conditionalFormatting sqref="BD3">
    <cfRule type="cellIs" dxfId="367" priority="520" operator="greaterThan">
      <formula>0</formula>
    </cfRule>
  </conditionalFormatting>
  <conditionalFormatting sqref="BD3">
    <cfRule type="cellIs" dxfId="366" priority="521" operator="lessThan">
      <formula>0</formula>
    </cfRule>
  </conditionalFormatting>
  <conditionalFormatting sqref="T3:T42 AF3:AF42">
    <cfRule type="cellIs" dxfId="365" priority="522" operator="greaterThan">
      <formula>0</formula>
    </cfRule>
  </conditionalFormatting>
  <conditionalFormatting sqref="T3:T42 AF3:AF42">
    <cfRule type="cellIs" dxfId="364" priority="523" operator="lessThan">
      <formula>0</formula>
    </cfRule>
  </conditionalFormatting>
  <conditionalFormatting sqref="Q37">
    <cfRule type="cellIs" dxfId="363" priority="524" operator="lessThan">
      <formula>0</formula>
    </cfRule>
  </conditionalFormatting>
  <conditionalFormatting sqref="Q37">
    <cfRule type="cellIs" dxfId="362" priority="525" operator="greaterThan">
      <formula>0</formula>
    </cfRule>
  </conditionalFormatting>
  <conditionalFormatting sqref="I3:I37">
    <cfRule type="cellIs" dxfId="361" priority="392" operator="lessThan">
      <formula>0</formula>
    </cfRule>
    <cfRule type="cellIs" dxfId="360" priority="393" operator="greaterThan">
      <formula>0</formula>
    </cfRule>
  </conditionalFormatting>
  <conditionalFormatting sqref="I41:I72">
    <cfRule type="cellIs" dxfId="359" priority="390" operator="lessThan">
      <formula>0</formula>
    </cfRule>
    <cfRule type="cellIs" dxfId="358" priority="391" operator="greaterThan">
      <formula>0</formula>
    </cfRule>
  </conditionalFormatting>
  <conditionalFormatting sqref="I76">
    <cfRule type="cellIs" dxfId="357" priority="388" operator="lessThan">
      <formula>0</formula>
    </cfRule>
    <cfRule type="cellIs" dxfId="356" priority="389" operator="greaterThan">
      <formula>0</formula>
    </cfRule>
  </conditionalFormatting>
  <conditionalFormatting sqref="B5:B6">
    <cfRule type="cellIs" dxfId="355" priority="384" operator="greaterThan">
      <formula>0</formula>
    </cfRule>
  </conditionalFormatting>
  <conditionalFormatting sqref="B5:B6">
    <cfRule type="cellIs" dxfId="354" priority="385" operator="lessThan">
      <formula>0</formula>
    </cfRule>
  </conditionalFormatting>
  <conditionalFormatting sqref="B5:B6">
    <cfRule type="cellIs" dxfId="353" priority="386" operator="greaterThan">
      <formula>0</formula>
    </cfRule>
  </conditionalFormatting>
  <conditionalFormatting sqref="B5:B6">
    <cfRule type="cellIs" dxfId="352" priority="387" operator="lessThan">
      <formula>0</formula>
    </cfRule>
  </conditionalFormatting>
  <conditionalFormatting sqref="K4:L4 K7:L7 K10:L10 K13:L13 K16:L16 K19:L19 K22:L22 K25:L25 K28:L28 K31:L31 K34:L34">
    <cfRule type="cellIs" dxfId="351" priority="383" operator="greaterThan">
      <formula>J4</formula>
    </cfRule>
  </conditionalFormatting>
  <conditionalFormatting sqref="AP3:AP8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50" priority="382" operator="greaterThan">
      <formula>0</formula>
    </cfRule>
  </conditionalFormatting>
  <conditionalFormatting sqref="AE43">
    <cfRule type="cellIs" dxfId="349" priority="379" operator="greaterThan">
      <formula>0</formula>
    </cfRule>
  </conditionalFormatting>
  <conditionalFormatting sqref="AE43">
    <cfRule type="cellIs" dxfId="348" priority="380" operator="lessThan">
      <formula>0</formula>
    </cfRule>
  </conditionalFormatting>
  <conditionalFormatting sqref="Q38">
    <cfRule type="cellIs" dxfId="347" priority="378" operator="lessThan">
      <formula>0</formula>
    </cfRule>
  </conditionalFormatting>
  <conditionalFormatting sqref="Q39">
    <cfRule type="cellIs" dxfId="346" priority="377" operator="lessThan">
      <formula>0</formula>
    </cfRule>
  </conditionalFormatting>
  <conditionalFormatting sqref="J4 J7 J10 J13 J16 J19 J22 J25 J28 J31 J34">
    <cfRule type="cellIs" dxfId="345" priority="376" operator="greaterThan">
      <formula>1.49</formula>
    </cfRule>
  </conditionalFormatting>
  <conditionalFormatting sqref="AD3:AD8">
    <cfRule type="cellIs" dxfId="344" priority="375" operator="equal">
      <formula>0</formula>
    </cfRule>
  </conditionalFormatting>
  <conditionalFormatting sqref="AP3:AP8">
    <cfRule type="cellIs" dxfId="343" priority="374" operator="equal">
      <formula>0</formula>
    </cfRule>
  </conditionalFormatting>
  <conditionalFormatting sqref="B42">
    <cfRule type="cellIs" dxfId="342" priority="367" operator="greaterThan">
      <formula>0</formula>
    </cfRule>
  </conditionalFormatting>
  <conditionalFormatting sqref="B42">
    <cfRule type="cellIs" dxfId="341" priority="368" operator="lessThan">
      <formula>0</formula>
    </cfRule>
  </conditionalFormatting>
  <conditionalFormatting sqref="B42">
    <cfRule type="cellIs" dxfId="340" priority="369" operator="greaterThan">
      <formula>0</formula>
    </cfRule>
  </conditionalFormatting>
  <conditionalFormatting sqref="B42">
    <cfRule type="cellIs" dxfId="339" priority="370" operator="lessThan">
      <formula>0</formula>
    </cfRule>
  </conditionalFormatting>
  <conditionalFormatting sqref="B42">
    <cfRule type="cellIs" dxfId="338" priority="371" operator="greaterThan">
      <formula>0</formula>
    </cfRule>
  </conditionalFormatting>
  <conditionalFormatting sqref="B42">
    <cfRule type="cellIs" dxfId="337" priority="372" operator="lessThan">
      <formula>0</formula>
    </cfRule>
  </conditionalFormatting>
  <conditionalFormatting sqref="S3:S42">
    <cfRule type="expression" dxfId="336" priority="366">
      <formula>$O$18-$U3&lt;0</formula>
    </cfRule>
  </conditionalFormatting>
  <conditionalFormatting sqref="AD3:AD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5" priority="527" operator="greaterThan">
      <formula>0</formula>
    </cfRule>
  </conditionalFormatting>
  <conditionalFormatting sqref="S3:S42">
    <cfRule type="expression" dxfId="334" priority="364">
      <formula>$O$18-$U3&gt;0</formula>
    </cfRule>
  </conditionalFormatting>
  <conditionalFormatting sqref="AA3:AA8">
    <cfRule type="cellIs" dxfId="333" priority="362" operator="lessThan">
      <formula>V3</formula>
    </cfRule>
    <cfRule type="cellIs" dxfId="332" priority="363" operator="equal">
      <formula>0</formula>
    </cfRule>
  </conditionalFormatting>
  <conditionalFormatting sqref="BD5">
    <cfRule type="cellIs" dxfId="331" priority="358" operator="greaterThan">
      <formula>0</formula>
    </cfRule>
  </conditionalFormatting>
  <conditionalFormatting sqref="BD5">
    <cfRule type="cellIs" dxfId="330" priority="359" operator="lessThan">
      <formula>0</formula>
    </cfRule>
  </conditionalFormatting>
  <conditionalFormatting sqref="BD4">
    <cfRule type="cellIs" dxfId="329" priority="356" operator="greaterThan">
      <formula>0</formula>
    </cfRule>
  </conditionalFormatting>
  <conditionalFormatting sqref="BD4">
    <cfRule type="cellIs" dxfId="328" priority="357" operator="lessThan">
      <formula>0</formula>
    </cfRule>
  </conditionalFormatting>
  <conditionalFormatting sqref="AE3:AE42">
    <cfRule type="expression" dxfId="327" priority="355">
      <formula>$O$18-$AG3&gt;0</formula>
    </cfRule>
  </conditionalFormatting>
  <conditionalFormatting sqref="AE3:AE42">
    <cfRule type="expression" dxfId="326" priority="354">
      <formula>$O$18-$AG3&lt;0</formula>
    </cfRule>
  </conditionalFormatting>
  <conditionalFormatting sqref="P3:P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">
    <cfRule type="cellIs" dxfId="325" priority="352" operator="equal">
      <formula>0</formula>
    </cfRule>
  </conditionalFormatting>
  <conditionalFormatting sqref="B14">
    <cfRule type="cellIs" dxfId="324" priority="345" operator="greaterThan">
      <formula>0</formula>
    </cfRule>
  </conditionalFormatting>
  <conditionalFormatting sqref="B14">
    <cfRule type="cellIs" dxfId="323" priority="346" operator="lessThan">
      <formula>0</formula>
    </cfRule>
  </conditionalFormatting>
  <conditionalFormatting sqref="B14">
    <cfRule type="cellIs" dxfId="322" priority="347" operator="greaterThan">
      <formula>0</formula>
    </cfRule>
  </conditionalFormatting>
  <conditionalFormatting sqref="B14">
    <cfRule type="cellIs" dxfId="321" priority="348" operator="lessThan">
      <formula>0</formula>
    </cfRule>
  </conditionalFormatting>
  <conditionalFormatting sqref="B13">
    <cfRule type="cellIs" dxfId="320" priority="341" operator="greaterThan">
      <formula>0</formula>
    </cfRule>
  </conditionalFormatting>
  <conditionalFormatting sqref="B13">
    <cfRule type="cellIs" dxfId="319" priority="342" operator="lessThan">
      <formula>0</formula>
    </cfRule>
  </conditionalFormatting>
  <conditionalFormatting sqref="B13">
    <cfRule type="cellIs" dxfId="318" priority="343" operator="greaterThan">
      <formula>0</formula>
    </cfRule>
  </conditionalFormatting>
  <conditionalFormatting sqref="B13">
    <cfRule type="cellIs" dxfId="317" priority="344" operator="lessThan">
      <formula>0</formula>
    </cfRule>
  </conditionalFormatting>
  <conditionalFormatting sqref="B17:B18">
    <cfRule type="cellIs" dxfId="316" priority="337" operator="greaterThan">
      <formula>0</formula>
    </cfRule>
  </conditionalFormatting>
  <conditionalFormatting sqref="B17:B18">
    <cfRule type="cellIs" dxfId="315" priority="338" operator="lessThan">
      <formula>0</formula>
    </cfRule>
  </conditionalFormatting>
  <conditionalFormatting sqref="B17:B18">
    <cfRule type="cellIs" dxfId="314" priority="339" operator="greaterThan">
      <formula>0</formula>
    </cfRule>
  </conditionalFormatting>
  <conditionalFormatting sqref="B17:B18">
    <cfRule type="cellIs" dxfId="313" priority="340" operator="lessThan">
      <formula>0</formula>
    </cfRule>
  </conditionalFormatting>
  <conditionalFormatting sqref="B13:B14">
    <cfRule type="cellIs" dxfId="312" priority="333" operator="greaterThan">
      <formula>0</formula>
    </cfRule>
  </conditionalFormatting>
  <conditionalFormatting sqref="B13:B14">
    <cfRule type="cellIs" dxfId="311" priority="334" operator="lessThan">
      <formula>0</formula>
    </cfRule>
  </conditionalFormatting>
  <conditionalFormatting sqref="B13:B14">
    <cfRule type="cellIs" dxfId="310" priority="335" operator="greaterThan">
      <formula>0</formula>
    </cfRule>
  </conditionalFormatting>
  <conditionalFormatting sqref="B13:B14">
    <cfRule type="cellIs" dxfId="309" priority="336" operator="lessThan">
      <formula>0</formula>
    </cfRule>
  </conditionalFormatting>
  <conditionalFormatting sqref="B5:B6">
    <cfRule type="cellIs" dxfId="308" priority="329" operator="greaterThan">
      <formula>0</formula>
    </cfRule>
  </conditionalFormatting>
  <conditionalFormatting sqref="B5:B6">
    <cfRule type="cellIs" dxfId="307" priority="330" operator="lessThan">
      <formula>0</formula>
    </cfRule>
  </conditionalFormatting>
  <conditionalFormatting sqref="B5:B6">
    <cfRule type="cellIs" dxfId="306" priority="331" operator="greaterThan">
      <formula>0</formula>
    </cfRule>
  </conditionalFormatting>
  <conditionalFormatting sqref="B5:B6">
    <cfRule type="cellIs" dxfId="305" priority="332" operator="lessThan">
      <formula>0</formula>
    </cfRule>
  </conditionalFormatting>
  <conditionalFormatting sqref="B12">
    <cfRule type="cellIs" dxfId="304" priority="269" operator="greaterThan">
      <formula>0</formula>
    </cfRule>
  </conditionalFormatting>
  <conditionalFormatting sqref="B12">
    <cfRule type="cellIs" dxfId="303" priority="270" operator="lessThan">
      <formula>0</formula>
    </cfRule>
  </conditionalFormatting>
  <conditionalFormatting sqref="B12">
    <cfRule type="cellIs" dxfId="302" priority="271" operator="greaterThan">
      <formula>0</formula>
    </cfRule>
  </conditionalFormatting>
  <conditionalFormatting sqref="B12">
    <cfRule type="cellIs" dxfId="301" priority="272" operator="lessThan">
      <formula>0</formula>
    </cfRule>
  </conditionalFormatting>
  <conditionalFormatting sqref="B15:B16">
    <cfRule type="cellIs" dxfId="300" priority="325" operator="greaterThan">
      <formula>0</formula>
    </cfRule>
  </conditionalFormatting>
  <conditionalFormatting sqref="B15:B16">
    <cfRule type="cellIs" dxfId="299" priority="326" operator="lessThan">
      <formula>0</formula>
    </cfRule>
  </conditionalFormatting>
  <conditionalFormatting sqref="B15:B16">
    <cfRule type="cellIs" dxfId="298" priority="327" operator="greaterThan">
      <formula>0</formula>
    </cfRule>
  </conditionalFormatting>
  <conditionalFormatting sqref="B15:B16">
    <cfRule type="cellIs" dxfId="297" priority="328" operator="lessThan">
      <formula>0</formula>
    </cfRule>
  </conditionalFormatting>
  <conditionalFormatting sqref="B16">
    <cfRule type="cellIs" dxfId="296" priority="321" operator="greaterThan">
      <formula>0</formula>
    </cfRule>
  </conditionalFormatting>
  <conditionalFormatting sqref="B16">
    <cfRule type="cellIs" dxfId="295" priority="322" operator="lessThan">
      <formula>0</formula>
    </cfRule>
  </conditionalFormatting>
  <conditionalFormatting sqref="B16">
    <cfRule type="cellIs" dxfId="294" priority="323" operator="greaterThan">
      <formula>0</formula>
    </cfRule>
  </conditionalFormatting>
  <conditionalFormatting sqref="B16">
    <cfRule type="cellIs" dxfId="293" priority="324" operator="lessThan">
      <formula>0</formula>
    </cfRule>
  </conditionalFormatting>
  <conditionalFormatting sqref="B16">
    <cfRule type="cellIs" dxfId="292" priority="317" operator="greaterThan">
      <formula>0</formula>
    </cfRule>
  </conditionalFormatting>
  <conditionalFormatting sqref="B16">
    <cfRule type="cellIs" dxfId="291" priority="318" operator="lessThan">
      <formula>0</formula>
    </cfRule>
  </conditionalFormatting>
  <conditionalFormatting sqref="B16">
    <cfRule type="cellIs" dxfId="290" priority="319" operator="greaterThan">
      <formula>0</formula>
    </cfRule>
  </conditionalFormatting>
  <conditionalFormatting sqref="B16">
    <cfRule type="cellIs" dxfId="289" priority="320" operator="lessThan">
      <formula>0</formula>
    </cfRule>
  </conditionalFormatting>
  <conditionalFormatting sqref="B15">
    <cfRule type="cellIs" dxfId="288" priority="313" operator="greaterThan">
      <formula>0</formula>
    </cfRule>
  </conditionalFormatting>
  <conditionalFormatting sqref="B15">
    <cfRule type="cellIs" dxfId="287" priority="314" operator="lessThan">
      <formula>0</formula>
    </cfRule>
  </conditionalFormatting>
  <conditionalFormatting sqref="B15">
    <cfRule type="cellIs" dxfId="286" priority="315" operator="greaterThan">
      <formula>0</formula>
    </cfRule>
  </conditionalFormatting>
  <conditionalFormatting sqref="B15">
    <cfRule type="cellIs" dxfId="285" priority="316" operator="lessThan">
      <formula>0</formula>
    </cfRule>
  </conditionalFormatting>
  <conditionalFormatting sqref="B15:B16">
    <cfRule type="cellIs" dxfId="284" priority="309" operator="greaterThan">
      <formula>0</formula>
    </cfRule>
  </conditionalFormatting>
  <conditionalFormatting sqref="B15:B16">
    <cfRule type="cellIs" dxfId="283" priority="310" operator="lessThan">
      <formula>0</formula>
    </cfRule>
  </conditionalFormatting>
  <conditionalFormatting sqref="B15:B16">
    <cfRule type="cellIs" dxfId="282" priority="311" operator="greaterThan">
      <formula>0</formula>
    </cfRule>
  </conditionalFormatting>
  <conditionalFormatting sqref="B15:B16">
    <cfRule type="cellIs" dxfId="281" priority="312" operator="lessThan">
      <formula>0</formula>
    </cfRule>
  </conditionalFormatting>
  <conditionalFormatting sqref="B15:B16">
    <cfRule type="cellIs" dxfId="280" priority="305" operator="greaterThan">
      <formula>0</formula>
    </cfRule>
  </conditionalFormatting>
  <conditionalFormatting sqref="B15:B16">
    <cfRule type="cellIs" dxfId="279" priority="306" operator="lessThan">
      <formula>0</formula>
    </cfRule>
  </conditionalFormatting>
  <conditionalFormatting sqref="B15:B16">
    <cfRule type="cellIs" dxfId="278" priority="307" operator="greaterThan">
      <formula>0</formula>
    </cfRule>
  </conditionalFormatting>
  <conditionalFormatting sqref="B15:B16">
    <cfRule type="cellIs" dxfId="277" priority="308" operator="lessThan">
      <formula>0</formula>
    </cfRule>
  </conditionalFormatting>
  <conditionalFormatting sqref="B11:B12">
    <cfRule type="cellIs" dxfId="276" priority="301" operator="greaterThan">
      <formula>0</formula>
    </cfRule>
  </conditionalFormatting>
  <conditionalFormatting sqref="B11:B12">
    <cfRule type="cellIs" dxfId="275" priority="302" operator="lessThan">
      <formula>0</formula>
    </cfRule>
  </conditionalFormatting>
  <conditionalFormatting sqref="B11:B12">
    <cfRule type="cellIs" dxfId="274" priority="303" operator="greaterThan">
      <formula>0</formula>
    </cfRule>
  </conditionalFormatting>
  <conditionalFormatting sqref="B11:B12">
    <cfRule type="cellIs" dxfId="273" priority="304" operator="lessThan">
      <formula>0</formula>
    </cfRule>
  </conditionalFormatting>
  <conditionalFormatting sqref="B11">
    <cfRule type="cellIs" dxfId="272" priority="297" operator="greaterThan">
      <formula>0</formula>
    </cfRule>
  </conditionalFormatting>
  <conditionalFormatting sqref="B11">
    <cfRule type="cellIs" dxfId="271" priority="298" operator="lessThan">
      <formula>0</formula>
    </cfRule>
  </conditionalFormatting>
  <conditionalFormatting sqref="B11">
    <cfRule type="cellIs" dxfId="270" priority="299" operator="greaterThan">
      <formula>0</formula>
    </cfRule>
  </conditionalFormatting>
  <conditionalFormatting sqref="B11">
    <cfRule type="cellIs" dxfId="269" priority="300" operator="lessThan">
      <formula>0</formula>
    </cfRule>
  </conditionalFormatting>
  <conditionalFormatting sqref="B12">
    <cfRule type="cellIs" dxfId="268" priority="293" operator="greaterThan">
      <formula>0</formula>
    </cfRule>
  </conditionalFormatting>
  <conditionalFormatting sqref="B12">
    <cfRule type="cellIs" dxfId="267" priority="294" operator="lessThan">
      <formula>0</formula>
    </cfRule>
  </conditionalFormatting>
  <conditionalFormatting sqref="B12">
    <cfRule type="cellIs" dxfId="266" priority="295" operator="greaterThan">
      <formula>0</formula>
    </cfRule>
  </conditionalFormatting>
  <conditionalFormatting sqref="B12">
    <cfRule type="cellIs" dxfId="265" priority="296" operator="lessThan">
      <formula>0</formula>
    </cfRule>
  </conditionalFormatting>
  <conditionalFormatting sqref="B5:B6">
    <cfRule type="cellIs" dxfId="264" priority="289" operator="greaterThan">
      <formula>0</formula>
    </cfRule>
  </conditionalFormatting>
  <conditionalFormatting sqref="B5:B6">
    <cfRule type="cellIs" dxfId="263" priority="290" operator="lessThan">
      <formula>0</formula>
    </cfRule>
  </conditionalFormatting>
  <conditionalFormatting sqref="B5:B6">
    <cfRule type="cellIs" dxfId="262" priority="291" operator="greaterThan">
      <formula>0</formula>
    </cfRule>
  </conditionalFormatting>
  <conditionalFormatting sqref="B5:B6">
    <cfRule type="cellIs" dxfId="261" priority="292" operator="lessThan">
      <formula>0</formula>
    </cfRule>
  </conditionalFormatting>
  <conditionalFormatting sqref="B5:B6">
    <cfRule type="cellIs" dxfId="260" priority="285" operator="greaterThan">
      <formula>0</formula>
    </cfRule>
  </conditionalFormatting>
  <conditionalFormatting sqref="B5:B6">
    <cfRule type="cellIs" dxfId="259" priority="286" operator="lessThan">
      <formula>0</formula>
    </cfRule>
  </conditionalFormatting>
  <conditionalFormatting sqref="B5:B6">
    <cfRule type="cellIs" dxfId="258" priority="287" operator="greaterThan">
      <formula>0</formula>
    </cfRule>
  </conditionalFormatting>
  <conditionalFormatting sqref="B5:B6">
    <cfRule type="cellIs" dxfId="257" priority="288" operator="lessThan">
      <formula>0</formula>
    </cfRule>
  </conditionalFormatting>
  <conditionalFormatting sqref="B5:B6">
    <cfRule type="cellIs" dxfId="256" priority="281" operator="greaterThan">
      <formula>0</formula>
    </cfRule>
  </conditionalFormatting>
  <conditionalFormatting sqref="B5:B6">
    <cfRule type="cellIs" dxfId="255" priority="282" operator="lessThan">
      <formula>0</formula>
    </cfRule>
  </conditionalFormatting>
  <conditionalFormatting sqref="B5:B6">
    <cfRule type="cellIs" dxfId="254" priority="283" operator="greaterThan">
      <formula>0</formula>
    </cfRule>
  </conditionalFormatting>
  <conditionalFormatting sqref="B5:B6">
    <cfRule type="cellIs" dxfId="253" priority="284" operator="lessThan">
      <formula>0</formula>
    </cfRule>
  </conditionalFormatting>
  <conditionalFormatting sqref="B11:B12">
    <cfRule type="cellIs" dxfId="252" priority="277" operator="greaterThan">
      <formula>0</formula>
    </cfRule>
  </conditionalFormatting>
  <conditionalFormatting sqref="B11:B12">
    <cfRule type="cellIs" dxfId="251" priority="278" operator="lessThan">
      <formula>0</formula>
    </cfRule>
  </conditionalFormatting>
  <conditionalFormatting sqref="B11:B12">
    <cfRule type="cellIs" dxfId="250" priority="279" operator="greaterThan">
      <formula>0</formula>
    </cfRule>
  </conditionalFormatting>
  <conditionalFormatting sqref="B11:B12">
    <cfRule type="cellIs" dxfId="249" priority="280" operator="lessThan">
      <formula>0</formula>
    </cfRule>
  </conditionalFormatting>
  <conditionalFormatting sqref="B12">
    <cfRule type="cellIs" dxfId="248" priority="273" operator="greaterThan">
      <formula>0</formula>
    </cfRule>
  </conditionalFormatting>
  <conditionalFormatting sqref="B12">
    <cfRule type="cellIs" dxfId="247" priority="274" operator="lessThan">
      <formula>0</formula>
    </cfRule>
  </conditionalFormatting>
  <conditionalFormatting sqref="B12">
    <cfRule type="cellIs" dxfId="246" priority="275" operator="greaterThan">
      <formula>0</formula>
    </cfRule>
  </conditionalFormatting>
  <conditionalFormatting sqref="B12">
    <cfRule type="cellIs" dxfId="245" priority="276" operator="lessThan">
      <formula>0</formula>
    </cfRule>
  </conditionalFormatting>
  <conditionalFormatting sqref="B11">
    <cfRule type="cellIs" dxfId="244" priority="265" operator="greaterThan">
      <formula>0</formula>
    </cfRule>
  </conditionalFormatting>
  <conditionalFormatting sqref="B11">
    <cfRule type="cellIs" dxfId="243" priority="266" operator="lessThan">
      <formula>0</formula>
    </cfRule>
  </conditionalFormatting>
  <conditionalFormatting sqref="B11">
    <cfRule type="cellIs" dxfId="242" priority="267" operator="greaterThan">
      <formula>0</formula>
    </cfRule>
  </conditionalFormatting>
  <conditionalFormatting sqref="B11">
    <cfRule type="cellIs" dxfId="241" priority="268" operator="lessThan">
      <formula>0</formula>
    </cfRule>
  </conditionalFormatting>
  <conditionalFormatting sqref="B11:B12">
    <cfRule type="cellIs" dxfId="240" priority="261" operator="greaterThan">
      <formula>0</formula>
    </cfRule>
  </conditionalFormatting>
  <conditionalFormatting sqref="B11:B12">
    <cfRule type="cellIs" dxfId="239" priority="262" operator="lessThan">
      <formula>0</formula>
    </cfRule>
  </conditionalFormatting>
  <conditionalFormatting sqref="B11:B12">
    <cfRule type="cellIs" dxfId="238" priority="263" operator="greaterThan">
      <formula>0</formula>
    </cfRule>
  </conditionalFormatting>
  <conditionalFormatting sqref="B11:B12">
    <cfRule type="cellIs" dxfId="237" priority="264" operator="lessThan">
      <formula>0</formula>
    </cfRule>
  </conditionalFormatting>
  <conditionalFormatting sqref="B11:B12">
    <cfRule type="cellIs" dxfId="236" priority="257" operator="greaterThan">
      <formula>0</formula>
    </cfRule>
  </conditionalFormatting>
  <conditionalFormatting sqref="B11:B12">
    <cfRule type="cellIs" dxfId="235" priority="258" operator="lessThan">
      <formula>0</formula>
    </cfRule>
  </conditionalFormatting>
  <conditionalFormatting sqref="B11:B12">
    <cfRule type="cellIs" dxfId="234" priority="259" operator="greaterThan">
      <formula>0</formula>
    </cfRule>
  </conditionalFormatting>
  <conditionalFormatting sqref="B11:B12">
    <cfRule type="cellIs" dxfId="233" priority="260" operator="lessThan">
      <formula>0</formula>
    </cfRule>
  </conditionalFormatting>
  <conditionalFormatting sqref="B40">
    <cfRule type="cellIs" dxfId="232" priority="251" operator="greaterThan">
      <formula>0</formula>
    </cfRule>
  </conditionalFormatting>
  <conditionalFormatting sqref="B40">
    <cfRule type="cellIs" dxfId="231" priority="252" operator="lessThan">
      <formula>0</formula>
    </cfRule>
  </conditionalFormatting>
  <conditionalFormatting sqref="B40">
    <cfRule type="cellIs" dxfId="230" priority="253" operator="greaterThan">
      <formula>0</formula>
    </cfRule>
  </conditionalFormatting>
  <conditionalFormatting sqref="B40">
    <cfRule type="cellIs" dxfId="229" priority="254" operator="lessThan">
      <formula>0</formula>
    </cfRule>
  </conditionalFormatting>
  <conditionalFormatting sqref="B40">
    <cfRule type="cellIs" dxfId="228" priority="255" operator="greaterThan">
      <formula>0</formula>
    </cfRule>
  </conditionalFormatting>
  <conditionalFormatting sqref="B40">
    <cfRule type="cellIs" dxfId="227" priority="256" operator="lessThan">
      <formula>0</formula>
    </cfRule>
  </conditionalFormatting>
  <conditionalFormatting sqref="I38:I40">
    <cfRule type="cellIs" dxfId="226" priority="249" operator="lessThan">
      <formula>0</formula>
    </cfRule>
    <cfRule type="cellIs" dxfId="225" priority="250" operator="greaterThan">
      <formula>0</formula>
    </cfRule>
  </conditionalFormatting>
  <conditionalFormatting sqref="B38">
    <cfRule type="cellIs" dxfId="224" priority="243" operator="greaterThan">
      <formula>0</formula>
    </cfRule>
  </conditionalFormatting>
  <conditionalFormatting sqref="B38">
    <cfRule type="cellIs" dxfId="223" priority="244" operator="lessThan">
      <formula>0</formula>
    </cfRule>
  </conditionalFormatting>
  <conditionalFormatting sqref="B38">
    <cfRule type="cellIs" dxfId="222" priority="245" operator="greaterThan">
      <formula>0</formula>
    </cfRule>
  </conditionalFormatting>
  <conditionalFormatting sqref="B38">
    <cfRule type="cellIs" dxfId="221" priority="246" operator="lessThan">
      <formula>0</formula>
    </cfRule>
  </conditionalFormatting>
  <conditionalFormatting sqref="B38">
    <cfRule type="cellIs" dxfId="220" priority="247" operator="greaterThan">
      <formula>0</formula>
    </cfRule>
  </conditionalFormatting>
  <conditionalFormatting sqref="B38">
    <cfRule type="cellIs" dxfId="219" priority="248" operator="lessThan">
      <formula>0</formula>
    </cfRule>
  </conditionalFormatting>
  <conditionalFormatting sqref="B39">
    <cfRule type="cellIs" dxfId="218" priority="237" operator="greaterThan">
      <formula>0</formula>
    </cfRule>
  </conditionalFormatting>
  <conditionalFormatting sqref="B39">
    <cfRule type="cellIs" dxfId="217" priority="238" operator="lessThan">
      <formula>0</formula>
    </cfRule>
  </conditionalFormatting>
  <conditionalFormatting sqref="B39">
    <cfRule type="cellIs" dxfId="216" priority="239" operator="greaterThan">
      <formula>0</formula>
    </cfRule>
  </conditionalFormatting>
  <conditionalFormatting sqref="B39">
    <cfRule type="cellIs" dxfId="215" priority="240" operator="lessThan">
      <formula>0</formula>
    </cfRule>
  </conditionalFormatting>
  <conditionalFormatting sqref="B39">
    <cfRule type="cellIs" dxfId="214" priority="241" operator="greaterThan">
      <formula>0</formula>
    </cfRule>
  </conditionalFormatting>
  <conditionalFormatting sqref="B39">
    <cfRule type="cellIs" dxfId="213" priority="242" operator="lessThan">
      <formula>0</formula>
    </cfRule>
  </conditionalFormatting>
  <conditionalFormatting sqref="B31:B34 B37">
    <cfRule type="cellIs" dxfId="212" priority="233" operator="greaterThan">
      <formula>0</formula>
    </cfRule>
  </conditionalFormatting>
  <conditionalFormatting sqref="B31:B34 B37">
    <cfRule type="cellIs" dxfId="211" priority="234" operator="lessThan">
      <formula>0</formula>
    </cfRule>
  </conditionalFormatting>
  <conditionalFormatting sqref="B31:B34 B37">
    <cfRule type="cellIs" dxfId="210" priority="235" operator="greaterThan">
      <formula>0</formula>
    </cfRule>
  </conditionalFormatting>
  <conditionalFormatting sqref="B31:B34 B37">
    <cfRule type="cellIs" dxfId="209" priority="236" operator="lessThan">
      <formula>0</formula>
    </cfRule>
  </conditionalFormatting>
  <conditionalFormatting sqref="B35:B36">
    <cfRule type="cellIs" dxfId="208" priority="225" operator="greaterThan">
      <formula>0</formula>
    </cfRule>
  </conditionalFormatting>
  <conditionalFormatting sqref="B35:B36">
    <cfRule type="cellIs" dxfId="207" priority="226" operator="lessThan">
      <formula>0</formula>
    </cfRule>
  </conditionalFormatting>
  <conditionalFormatting sqref="B35:B36">
    <cfRule type="cellIs" dxfId="206" priority="227" operator="greaterThan">
      <formula>0</formula>
    </cfRule>
  </conditionalFormatting>
  <conditionalFormatting sqref="B35:B36">
    <cfRule type="cellIs" dxfId="205" priority="228" operator="lessThan">
      <formula>0</formula>
    </cfRule>
  </conditionalFormatting>
  <conditionalFormatting sqref="B36">
    <cfRule type="cellIs" dxfId="204" priority="229" operator="greaterThan">
      <formula>0</formula>
    </cfRule>
  </conditionalFormatting>
  <conditionalFormatting sqref="B36">
    <cfRule type="cellIs" dxfId="203" priority="230" operator="lessThan">
      <formula>0</formula>
    </cfRule>
  </conditionalFormatting>
  <conditionalFormatting sqref="B35">
    <cfRule type="cellIs" dxfId="202" priority="231" operator="greaterThan">
      <formula>0</formula>
    </cfRule>
  </conditionalFormatting>
  <conditionalFormatting sqref="B35">
    <cfRule type="cellIs" dxfId="201" priority="232" operator="lessThan">
      <formula>0</formula>
    </cfRule>
  </conditionalFormatting>
  <conditionalFormatting sqref="K39 K41 K43 K45 K47 K49 K51 K53 K55 K57 K59 K61 K63 K65 K67 K69 K71">
    <cfRule type="cellIs" dxfId="200" priority="224" operator="greaterThan">
      <formula>J39</formula>
    </cfRule>
  </conditionalFormatting>
  <conditionalFormatting sqref="J39 J41 J43 J45 J47 J49 J51 J53 J55 J57 J59 J61 J63 J65 J67 J69 J71">
    <cfRule type="cellIs" dxfId="199" priority="223" operator="greaterThan">
      <formula>1.49</formula>
    </cfRule>
  </conditionalFormatting>
  <conditionalFormatting sqref="L39 L41 L43 L45 L47 L49 L51 L53 L55 L57 L59 L61 L63 L65 L67 L69 L71">
    <cfRule type="cellIs" dxfId="198" priority="222" operator="greaterThan">
      <formula>K39</formula>
    </cfRule>
  </conditionalFormatting>
  <conditionalFormatting sqref="B4">
    <cfRule type="cellIs" dxfId="197" priority="215" operator="greaterThan">
      <formula>0</formula>
    </cfRule>
  </conditionalFormatting>
  <conditionalFormatting sqref="B4">
    <cfRule type="cellIs" dxfId="196" priority="216" operator="lessThan">
      <formula>0</formula>
    </cfRule>
  </conditionalFormatting>
  <conditionalFormatting sqref="B4">
    <cfRule type="cellIs" dxfId="195" priority="217" operator="greaterThan">
      <formula>0</formula>
    </cfRule>
  </conditionalFormatting>
  <conditionalFormatting sqref="B4">
    <cfRule type="cellIs" dxfId="194" priority="218" operator="lessThan">
      <formula>0</formula>
    </cfRule>
  </conditionalFormatting>
  <conditionalFormatting sqref="B4">
    <cfRule type="cellIs" dxfId="193" priority="211" operator="greaterThan">
      <formula>0</formula>
    </cfRule>
  </conditionalFormatting>
  <conditionalFormatting sqref="B4">
    <cfRule type="cellIs" dxfId="192" priority="212" operator="lessThan">
      <formula>0</formula>
    </cfRule>
  </conditionalFormatting>
  <conditionalFormatting sqref="B4">
    <cfRule type="cellIs" dxfId="191" priority="213" operator="greaterThan">
      <formula>0</formula>
    </cfRule>
  </conditionalFormatting>
  <conditionalFormatting sqref="B4">
    <cfRule type="cellIs" dxfId="190" priority="214" operator="lessThan">
      <formula>0</formula>
    </cfRule>
  </conditionalFormatting>
  <conditionalFormatting sqref="B4">
    <cfRule type="cellIs" dxfId="189" priority="207" operator="greaterThan">
      <formula>0</formula>
    </cfRule>
  </conditionalFormatting>
  <conditionalFormatting sqref="B4">
    <cfRule type="cellIs" dxfId="188" priority="208" operator="lessThan">
      <formula>0</formula>
    </cfRule>
  </conditionalFormatting>
  <conditionalFormatting sqref="B4">
    <cfRule type="cellIs" dxfId="187" priority="209" operator="greaterThan">
      <formula>0</formula>
    </cfRule>
  </conditionalFormatting>
  <conditionalFormatting sqref="B4">
    <cfRule type="cellIs" dxfId="186" priority="210" operator="lessThan">
      <formula>0</formula>
    </cfRule>
  </conditionalFormatting>
  <conditionalFormatting sqref="B4">
    <cfRule type="cellIs" dxfId="185" priority="203" operator="greaterThan">
      <formula>0</formula>
    </cfRule>
  </conditionalFormatting>
  <conditionalFormatting sqref="B4">
    <cfRule type="cellIs" dxfId="184" priority="204" operator="lessThan">
      <formula>0</formula>
    </cfRule>
  </conditionalFormatting>
  <conditionalFormatting sqref="B4">
    <cfRule type="cellIs" dxfId="183" priority="205" operator="greaterThan">
      <formula>0</formula>
    </cfRule>
  </conditionalFormatting>
  <conditionalFormatting sqref="B4">
    <cfRule type="cellIs" dxfId="182" priority="206" operator="lessThan">
      <formula>0</formula>
    </cfRule>
  </conditionalFormatting>
  <conditionalFormatting sqref="B4">
    <cfRule type="cellIs" dxfId="181" priority="199" operator="greaterThan">
      <formula>0</formula>
    </cfRule>
  </conditionalFormatting>
  <conditionalFormatting sqref="B4">
    <cfRule type="cellIs" dxfId="180" priority="200" operator="lessThan">
      <formula>0</formula>
    </cfRule>
  </conditionalFormatting>
  <conditionalFormatting sqref="B4">
    <cfRule type="cellIs" dxfId="179" priority="201" operator="greaterThan">
      <formula>0</formula>
    </cfRule>
  </conditionalFormatting>
  <conditionalFormatting sqref="B4">
    <cfRule type="cellIs" dxfId="178" priority="202" operator="lessThan">
      <formula>0</formula>
    </cfRule>
  </conditionalFormatting>
  <conditionalFormatting sqref="B4">
    <cfRule type="cellIs" dxfId="177" priority="195" operator="greaterThan">
      <formula>0</formula>
    </cfRule>
  </conditionalFormatting>
  <conditionalFormatting sqref="B4">
    <cfRule type="cellIs" dxfId="176" priority="196" operator="lessThan">
      <formula>0</formula>
    </cfRule>
  </conditionalFormatting>
  <conditionalFormatting sqref="B4">
    <cfRule type="cellIs" dxfId="175" priority="197" operator="greaterThan">
      <formula>0</formula>
    </cfRule>
  </conditionalFormatting>
  <conditionalFormatting sqref="B4">
    <cfRule type="cellIs" dxfId="174" priority="198" operator="lessThan">
      <formula>0</formula>
    </cfRule>
  </conditionalFormatting>
  <conditionalFormatting sqref="B4">
    <cfRule type="cellIs" dxfId="173" priority="191" operator="greaterThan">
      <formula>0</formula>
    </cfRule>
  </conditionalFormatting>
  <conditionalFormatting sqref="B4">
    <cfRule type="cellIs" dxfId="172" priority="192" operator="lessThan">
      <formula>0</formula>
    </cfRule>
  </conditionalFormatting>
  <conditionalFormatting sqref="B4">
    <cfRule type="cellIs" dxfId="171" priority="193" operator="greaterThan">
      <formula>0</formula>
    </cfRule>
  </conditionalFormatting>
  <conditionalFormatting sqref="B4">
    <cfRule type="cellIs" dxfId="170" priority="194" operator="lessThan">
      <formula>0</formula>
    </cfRule>
  </conditionalFormatting>
  <conditionalFormatting sqref="B4">
    <cfRule type="cellIs" dxfId="169" priority="187" operator="greaterThan">
      <formula>0</formula>
    </cfRule>
  </conditionalFormatting>
  <conditionalFormatting sqref="B4">
    <cfRule type="cellIs" dxfId="168" priority="188" operator="lessThan">
      <formula>0</formula>
    </cfRule>
  </conditionalFormatting>
  <conditionalFormatting sqref="B4">
    <cfRule type="cellIs" dxfId="167" priority="189" operator="greaterThan">
      <formula>0</formula>
    </cfRule>
  </conditionalFormatting>
  <conditionalFormatting sqref="B4">
    <cfRule type="cellIs" dxfId="166" priority="190" operator="lessThan">
      <formula>0</formula>
    </cfRule>
  </conditionalFormatting>
  <conditionalFormatting sqref="B4">
    <cfRule type="cellIs" dxfId="165" priority="183" operator="greaterThan">
      <formula>0</formula>
    </cfRule>
  </conditionalFormatting>
  <conditionalFormatting sqref="B4">
    <cfRule type="cellIs" dxfId="164" priority="184" operator="lessThan">
      <formula>0</formula>
    </cfRule>
  </conditionalFormatting>
  <conditionalFormatting sqref="B4">
    <cfRule type="cellIs" dxfId="163" priority="185" operator="greaterThan">
      <formula>0</formula>
    </cfRule>
  </conditionalFormatting>
  <conditionalFormatting sqref="B4">
    <cfRule type="cellIs" dxfId="162" priority="186" operator="lessThan">
      <formula>0</formula>
    </cfRule>
  </conditionalFormatting>
  <conditionalFormatting sqref="B8">
    <cfRule type="cellIs" dxfId="161" priority="179" operator="greaterThan">
      <formula>0</formula>
    </cfRule>
  </conditionalFormatting>
  <conditionalFormatting sqref="B8">
    <cfRule type="cellIs" dxfId="160" priority="180" operator="lessThan">
      <formula>0</formula>
    </cfRule>
  </conditionalFormatting>
  <conditionalFormatting sqref="B8">
    <cfRule type="cellIs" dxfId="159" priority="181" operator="greaterThan">
      <formula>0</formula>
    </cfRule>
  </conditionalFormatting>
  <conditionalFormatting sqref="B8">
    <cfRule type="cellIs" dxfId="158" priority="182" operator="lessThan">
      <formula>0</formula>
    </cfRule>
  </conditionalFormatting>
  <conditionalFormatting sqref="B8">
    <cfRule type="cellIs" dxfId="157" priority="175" operator="greaterThan">
      <formula>0</formula>
    </cfRule>
  </conditionalFormatting>
  <conditionalFormatting sqref="B8">
    <cfRule type="cellIs" dxfId="156" priority="176" operator="lessThan">
      <formula>0</formula>
    </cfRule>
  </conditionalFormatting>
  <conditionalFormatting sqref="B8">
    <cfRule type="cellIs" dxfId="155" priority="177" operator="greaterThan">
      <formula>0</formula>
    </cfRule>
  </conditionalFormatting>
  <conditionalFormatting sqref="B8">
    <cfRule type="cellIs" dxfId="154" priority="178" operator="lessThan">
      <formula>0</formula>
    </cfRule>
  </conditionalFormatting>
  <conditionalFormatting sqref="B6:B7">
    <cfRule type="cellIs" dxfId="153" priority="131" operator="greaterThan">
      <formula>0</formula>
    </cfRule>
  </conditionalFormatting>
  <conditionalFormatting sqref="B6:B7">
    <cfRule type="cellIs" dxfId="152" priority="132" operator="lessThan">
      <formula>0</formula>
    </cfRule>
  </conditionalFormatting>
  <conditionalFormatting sqref="B6:B7">
    <cfRule type="cellIs" dxfId="151" priority="133" operator="greaterThan">
      <formula>0</formula>
    </cfRule>
  </conditionalFormatting>
  <conditionalFormatting sqref="B6:B7">
    <cfRule type="cellIs" dxfId="150" priority="134" operator="lessThan">
      <formula>0</formula>
    </cfRule>
  </conditionalFormatting>
  <conditionalFormatting sqref="B9:B10">
    <cfRule type="cellIs" dxfId="149" priority="171" operator="greaterThan">
      <formula>0</formula>
    </cfRule>
  </conditionalFormatting>
  <conditionalFormatting sqref="B9:B10">
    <cfRule type="cellIs" dxfId="148" priority="172" operator="lessThan">
      <formula>0</formula>
    </cfRule>
  </conditionalFormatting>
  <conditionalFormatting sqref="B9:B10">
    <cfRule type="cellIs" dxfId="147" priority="173" operator="greaterThan">
      <formula>0</formula>
    </cfRule>
  </conditionalFormatting>
  <conditionalFormatting sqref="B9:B10">
    <cfRule type="cellIs" dxfId="146" priority="174" operator="lessThan">
      <formula>0</formula>
    </cfRule>
  </conditionalFormatting>
  <conditionalFormatting sqref="B10">
    <cfRule type="cellIs" dxfId="145" priority="167" operator="greaterThan">
      <formula>0</formula>
    </cfRule>
  </conditionalFormatting>
  <conditionalFormatting sqref="B10">
    <cfRule type="cellIs" dxfId="144" priority="168" operator="lessThan">
      <formula>0</formula>
    </cfRule>
  </conditionalFormatting>
  <conditionalFormatting sqref="B10">
    <cfRule type="cellIs" dxfId="143" priority="169" operator="greaterThan">
      <formula>0</formula>
    </cfRule>
  </conditionalFormatting>
  <conditionalFormatting sqref="B10">
    <cfRule type="cellIs" dxfId="142" priority="170" operator="lessThan">
      <formula>0</formula>
    </cfRule>
  </conditionalFormatting>
  <conditionalFormatting sqref="B10">
    <cfRule type="cellIs" dxfId="141" priority="163" operator="greaterThan">
      <formula>0</formula>
    </cfRule>
  </conditionalFormatting>
  <conditionalFormatting sqref="B10">
    <cfRule type="cellIs" dxfId="140" priority="164" operator="lessThan">
      <formula>0</formula>
    </cfRule>
  </conditionalFormatting>
  <conditionalFormatting sqref="B10">
    <cfRule type="cellIs" dxfId="139" priority="165" operator="greaterThan">
      <formula>0</formula>
    </cfRule>
  </conditionalFormatting>
  <conditionalFormatting sqref="B10">
    <cfRule type="cellIs" dxfId="138" priority="166" operator="lessThan">
      <formula>0</formula>
    </cfRule>
  </conditionalFormatting>
  <conditionalFormatting sqref="B9">
    <cfRule type="cellIs" dxfId="137" priority="159" operator="greaterThan">
      <formula>0</formula>
    </cfRule>
  </conditionalFormatting>
  <conditionalFormatting sqref="B9">
    <cfRule type="cellIs" dxfId="136" priority="160" operator="lessThan">
      <formula>0</formula>
    </cfRule>
  </conditionalFormatting>
  <conditionalFormatting sqref="B9">
    <cfRule type="cellIs" dxfId="135" priority="161" operator="greaterThan">
      <formula>0</formula>
    </cfRule>
  </conditionalFormatting>
  <conditionalFormatting sqref="B9">
    <cfRule type="cellIs" dxfId="134" priority="162" operator="lessThan">
      <formula>0</formula>
    </cfRule>
  </conditionalFormatting>
  <conditionalFormatting sqref="B9:B10">
    <cfRule type="cellIs" dxfId="133" priority="155" operator="greaterThan">
      <formula>0</formula>
    </cfRule>
  </conditionalFormatting>
  <conditionalFormatting sqref="B9:B10">
    <cfRule type="cellIs" dxfId="132" priority="156" operator="lessThan">
      <formula>0</formula>
    </cfRule>
  </conditionalFormatting>
  <conditionalFormatting sqref="B9:B10">
    <cfRule type="cellIs" dxfId="131" priority="157" operator="greaterThan">
      <formula>0</formula>
    </cfRule>
  </conditionalFormatting>
  <conditionalFormatting sqref="B9:B10">
    <cfRule type="cellIs" dxfId="130" priority="158" operator="lessThan">
      <formula>0</formula>
    </cfRule>
  </conditionalFormatting>
  <conditionalFormatting sqref="B9:B10">
    <cfRule type="cellIs" dxfId="129" priority="151" operator="greaterThan">
      <formula>0</formula>
    </cfRule>
  </conditionalFormatting>
  <conditionalFormatting sqref="B9:B10">
    <cfRule type="cellIs" dxfId="128" priority="152" operator="lessThan">
      <formula>0</formula>
    </cfRule>
  </conditionalFormatting>
  <conditionalFormatting sqref="B9:B10">
    <cfRule type="cellIs" dxfId="127" priority="153" operator="greaterThan">
      <formula>0</formula>
    </cfRule>
  </conditionalFormatting>
  <conditionalFormatting sqref="B9:B10">
    <cfRule type="cellIs" dxfId="126" priority="154" operator="lessThan">
      <formula>0</formula>
    </cfRule>
  </conditionalFormatting>
  <conditionalFormatting sqref="B6:B7">
    <cfRule type="cellIs" dxfId="125" priority="147" operator="greaterThan">
      <formula>0</formula>
    </cfRule>
  </conditionalFormatting>
  <conditionalFormatting sqref="B6:B7">
    <cfRule type="cellIs" dxfId="124" priority="148" operator="lessThan">
      <formula>0</formula>
    </cfRule>
  </conditionalFormatting>
  <conditionalFormatting sqref="B6:B7">
    <cfRule type="cellIs" dxfId="123" priority="149" operator="greaterThan">
      <formula>0</formula>
    </cfRule>
  </conditionalFormatting>
  <conditionalFormatting sqref="B6:B7">
    <cfRule type="cellIs" dxfId="122" priority="150" operator="lessThan">
      <formula>0</formula>
    </cfRule>
  </conditionalFormatting>
  <conditionalFormatting sqref="B6:B7">
    <cfRule type="cellIs" dxfId="121" priority="143" operator="greaterThan">
      <formula>0</formula>
    </cfRule>
  </conditionalFormatting>
  <conditionalFormatting sqref="B6:B7">
    <cfRule type="cellIs" dxfId="120" priority="144" operator="lessThan">
      <formula>0</formula>
    </cfRule>
  </conditionalFormatting>
  <conditionalFormatting sqref="B6:B7">
    <cfRule type="cellIs" dxfId="119" priority="145" operator="greaterThan">
      <formula>0</formula>
    </cfRule>
  </conditionalFormatting>
  <conditionalFormatting sqref="B6:B7">
    <cfRule type="cellIs" dxfId="118" priority="146" operator="lessThan">
      <formula>0</formula>
    </cfRule>
  </conditionalFormatting>
  <conditionalFormatting sqref="B6:B7">
    <cfRule type="cellIs" dxfId="117" priority="139" operator="greaterThan">
      <formula>0</formula>
    </cfRule>
  </conditionalFormatting>
  <conditionalFormatting sqref="B6:B7">
    <cfRule type="cellIs" dxfId="116" priority="140" operator="lessThan">
      <formula>0</formula>
    </cfRule>
  </conditionalFormatting>
  <conditionalFormatting sqref="B6:B7">
    <cfRule type="cellIs" dxfId="115" priority="141" operator="greaterThan">
      <formula>0</formula>
    </cfRule>
  </conditionalFormatting>
  <conditionalFormatting sqref="B6:B7">
    <cfRule type="cellIs" dxfId="114" priority="142" operator="lessThan">
      <formula>0</formula>
    </cfRule>
  </conditionalFormatting>
  <conditionalFormatting sqref="B6:B7">
    <cfRule type="cellIs" dxfId="113" priority="135" operator="greaterThan">
      <formula>0</formula>
    </cfRule>
  </conditionalFormatting>
  <conditionalFormatting sqref="B6:B7">
    <cfRule type="cellIs" dxfId="112" priority="136" operator="lessThan">
      <formula>0</formula>
    </cfRule>
  </conditionalFormatting>
  <conditionalFormatting sqref="B6:B7">
    <cfRule type="cellIs" dxfId="111" priority="137" operator="greaterThan">
      <formula>0</formula>
    </cfRule>
  </conditionalFormatting>
  <conditionalFormatting sqref="B6:B7">
    <cfRule type="cellIs" dxfId="110" priority="138" operator="lessThan">
      <formula>0</formula>
    </cfRule>
  </conditionalFormatting>
  <conditionalFormatting sqref="B6:B7">
    <cfRule type="cellIs" dxfId="109" priority="127" operator="greaterThan">
      <formula>0</formula>
    </cfRule>
  </conditionalFormatting>
  <conditionalFormatting sqref="B6:B7">
    <cfRule type="cellIs" dxfId="108" priority="128" operator="lessThan">
      <formula>0</formula>
    </cfRule>
  </conditionalFormatting>
  <conditionalFormatting sqref="B6:B7">
    <cfRule type="cellIs" dxfId="107" priority="129" operator="greaterThan">
      <formula>0</formula>
    </cfRule>
  </conditionalFormatting>
  <conditionalFormatting sqref="B6:B7">
    <cfRule type="cellIs" dxfId="106" priority="130" operator="lessThan">
      <formula>0</formula>
    </cfRule>
  </conditionalFormatting>
  <conditionalFormatting sqref="B6:B7">
    <cfRule type="cellIs" dxfId="105" priority="123" operator="greaterThan">
      <formula>0</formula>
    </cfRule>
  </conditionalFormatting>
  <conditionalFormatting sqref="B6:B7">
    <cfRule type="cellIs" dxfId="104" priority="124" operator="lessThan">
      <formula>0</formula>
    </cfRule>
  </conditionalFormatting>
  <conditionalFormatting sqref="B6:B7">
    <cfRule type="cellIs" dxfId="103" priority="125" operator="greaterThan">
      <formula>0</formula>
    </cfRule>
  </conditionalFormatting>
  <conditionalFormatting sqref="B6:B7">
    <cfRule type="cellIs" dxfId="102" priority="126" operator="lessThan">
      <formula>0</formula>
    </cfRule>
  </conditionalFormatting>
  <conditionalFormatting sqref="L2:M2">
    <cfRule type="cellIs" dxfId="101" priority="121" operator="lessThan">
      <formula>0</formula>
    </cfRule>
    <cfRule type="cellIs" dxfId="100" priority="122" operator="greaterThan">
      <formula>0</formula>
    </cfRule>
  </conditionalFormatting>
  <conditionalFormatting sqref="B19">
    <cfRule type="cellIs" dxfId="99" priority="117" operator="greaterThan">
      <formula>0</formula>
    </cfRule>
  </conditionalFormatting>
  <conditionalFormatting sqref="B19">
    <cfRule type="cellIs" dxfId="98" priority="118" operator="lessThan">
      <formula>0</formula>
    </cfRule>
  </conditionalFormatting>
  <conditionalFormatting sqref="B19">
    <cfRule type="cellIs" dxfId="97" priority="119" operator="greaterThan">
      <formula>0</formula>
    </cfRule>
  </conditionalFormatting>
  <conditionalFormatting sqref="B19">
    <cfRule type="cellIs" dxfId="96" priority="120" operator="lessThan">
      <formula>0</formula>
    </cfRule>
  </conditionalFormatting>
  <conditionalFormatting sqref="B19">
    <cfRule type="cellIs" dxfId="95" priority="113" operator="greaterThan">
      <formula>0</formula>
    </cfRule>
  </conditionalFormatting>
  <conditionalFormatting sqref="B19">
    <cfRule type="cellIs" dxfId="94" priority="114" operator="lessThan">
      <formula>0</formula>
    </cfRule>
  </conditionalFormatting>
  <conditionalFormatting sqref="B19">
    <cfRule type="cellIs" dxfId="93" priority="115" operator="greaterThan">
      <formula>0</formula>
    </cfRule>
  </conditionalFormatting>
  <conditionalFormatting sqref="B19">
    <cfRule type="cellIs" dxfId="92" priority="116" operator="lessThan">
      <formula>0</formula>
    </cfRule>
  </conditionalFormatting>
  <conditionalFormatting sqref="B3">
    <cfRule type="cellIs" dxfId="91" priority="109" operator="greaterThan">
      <formula>0</formula>
    </cfRule>
  </conditionalFormatting>
  <conditionalFormatting sqref="B3">
    <cfRule type="cellIs" dxfId="90" priority="110" operator="lessThan">
      <formula>0</formula>
    </cfRule>
  </conditionalFormatting>
  <conditionalFormatting sqref="B3">
    <cfRule type="cellIs" dxfId="89" priority="111" operator="greaterThan">
      <formula>0</formula>
    </cfRule>
  </conditionalFormatting>
  <conditionalFormatting sqref="B3">
    <cfRule type="cellIs" dxfId="88" priority="112" operator="lessThan">
      <formula>0</formula>
    </cfRule>
  </conditionalFormatting>
  <conditionalFormatting sqref="B3">
    <cfRule type="cellIs" dxfId="87" priority="105" operator="greaterThan">
      <formula>0</formula>
    </cfRule>
  </conditionalFormatting>
  <conditionalFormatting sqref="B3">
    <cfRule type="cellIs" dxfId="86" priority="106" operator="lessThan">
      <formula>0</formula>
    </cfRule>
  </conditionalFormatting>
  <conditionalFormatting sqref="B3">
    <cfRule type="cellIs" dxfId="85" priority="107" operator="greaterThan">
      <formula>0</formula>
    </cfRule>
  </conditionalFormatting>
  <conditionalFormatting sqref="B3">
    <cfRule type="cellIs" dxfId="84" priority="108" operator="lessThan">
      <formula>0</formula>
    </cfRule>
  </conditionalFormatting>
  <conditionalFormatting sqref="B3">
    <cfRule type="cellIs" dxfId="83" priority="101" operator="greaterThan">
      <formula>0</formula>
    </cfRule>
  </conditionalFormatting>
  <conditionalFormatting sqref="B3">
    <cfRule type="cellIs" dxfId="82" priority="102" operator="lessThan">
      <formula>0</formula>
    </cfRule>
  </conditionalFormatting>
  <conditionalFormatting sqref="B3">
    <cfRule type="cellIs" dxfId="81" priority="103" operator="greaterThan">
      <formula>0</formula>
    </cfRule>
  </conditionalFormatting>
  <conditionalFormatting sqref="B3">
    <cfRule type="cellIs" dxfId="80" priority="104" operator="lessThan">
      <formula>0</formula>
    </cfRule>
  </conditionalFormatting>
  <conditionalFormatting sqref="B3">
    <cfRule type="cellIs" dxfId="79" priority="97" operator="greaterThan">
      <formula>0</formula>
    </cfRule>
  </conditionalFormatting>
  <conditionalFormatting sqref="B3">
    <cfRule type="cellIs" dxfId="78" priority="98" operator="lessThan">
      <formula>0</formula>
    </cfRule>
  </conditionalFormatting>
  <conditionalFormatting sqref="B3">
    <cfRule type="cellIs" dxfId="77" priority="99" operator="greaterThan">
      <formula>0</formula>
    </cfRule>
  </conditionalFormatting>
  <conditionalFormatting sqref="B3">
    <cfRule type="cellIs" dxfId="76" priority="100" operator="lessThan">
      <formula>0</formula>
    </cfRule>
  </conditionalFormatting>
  <conditionalFormatting sqref="B7">
    <cfRule type="cellIs" dxfId="75" priority="93" operator="greaterThan">
      <formula>0</formula>
    </cfRule>
  </conditionalFormatting>
  <conditionalFormatting sqref="B7">
    <cfRule type="cellIs" dxfId="74" priority="94" operator="lessThan">
      <formula>0</formula>
    </cfRule>
  </conditionalFormatting>
  <conditionalFormatting sqref="B7">
    <cfRule type="cellIs" dxfId="73" priority="95" operator="greaterThan">
      <formula>0</formula>
    </cfRule>
  </conditionalFormatting>
  <conditionalFormatting sqref="B7">
    <cfRule type="cellIs" dxfId="72" priority="96" operator="lessThan">
      <formula>0</formula>
    </cfRule>
  </conditionalFormatting>
  <conditionalFormatting sqref="B7">
    <cfRule type="cellIs" dxfId="71" priority="89" operator="greaterThan">
      <formula>0</formula>
    </cfRule>
  </conditionalFormatting>
  <conditionalFormatting sqref="B7">
    <cfRule type="cellIs" dxfId="70" priority="90" operator="lessThan">
      <formula>0</formula>
    </cfRule>
  </conditionalFormatting>
  <conditionalFormatting sqref="B7">
    <cfRule type="cellIs" dxfId="69" priority="91" operator="greaterThan">
      <formula>0</formula>
    </cfRule>
  </conditionalFormatting>
  <conditionalFormatting sqref="B7">
    <cfRule type="cellIs" dxfId="68" priority="92" operator="lessThan">
      <formula>0</formula>
    </cfRule>
  </conditionalFormatting>
  <conditionalFormatting sqref="B7">
    <cfRule type="cellIs" dxfId="67" priority="85" operator="greaterThan">
      <formula>0</formula>
    </cfRule>
  </conditionalFormatting>
  <conditionalFormatting sqref="B7">
    <cfRule type="cellIs" dxfId="66" priority="86" operator="lessThan">
      <formula>0</formula>
    </cfRule>
  </conditionalFormatting>
  <conditionalFormatting sqref="B7">
    <cfRule type="cellIs" dxfId="65" priority="87" operator="greaterThan">
      <formula>0</formula>
    </cfRule>
  </conditionalFormatting>
  <conditionalFormatting sqref="B7">
    <cfRule type="cellIs" dxfId="64" priority="88" operator="lessThan">
      <formula>0</formula>
    </cfRule>
  </conditionalFormatting>
  <conditionalFormatting sqref="B7">
    <cfRule type="cellIs" dxfId="63" priority="81" operator="greaterThan">
      <formula>0</formula>
    </cfRule>
  </conditionalFormatting>
  <conditionalFormatting sqref="B7">
    <cfRule type="cellIs" dxfId="62" priority="82" operator="lessThan">
      <formula>0</formula>
    </cfRule>
  </conditionalFormatting>
  <conditionalFormatting sqref="B7">
    <cfRule type="cellIs" dxfId="61" priority="83" operator="greaterThan">
      <formula>0</formula>
    </cfRule>
  </conditionalFormatting>
  <conditionalFormatting sqref="B7">
    <cfRule type="cellIs" dxfId="60" priority="84" operator="lessThan">
      <formula>0</formula>
    </cfRule>
  </conditionalFormatting>
  <conditionalFormatting sqref="B7">
    <cfRule type="cellIs" dxfId="59" priority="77" operator="greaterThan">
      <formula>0</formula>
    </cfRule>
  </conditionalFormatting>
  <conditionalFormatting sqref="B7">
    <cfRule type="cellIs" dxfId="58" priority="78" operator="lessThan">
      <formula>0</formula>
    </cfRule>
  </conditionalFormatting>
  <conditionalFormatting sqref="B7">
    <cfRule type="cellIs" dxfId="57" priority="79" operator="greaterThan">
      <formula>0</formula>
    </cfRule>
  </conditionalFormatting>
  <conditionalFormatting sqref="B7">
    <cfRule type="cellIs" dxfId="56" priority="80" operator="lessThan">
      <formula>0</formula>
    </cfRule>
  </conditionalFormatting>
  <conditionalFormatting sqref="B7">
    <cfRule type="cellIs" dxfId="55" priority="73" operator="greaterThan">
      <formula>0</formula>
    </cfRule>
  </conditionalFormatting>
  <conditionalFormatting sqref="B7">
    <cfRule type="cellIs" dxfId="54" priority="74" operator="lessThan">
      <formula>0</formula>
    </cfRule>
  </conditionalFormatting>
  <conditionalFormatting sqref="B7">
    <cfRule type="cellIs" dxfId="53" priority="75" operator="greaterThan">
      <formula>0</formula>
    </cfRule>
  </conditionalFormatting>
  <conditionalFormatting sqref="B7">
    <cfRule type="cellIs" dxfId="52" priority="76" operator="lessThan">
      <formula>0</formula>
    </cfRule>
  </conditionalFormatting>
  <conditionalFormatting sqref="B7">
    <cfRule type="cellIs" dxfId="51" priority="69" operator="greaterThan">
      <formula>0</formula>
    </cfRule>
  </conditionalFormatting>
  <conditionalFormatting sqref="B7">
    <cfRule type="cellIs" dxfId="50" priority="70" operator="lessThan">
      <formula>0</formula>
    </cfRule>
  </conditionalFormatting>
  <conditionalFormatting sqref="B7">
    <cfRule type="cellIs" dxfId="49" priority="71" operator="greaterThan">
      <formula>0</formula>
    </cfRule>
  </conditionalFormatting>
  <conditionalFormatting sqref="B7">
    <cfRule type="cellIs" dxfId="48" priority="72" operator="lessThan">
      <formula>0</formula>
    </cfRule>
  </conditionalFormatting>
  <conditionalFormatting sqref="B7">
    <cfRule type="cellIs" dxfId="47" priority="65" operator="greaterThan">
      <formula>0</formula>
    </cfRule>
  </conditionalFormatting>
  <conditionalFormatting sqref="B7">
    <cfRule type="cellIs" dxfId="46" priority="66" operator="lessThan">
      <formula>0</formula>
    </cfRule>
  </conditionalFormatting>
  <conditionalFormatting sqref="B7">
    <cfRule type="cellIs" dxfId="45" priority="67" operator="greaterThan">
      <formula>0</formula>
    </cfRule>
  </conditionalFormatting>
  <conditionalFormatting sqref="B7">
    <cfRule type="cellIs" dxfId="44" priority="68" operator="lessThan">
      <formula>0</formula>
    </cfRule>
  </conditionalFormatting>
  <conditionalFormatting sqref="B7">
    <cfRule type="cellIs" dxfId="43" priority="61" operator="greaterThan">
      <formula>0</formula>
    </cfRule>
  </conditionalFormatting>
  <conditionalFormatting sqref="B7">
    <cfRule type="cellIs" dxfId="42" priority="62" operator="lessThan">
      <formula>0</formula>
    </cfRule>
  </conditionalFormatting>
  <conditionalFormatting sqref="B7">
    <cfRule type="cellIs" dxfId="41" priority="63" operator="greaterThan">
      <formula>0</formula>
    </cfRule>
  </conditionalFormatting>
  <conditionalFormatting sqref="B7">
    <cfRule type="cellIs" dxfId="40" priority="64" operator="lessThan">
      <formula>0</formula>
    </cfRule>
  </conditionalFormatting>
  <conditionalFormatting sqref="AH3:AH6">
    <cfRule type="cellIs" dxfId="39" priority="60" operator="lessThan">
      <formula>0.01</formula>
    </cfRule>
  </conditionalFormatting>
  <conditionalFormatting sqref="V3:V8">
    <cfRule type="cellIs" dxfId="38" priority="59" operator="lessThan">
      <formula>0.01</formula>
    </cfRule>
  </conditionalFormatting>
  <conditionalFormatting sqref="AR3:AR42">
    <cfRule type="expression" dxfId="37" priority="58">
      <formula>$O$18-$U3&lt;0</formula>
    </cfRule>
  </conditionalFormatting>
  <conditionalFormatting sqref="AR3:AR42">
    <cfRule type="expression" dxfId="36" priority="57">
      <formula>$O$18-$U3&gt;0</formula>
    </cfRule>
  </conditionalFormatting>
  <conditionalFormatting sqref="AS3:AS42">
    <cfRule type="expression" dxfId="35" priority="56">
      <formula>$O$18-$U3&lt;0</formula>
    </cfRule>
  </conditionalFormatting>
  <conditionalFormatting sqref="AS3:AS42">
    <cfRule type="expression" dxfId="34" priority="55">
      <formula>$O$18-$U3&gt;0</formula>
    </cfRule>
  </conditionalFormatting>
  <conditionalFormatting sqref="AT3:AT42">
    <cfRule type="expression" dxfId="33" priority="54">
      <formula>$O$18-$U3&lt;0</formula>
    </cfRule>
  </conditionalFormatting>
  <conditionalFormatting sqref="AT3:AT42">
    <cfRule type="expression" dxfId="32" priority="53">
      <formula>$O$18-$U3&gt;0</formula>
    </cfRule>
  </conditionalFormatting>
  <conditionalFormatting sqref="T3:T42">
    <cfRule type="cellIs" dxfId="31" priority="52" operator="equal">
      <formula>0</formula>
    </cfRule>
  </conditionalFormatting>
  <conditionalFormatting sqref="AF3:AF42">
    <cfRule type="cellIs" dxfId="30" priority="51" operator="equal">
      <formula>0</formula>
    </cfRule>
  </conditionalFormatting>
  <conditionalFormatting sqref="AB3:AB8">
    <cfRule type="cellIs" dxfId="29" priority="48" operator="equal">
      <formula>0</formula>
    </cfRule>
  </conditionalFormatting>
  <conditionalFormatting sqref="AC3:AC8">
    <cfRule type="cellIs" dxfId="28" priority="47" operator="equal">
      <formula>0</formula>
    </cfRule>
  </conditionalFormatting>
  <conditionalFormatting sqref="AM3:AM8">
    <cfRule type="cellIs" dxfId="27" priority="43" operator="lessThan">
      <formula>AH3</formula>
    </cfRule>
    <cfRule type="cellIs" dxfId="26" priority="44" operator="equal">
      <formula>0</formula>
    </cfRule>
  </conditionalFormatting>
  <conditionalFormatting sqref="AK3:AL8">
    <cfRule type="cellIs" dxfId="25" priority="42" operator="equal">
      <formula>0</formula>
    </cfRule>
  </conditionalFormatting>
  <conditionalFormatting sqref="AN3:AN8">
    <cfRule type="cellIs" dxfId="24" priority="41" operator="equal">
      <formula>0</formula>
    </cfRule>
  </conditionalFormatting>
  <conditionalFormatting sqref="AO3:AO8">
    <cfRule type="cellIs" dxfId="23" priority="40" operator="equal">
      <formula>0</formula>
    </cfRule>
  </conditionalFormatting>
  <conditionalFormatting sqref="AG7:AG26">
    <cfRule type="expression" dxfId="22" priority="38">
      <formula>AF7&gt;0</formula>
    </cfRule>
  </conditionalFormatting>
  <conditionalFormatting sqref="AG7:AG26">
    <cfRule type="expression" dxfId="21" priority="39">
      <formula>AF7&lt;0</formula>
    </cfRule>
  </conditionalFormatting>
  <conditionalFormatting sqref="AH7:AH8">
    <cfRule type="cellIs" dxfId="20" priority="37" operator="lessThan">
      <formula>0.01</formula>
    </cfRule>
  </conditionalFormatting>
  <conditionalFormatting sqref="U15:U26">
    <cfRule type="expression" dxfId="19" priority="35">
      <formula>T15&gt;0</formula>
    </cfRule>
  </conditionalFormatting>
  <conditionalFormatting sqref="U15:U26">
    <cfRule type="expression" dxfId="18" priority="36">
      <formula>T15&lt;0</formula>
    </cfRule>
  </conditionalFormatting>
  <conditionalFormatting sqref="AD9:AD42">
    <cfRule type="cellIs" dxfId="17" priority="18" operator="equal">
      <formula>0</formula>
    </cfRule>
  </conditionalFormatting>
  <conditionalFormatting sqref="AD9:AD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6" priority="20" operator="greaterThan">
      <formula>0</formula>
    </cfRule>
  </conditionalFormatting>
  <conditionalFormatting sqref="AA9:AA42">
    <cfRule type="cellIs" dxfId="15" priority="16" operator="lessThan">
      <formula>V9</formula>
    </cfRule>
    <cfRule type="cellIs" dxfId="14" priority="17" operator="equal">
      <formula>0</formula>
    </cfRule>
  </conditionalFormatting>
  <conditionalFormatting sqref="Y9:Z42">
    <cfRule type="cellIs" dxfId="13" priority="15" operator="equal">
      <formula>0</formula>
    </cfRule>
  </conditionalFormatting>
  <conditionalFormatting sqref="V9:V42">
    <cfRule type="cellIs" dxfId="12" priority="14" operator="lessThan">
      <formula>0.01</formula>
    </cfRule>
  </conditionalFormatting>
  <conditionalFormatting sqref="AB9:AB42">
    <cfRule type="cellIs" dxfId="11" priority="13" operator="equal">
      <formula>0</formula>
    </cfRule>
  </conditionalFormatting>
  <conditionalFormatting sqref="AC9:AC42">
    <cfRule type="cellIs" dxfId="10" priority="12" operator="equal">
      <formula>0</formula>
    </cfRule>
  </conditionalFormatting>
  <conditionalFormatting sqref="AP9:AP4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9" priority="11" operator="greaterThan">
      <formula>0</formula>
    </cfRule>
  </conditionalFormatting>
  <conditionalFormatting sqref="AP9:AP42">
    <cfRule type="cellIs" dxfId="8" priority="9" operator="equal">
      <formula>0</formula>
    </cfRule>
  </conditionalFormatting>
  <conditionalFormatting sqref="AM9:AM42">
    <cfRule type="cellIs" dxfId="7" priority="7" operator="lessThan">
      <formula>AH9</formula>
    </cfRule>
    <cfRule type="cellIs" dxfId="6" priority="8" operator="equal">
      <formula>0</formula>
    </cfRule>
  </conditionalFormatting>
  <conditionalFormatting sqref="AK9:AL42">
    <cfRule type="cellIs" dxfId="5" priority="6" operator="equal">
      <formula>0</formula>
    </cfRule>
  </conditionalFormatting>
  <conditionalFormatting sqref="AN9:AN42">
    <cfRule type="cellIs" dxfId="4" priority="5" operator="equal">
      <formula>0</formula>
    </cfRule>
  </conditionalFormatting>
  <conditionalFormatting sqref="AO9:AO42">
    <cfRule type="cellIs" dxfId="3" priority="4" operator="equal">
      <formula>0</formula>
    </cfRule>
  </conditionalFormatting>
  <conditionalFormatting sqref="AH9:AH42">
    <cfRule type="cellIs" dxfId="2" priority="3" operator="lessThan">
      <formula>0.01</formula>
    </cfRule>
  </conditionalFormatting>
  <conditionalFormatting sqref="U3:U14">
    <cfRule type="expression" dxfId="1" priority="1">
      <formula>T3&gt;0</formula>
    </cfRule>
  </conditionalFormatting>
  <conditionalFormatting sqref="U3:U14">
    <cfRule type="expression" dxfId="0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3" sqref="A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645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590</v>
      </c>
      <c r="B3" s="20"/>
      <c r="C3" s="19"/>
      <c r="D3" s="20"/>
      <c r="E3" s="67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591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592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629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630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631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755" t="s">
        <v>633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650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671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671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3" t="s">
        <v>527</v>
      </c>
      <c r="E16" s="234" t="s">
        <v>518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2024-02-10T23:08:12Z</dcterms:modified>
</cp:coreProperties>
</file>