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730BC2BB-058E-42F1-A3E8-7C312525F967}" xr6:coauthVersionLast="47" xr6:coauthVersionMax="47" xr10:uidLastSave="{00000000-0000-0000-0000-000000000000}"/>
  <bookViews>
    <workbookView xWindow="19020" yWindow="3735"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1" i="38" l="1"/>
  <c r="M26" i="38"/>
  <c r="W83" i="38"/>
  <c r="W69" i="38"/>
  <c r="W171"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33" i="38"/>
  <c r="Z132" i="38"/>
  <c r="Z127" i="38"/>
  <c r="Z114" i="38"/>
  <c r="Z97" i="38"/>
  <c r="Z91" i="38"/>
  <c r="Z90" i="38"/>
  <c r="Z85" i="38"/>
  <c r="Z84" i="38"/>
  <c r="AA99" i="38"/>
  <c r="Y67" i="38"/>
  <c r="Y69" i="38"/>
  <c r="W170" i="38"/>
  <c r="W169" i="38"/>
  <c r="W168" i="38"/>
  <c r="W167"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Z23" i="38" s="1"/>
  <c r="E23" i="38"/>
  <c r="D23" i="38"/>
  <c r="C23" i="38"/>
  <c r="B23" i="38"/>
  <c r="O22" i="38"/>
  <c r="N22" i="38"/>
  <c r="M22" i="38"/>
  <c r="L22" i="38"/>
  <c r="K22" i="38"/>
  <c r="J22" i="38"/>
  <c r="I22" i="38"/>
  <c r="H22" i="38"/>
  <c r="G22" i="38"/>
  <c r="F22" i="38"/>
  <c r="Z22" i="38" s="1"/>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Y19" i="38" l="1"/>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<sst xmlns="http://schemas.openxmlformats.org/spreadsheetml/2006/main" count="1470" uniqueCount="634">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</sst>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8">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1" tint="0.14999847407452621"/>
      </top>
      <bottom style="thin">
        <color indexed="64"/>
      </bottom>
      <diagonal/>
    </border>
    <border>
      <left style="thin">
        <color theme="1" tint="4.9989318521683403E-2"/>
      </left>
      <right style="thin">
        <color indexed="64"/>
      </right>
      <top style="thin">
        <color theme="1" tint="0.14999847407452621"/>
      </top>
      <bottom style="thin">
        <color theme="0"/>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top style="thin">
        <color theme="1"/>
      </top>
      <bottom style="thin">
        <color theme="1" tint="0.14999847407452621"/>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3" fillId="0" borderId="0" applyFont="0" applyFill="0" applyBorder="0" applyAlignment="0" applyProtection="0"/>
    <xf numFmtId="0" fontId="3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5"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7" fillId="40" borderId="0" applyNumberFormat="0" applyBorder="0" applyAlignment="0" applyProtection="0"/>
    <xf numFmtId="0" fontId="97" fillId="41" borderId="0" applyNumberFormat="0" applyBorder="0" applyAlignment="0" applyProtection="0"/>
    <xf numFmtId="0" fontId="97" fillId="42" borderId="0" applyNumberFormat="0" applyBorder="0" applyAlignment="0" applyProtection="0"/>
  </cellStyleXfs>
  <cellXfs count="800">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7" fillId="10" borderId="10" xfId="55" applyNumberFormat="1" applyFont="1" applyFill="1" applyBorder="1" applyAlignment="1">
      <alignment horizontal="right" vertical="center"/>
    </xf>
    <xf numFmtId="0" fontId="13" fillId="15" borderId="12" xfId="15" applyFont="1" applyFill="1" applyBorder="1" applyAlignment="1">
      <alignment horizontal="center" vertical="center"/>
    </xf>
    <xf numFmtId="0" fontId="41" fillId="0" borderId="5" xfId="0" applyFont="1" applyBorder="1" applyAlignment="1">
      <alignment horizontal="center"/>
    </xf>
    <xf numFmtId="0" fontId="41"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2" fillId="14" borderId="8" xfId="15" applyNumberFormat="1" applyFont="1" applyFill="1" applyBorder="1" applyAlignment="1">
      <alignment horizontal="center" vertical="center"/>
    </xf>
    <xf numFmtId="0" fontId="43" fillId="14" borderId="8" xfId="15" applyFont="1" applyFill="1" applyBorder="1" applyAlignment="1">
      <alignment horizontal="center" vertical="center"/>
    </xf>
    <xf numFmtId="0" fontId="44" fillId="17" borderId="13" xfId="0" applyFont="1" applyFill="1" applyBorder="1" applyAlignment="1">
      <alignment vertical="center"/>
    </xf>
    <xf numFmtId="0" fontId="45" fillId="17" borderId="14" xfId="0" applyFont="1" applyFill="1" applyBorder="1" applyAlignment="1">
      <alignment horizontal="center" vertical="center"/>
    </xf>
    <xf numFmtId="1" fontId="45" fillId="17" borderId="14" xfId="0" applyNumberFormat="1" applyFont="1" applyFill="1" applyBorder="1" applyAlignment="1">
      <alignment horizontal="center" vertical="center"/>
    </xf>
    <xf numFmtId="0" fontId="45" fillId="17" borderId="14" xfId="0" applyFont="1" applyFill="1" applyBorder="1" applyAlignment="1">
      <alignment vertical="center"/>
    </xf>
    <xf numFmtId="164" fontId="45" fillId="17" borderId="14" xfId="0" applyNumberFormat="1" applyFont="1" applyFill="1" applyBorder="1" applyAlignment="1">
      <alignment vertical="center"/>
    </xf>
    <xf numFmtId="2" fontId="45" fillId="17" borderId="14" xfId="0" applyNumberFormat="1" applyFont="1" applyFill="1" applyBorder="1" applyAlignment="1">
      <alignment vertical="center"/>
    </xf>
    <xf numFmtId="0" fontId="46" fillId="17" borderId="15" xfId="0" applyFont="1" applyFill="1" applyBorder="1" applyAlignment="1">
      <alignment vertical="center"/>
    </xf>
    <xf numFmtId="0" fontId="46" fillId="17" borderId="2" xfId="0" applyFont="1" applyFill="1" applyBorder="1" applyAlignment="1">
      <alignment vertical="center"/>
    </xf>
    <xf numFmtId="0" fontId="47" fillId="17" borderId="2" xfId="0" applyFont="1" applyFill="1" applyBorder="1" applyAlignment="1">
      <alignment vertical="center"/>
    </xf>
    <xf numFmtId="0" fontId="48" fillId="17" borderId="2" xfId="0" applyFont="1" applyFill="1" applyBorder="1" applyAlignment="1">
      <alignment horizontal="center" vertical="center"/>
    </xf>
    <xf numFmtId="0" fontId="44" fillId="17" borderId="2" xfId="0" applyFont="1" applyFill="1" applyBorder="1" applyAlignment="1">
      <alignment vertical="center"/>
    </xf>
    <xf numFmtId="0" fontId="45" fillId="17" borderId="2" xfId="0" applyFont="1" applyFill="1" applyBorder="1" applyAlignment="1">
      <alignment vertical="center"/>
    </xf>
    <xf numFmtId="0" fontId="49" fillId="17" borderId="2" xfId="0" applyFont="1" applyFill="1" applyBorder="1" applyAlignment="1">
      <alignment vertical="center"/>
    </xf>
    <xf numFmtId="0" fontId="44" fillId="17" borderId="2" xfId="0" applyFont="1" applyFill="1" applyBorder="1" applyAlignment="1">
      <alignment horizontal="center" vertical="center"/>
    </xf>
    <xf numFmtId="0" fontId="47" fillId="17" borderId="2" xfId="0" applyFont="1" applyFill="1" applyBorder="1" applyAlignment="1">
      <alignment horizontal="center" vertical="center"/>
    </xf>
    <xf numFmtId="1" fontId="47" fillId="17" borderId="2" xfId="0" applyNumberFormat="1" applyFont="1" applyFill="1" applyBorder="1" applyAlignment="1">
      <alignment horizontal="center" vertical="center"/>
    </xf>
    <xf numFmtId="2" fontId="47" fillId="17" borderId="2" xfId="0" applyNumberFormat="1" applyFont="1" applyFill="1" applyBorder="1" applyAlignment="1">
      <alignment horizontal="right" vertical="center"/>
    </xf>
    <xf numFmtId="0" fontId="46" fillId="0" borderId="0" xfId="0" applyFont="1" applyAlignment="1">
      <alignment vertical="center"/>
    </xf>
    <xf numFmtId="0" fontId="50" fillId="18" borderId="13" xfId="0" applyFont="1" applyFill="1" applyBorder="1" applyAlignment="1">
      <alignment horizontal="center" vertical="center"/>
    </xf>
    <xf numFmtId="0" fontId="51" fillId="18" borderId="16" xfId="0" applyFont="1" applyFill="1" applyBorder="1" applyAlignment="1">
      <alignment horizontal="center" vertical="center"/>
    </xf>
    <xf numFmtId="1" fontId="50" fillId="18" borderId="17" xfId="0" applyNumberFormat="1" applyFont="1" applyFill="1" applyBorder="1" applyAlignment="1">
      <alignment horizontal="center" vertical="center"/>
    </xf>
    <xf numFmtId="0" fontId="50" fillId="18" borderId="18" xfId="0" applyFont="1" applyFill="1" applyBorder="1" applyAlignment="1">
      <alignment horizontal="center" vertical="center"/>
    </xf>
    <xf numFmtId="164" fontId="50" fillId="18" borderId="19" xfId="0" applyNumberFormat="1" applyFont="1" applyFill="1" applyBorder="1" applyAlignment="1">
      <alignment horizontal="center" vertical="center"/>
    </xf>
    <xf numFmtId="164" fontId="50" fillId="18" borderId="20" xfId="0" applyNumberFormat="1" applyFont="1" applyFill="1" applyBorder="1" applyAlignment="1">
      <alignment horizontal="center" vertical="center"/>
    </xf>
    <xf numFmtId="2" fontId="51" fillId="18" borderId="19" xfId="0" applyNumberFormat="1" applyFont="1" applyFill="1" applyBorder="1" applyAlignment="1">
      <alignment horizontal="center" vertical="center"/>
    </xf>
    <xf numFmtId="0" fontId="50" fillId="18" borderId="17" xfId="0" applyFont="1" applyFill="1" applyBorder="1" applyAlignment="1">
      <alignment horizontal="center" vertical="center"/>
    </xf>
    <xf numFmtId="0" fontId="50" fillId="18" borderId="21" xfId="0" applyFont="1" applyFill="1" applyBorder="1" applyAlignment="1">
      <alignment horizontal="center" vertical="center"/>
    </xf>
    <xf numFmtId="2" fontId="50" fillId="18" borderId="16" xfId="0" applyNumberFormat="1" applyFont="1" applyFill="1" applyBorder="1" applyAlignment="1">
      <alignment horizontal="center" vertical="center"/>
    </xf>
    <xf numFmtId="2" fontId="50" fillId="18" borderId="21" xfId="0" applyNumberFormat="1" applyFont="1" applyFill="1" applyBorder="1" applyAlignment="1">
      <alignment horizontal="center" vertical="center"/>
    </xf>
    <xf numFmtId="3" fontId="51" fillId="18" borderId="22" xfId="0" applyNumberFormat="1" applyFont="1" applyFill="1" applyBorder="1" applyAlignment="1">
      <alignment horizontal="center" vertical="center"/>
    </xf>
    <xf numFmtId="3" fontId="51" fillId="18" borderId="23" xfId="0" applyNumberFormat="1" applyFont="1" applyFill="1" applyBorder="1" applyAlignment="1">
      <alignment horizontal="center" vertical="center"/>
    </xf>
    <xf numFmtId="0" fontId="52" fillId="17" borderId="2" xfId="0" applyFont="1" applyFill="1" applyBorder="1" applyAlignment="1">
      <alignment vertical="center"/>
    </xf>
    <xf numFmtId="0" fontId="50" fillId="19" borderId="24" xfId="0" applyFont="1" applyFill="1" applyBorder="1" applyAlignment="1">
      <alignment horizontal="center" vertical="center"/>
    </xf>
    <xf numFmtId="0" fontId="51" fillId="20" borderId="26" xfId="0" applyFont="1" applyFill="1" applyBorder="1" applyAlignment="1">
      <alignment horizontal="center" vertical="center"/>
    </xf>
    <xf numFmtId="0" fontId="51" fillId="18" borderId="27" xfId="0" applyFont="1" applyFill="1" applyBorder="1" applyAlignment="1">
      <alignment horizontal="center" vertical="center"/>
    </xf>
    <xf numFmtId="0" fontId="50" fillId="18" borderId="28" xfId="0" applyFont="1" applyFill="1" applyBorder="1" applyAlignment="1">
      <alignment horizontal="center" vertical="center"/>
    </xf>
    <xf numFmtId="0" fontId="51" fillId="18" borderId="19" xfId="0" applyFont="1" applyFill="1" applyBorder="1" applyAlignment="1">
      <alignment horizontal="center" vertical="center"/>
    </xf>
    <xf numFmtId="1" fontId="50" fillId="18" borderId="14" xfId="0" applyNumberFormat="1" applyFont="1" applyFill="1" applyBorder="1" applyAlignment="1">
      <alignment horizontal="center" vertical="center"/>
    </xf>
    <xf numFmtId="2" fontId="50" fillId="18" borderId="19" xfId="0" applyNumberFormat="1" applyFont="1" applyFill="1" applyBorder="1" applyAlignment="1">
      <alignment horizontal="center" vertical="center"/>
    </xf>
    <xf numFmtId="2" fontId="50" fillId="18" borderId="18" xfId="0" applyNumberFormat="1" applyFont="1" applyFill="1" applyBorder="1" applyAlignment="1">
      <alignment horizontal="center" vertical="center"/>
    </xf>
    <xf numFmtId="0" fontId="51" fillId="18" borderId="14" xfId="0" applyFont="1" applyFill="1" applyBorder="1" applyAlignment="1">
      <alignment horizontal="center" vertical="center"/>
    </xf>
    <xf numFmtId="0" fontId="51" fillId="18" borderId="18" xfId="0" applyFont="1" applyFill="1" applyBorder="1" applyAlignment="1">
      <alignment horizontal="center" vertical="center"/>
    </xf>
    <xf numFmtId="0" fontId="53" fillId="22" borderId="29" xfId="0" applyFont="1" applyFill="1" applyBorder="1" applyAlignment="1">
      <alignment horizontal="center" vertical="center"/>
    </xf>
    <xf numFmtId="0" fontId="53" fillId="22" borderId="30" xfId="0" applyFont="1" applyFill="1" applyBorder="1" applyAlignment="1">
      <alignment horizontal="center" vertical="center"/>
    </xf>
    <xf numFmtId="0" fontId="52" fillId="22" borderId="30" xfId="0" applyFont="1" applyFill="1" applyBorder="1" applyAlignment="1">
      <alignment horizontal="center" vertical="center"/>
    </xf>
    <xf numFmtId="0" fontId="53" fillId="23" borderId="30" xfId="0" applyFont="1" applyFill="1" applyBorder="1" applyAlignment="1">
      <alignment horizontal="center" vertical="center"/>
    </xf>
    <xf numFmtId="0" fontId="53" fillId="24" borderId="29" xfId="0" applyFont="1" applyFill="1" applyBorder="1" applyAlignment="1">
      <alignment horizontal="center" vertical="center"/>
    </xf>
    <xf numFmtId="0" fontId="53" fillId="24" borderId="30" xfId="0" applyFont="1" applyFill="1" applyBorder="1" applyAlignment="1">
      <alignment horizontal="center" vertical="center"/>
    </xf>
    <xf numFmtId="0" fontId="53" fillId="24" borderId="31" xfId="0" applyFont="1" applyFill="1" applyBorder="1" applyAlignment="1">
      <alignment horizontal="center" vertical="center"/>
    </xf>
    <xf numFmtId="0" fontId="52" fillId="0" borderId="0" xfId="0" applyFont="1" applyAlignment="1">
      <alignment vertical="center"/>
    </xf>
    <xf numFmtId="2" fontId="55" fillId="25" borderId="34" xfId="0" applyNumberFormat="1" applyFont="1" applyFill="1" applyBorder="1" applyAlignment="1">
      <alignment horizontal="center" vertical="center"/>
    </xf>
    <xf numFmtId="9" fontId="47" fillId="27" borderId="33" xfId="0" applyNumberFormat="1" applyFont="1" applyFill="1" applyBorder="1" applyAlignment="1">
      <alignment horizontal="center" vertical="center"/>
    </xf>
    <xf numFmtId="2" fontId="44" fillId="29" borderId="34" xfId="2" applyNumberFormat="1" applyFont="1" applyFill="1" applyBorder="1" applyAlignment="1">
      <alignment horizontal="center" vertical="center"/>
    </xf>
    <xf numFmtId="0" fontId="56" fillId="30" borderId="34" xfId="0" applyFont="1" applyFill="1" applyBorder="1" applyAlignment="1">
      <alignment horizontal="center" vertical="center"/>
    </xf>
    <xf numFmtId="1" fontId="57" fillId="31" borderId="34" xfId="0" applyNumberFormat="1" applyFont="1" applyFill="1" applyBorder="1" applyAlignment="1">
      <alignment horizontal="center" vertical="center"/>
    </xf>
    <xf numFmtId="14" fontId="44" fillId="25" borderId="41" xfId="0" applyNumberFormat="1" applyFont="1" applyFill="1" applyBorder="1" applyAlignment="1">
      <alignment horizontal="center" vertical="center"/>
    </xf>
    <xf numFmtId="0" fontId="44" fillId="22" borderId="42" xfId="0" applyFont="1" applyFill="1" applyBorder="1" applyAlignment="1">
      <alignment horizontal="center" vertical="center"/>
    </xf>
    <xf numFmtId="0" fontId="58" fillId="25" borderId="37" xfId="0" applyFont="1" applyFill="1" applyBorder="1" applyAlignment="1">
      <alignment horizontal="center" vertical="center"/>
    </xf>
    <xf numFmtId="2" fontId="44" fillId="25" borderId="35" xfId="0" applyNumberFormat="1" applyFont="1" applyFill="1" applyBorder="1" applyAlignment="1">
      <alignment horizontal="center" vertical="center"/>
    </xf>
    <xf numFmtId="0" fontId="44" fillId="33" borderId="45" xfId="0" applyFont="1" applyFill="1" applyBorder="1" applyAlignment="1">
      <alignment horizontal="center" vertical="center"/>
    </xf>
    <xf numFmtId="0" fontId="55" fillId="25" borderId="35" xfId="0" applyFont="1" applyFill="1" applyBorder="1" applyAlignment="1">
      <alignment horizontal="center" vertical="center"/>
    </xf>
    <xf numFmtId="0" fontId="44" fillId="34" borderId="45" xfId="0" applyFont="1" applyFill="1" applyBorder="1" applyAlignment="1">
      <alignment horizontal="center" vertical="center"/>
    </xf>
    <xf numFmtId="2" fontId="48" fillId="23" borderId="47" xfId="0" applyNumberFormat="1" applyFont="1" applyFill="1" applyBorder="1" applyAlignment="1">
      <alignment horizontal="center" vertical="center"/>
    </xf>
    <xf numFmtId="1" fontId="45" fillId="23" borderId="2" xfId="0" applyNumberFormat="1" applyFont="1" applyFill="1" applyBorder="1" applyAlignment="1">
      <alignment vertical="center"/>
    </xf>
    <xf numFmtId="0" fontId="45" fillId="23" borderId="2" xfId="0" applyFont="1" applyFill="1" applyBorder="1" applyAlignment="1">
      <alignment horizontal="center" vertical="center"/>
    </xf>
    <xf numFmtId="1" fontId="45" fillId="23" borderId="2" xfId="0" applyNumberFormat="1" applyFont="1" applyFill="1" applyBorder="1" applyAlignment="1">
      <alignment horizontal="center" vertical="center"/>
    </xf>
    <xf numFmtId="4" fontId="48" fillId="24" borderId="47" xfId="0" applyNumberFormat="1" applyFont="1" applyFill="1" applyBorder="1" applyAlignment="1">
      <alignment horizontal="center" vertical="center"/>
    </xf>
    <xf numFmtId="0" fontId="45" fillId="24" borderId="2" xfId="0" applyFont="1" applyFill="1" applyBorder="1" applyAlignment="1">
      <alignment horizontal="center" vertical="center"/>
    </xf>
    <xf numFmtId="4" fontId="48" fillId="24" borderId="37" xfId="0" applyNumberFormat="1" applyFont="1" applyFill="1" applyBorder="1" applyAlignment="1">
      <alignment horizontal="center" vertical="center"/>
    </xf>
    <xf numFmtId="0" fontId="44" fillId="22" borderId="45" xfId="0" applyFont="1" applyFill="1" applyBorder="1" applyAlignment="1">
      <alignment horizontal="center" vertical="center"/>
    </xf>
    <xf numFmtId="1" fontId="55" fillId="25" borderId="34" xfId="0" applyNumberFormat="1" applyFont="1" applyFill="1" applyBorder="1" applyAlignment="1">
      <alignment horizontal="center" vertical="center"/>
    </xf>
    <xf numFmtId="0" fontId="45" fillId="24" borderId="47" xfId="0" applyFont="1" applyFill="1" applyBorder="1" applyAlignment="1">
      <alignment horizontal="center" vertical="center"/>
    </xf>
    <xf numFmtId="1" fontId="55" fillId="25" borderId="2" xfId="0" applyNumberFormat="1" applyFont="1" applyFill="1" applyBorder="1" applyAlignment="1">
      <alignment horizontal="center" vertical="center"/>
    </xf>
    <xf numFmtId="0" fontId="44" fillId="25" borderId="35" xfId="0" applyFont="1" applyFill="1" applyBorder="1" applyAlignment="1">
      <alignment horizontal="center" vertical="center"/>
    </xf>
    <xf numFmtId="2" fontId="55" fillId="25" borderId="2" xfId="0" applyNumberFormat="1" applyFont="1" applyFill="1" applyBorder="1" applyAlignment="1">
      <alignment horizontal="center" vertical="center"/>
    </xf>
    <xf numFmtId="2" fontId="57" fillId="31" borderId="34" xfId="0" applyNumberFormat="1" applyFont="1" applyFill="1" applyBorder="1" applyAlignment="1">
      <alignment horizontal="center" vertical="center"/>
    </xf>
    <xf numFmtId="9" fontId="58" fillId="36" borderId="51" xfId="0" applyNumberFormat="1" applyFont="1" applyFill="1" applyBorder="1" applyAlignment="1">
      <alignment horizontal="center" vertical="center"/>
    </xf>
    <xf numFmtId="4" fontId="60" fillId="24" borderId="37" xfId="0" applyNumberFormat="1" applyFont="1" applyFill="1" applyBorder="1" applyAlignment="1">
      <alignment horizontal="center" vertical="center"/>
    </xf>
    <xf numFmtId="9" fontId="47" fillId="27" borderId="53" xfId="0" applyNumberFormat="1" applyFont="1" applyFill="1" applyBorder="1" applyAlignment="1">
      <alignment horizontal="center" vertical="center"/>
    </xf>
    <xf numFmtId="0" fontId="62" fillId="17" borderId="2" xfId="0" applyFont="1" applyFill="1" applyBorder="1" applyAlignment="1">
      <alignment vertical="center"/>
    </xf>
    <xf numFmtId="0" fontId="45" fillId="24" borderId="56" xfId="0" applyFont="1" applyFill="1" applyBorder="1" applyAlignment="1">
      <alignment horizontal="center" vertical="center"/>
    </xf>
    <xf numFmtId="0" fontId="45" fillId="24" borderId="1" xfId="0" applyFont="1" applyFill="1" applyBorder="1" applyAlignment="1">
      <alignment horizontal="center" vertical="center"/>
    </xf>
    <xf numFmtId="4" fontId="48" fillId="24" borderId="57" xfId="0" applyNumberFormat="1" applyFont="1" applyFill="1" applyBorder="1" applyAlignment="1">
      <alignment horizontal="center" vertical="center"/>
    </xf>
    <xf numFmtId="0" fontId="46" fillId="37" borderId="0" xfId="0" applyFont="1" applyFill="1" applyAlignment="1">
      <alignment vertical="center"/>
    </xf>
    <xf numFmtId="0" fontId="48" fillId="33" borderId="47" xfId="0" applyFont="1" applyFill="1" applyBorder="1" applyAlignment="1">
      <alignment horizontal="center" vertical="center"/>
    </xf>
    <xf numFmtId="0" fontId="46" fillId="33" borderId="2" xfId="0" applyFont="1" applyFill="1" applyBorder="1" applyAlignment="1">
      <alignment vertical="center"/>
    </xf>
    <xf numFmtId="0" fontId="46" fillId="34" borderId="2" xfId="0" applyFont="1" applyFill="1" applyBorder="1" applyAlignment="1">
      <alignment vertical="center"/>
    </xf>
    <xf numFmtId="0" fontId="56" fillId="33" borderId="37" xfId="0" applyFont="1" applyFill="1" applyBorder="1" applyAlignment="1">
      <alignment horizontal="center" vertical="center"/>
    </xf>
    <xf numFmtId="2" fontId="45" fillId="23" borderId="37" xfId="0" applyNumberFormat="1" applyFont="1" applyFill="1" applyBorder="1" applyAlignment="1">
      <alignment horizontal="center" vertical="center"/>
    </xf>
    <xf numFmtId="0" fontId="58" fillId="25" borderId="33" xfId="0" applyFont="1" applyFill="1" applyBorder="1" applyAlignment="1">
      <alignment horizontal="center" vertical="center"/>
    </xf>
    <xf numFmtId="1" fontId="55" fillId="22" borderId="61" xfId="0" applyNumberFormat="1" applyFont="1" applyFill="1" applyBorder="1" applyAlignment="1">
      <alignment vertical="center"/>
    </xf>
    <xf numFmtId="14" fontId="44" fillId="25" borderId="41" xfId="0" applyNumberFormat="1" applyFont="1" applyFill="1" applyBorder="1" applyAlignment="1">
      <alignment horizontal="center" vertical="center" wrapText="1"/>
    </xf>
    <xf numFmtId="0" fontId="44" fillId="22" borderId="45" xfId="0" applyFont="1" applyFill="1" applyBorder="1" applyAlignment="1">
      <alignment horizontal="center" vertical="center" wrapText="1"/>
    </xf>
    <xf numFmtId="0" fontId="44" fillId="33" borderId="45" xfId="0" applyFont="1" applyFill="1" applyBorder="1" applyAlignment="1">
      <alignment horizontal="center" vertical="center" wrapText="1"/>
    </xf>
    <xf numFmtId="0" fontId="44" fillId="34" borderId="45" xfId="0" applyFont="1" applyFill="1" applyBorder="1" applyAlignment="1">
      <alignment horizontal="center" vertical="center" wrapText="1"/>
    </xf>
    <xf numFmtId="1" fontId="55" fillId="33" borderId="61" xfId="0" applyNumberFormat="1" applyFont="1" applyFill="1" applyBorder="1" applyAlignment="1">
      <alignment vertical="center"/>
    </xf>
    <xf numFmtId="1" fontId="55" fillId="34" borderId="61" xfId="0" applyNumberFormat="1" applyFont="1" applyFill="1" applyBorder="1" applyAlignment="1">
      <alignment vertical="center"/>
    </xf>
    <xf numFmtId="0" fontId="63" fillId="37" borderId="0" xfId="0" applyFont="1" applyFill="1" applyAlignment="1">
      <alignment vertical="center"/>
    </xf>
    <xf numFmtId="9" fontId="55" fillId="25" borderId="60" xfId="0" applyNumberFormat="1" applyFont="1" applyFill="1" applyBorder="1" applyAlignment="1">
      <alignment horizontal="center" vertical="center"/>
    </xf>
    <xf numFmtId="0" fontId="44" fillId="39" borderId="66" xfId="0" applyFont="1" applyFill="1" applyBorder="1" applyAlignment="1">
      <alignment horizontal="center" vertical="center"/>
    </xf>
    <xf numFmtId="0" fontId="55" fillId="26" borderId="61" xfId="0" applyFont="1" applyFill="1" applyBorder="1" applyAlignment="1">
      <alignment horizontal="center" vertical="center"/>
    </xf>
    <xf numFmtId="0" fontId="44" fillId="39" borderId="61" xfId="0" applyFont="1" applyFill="1" applyBorder="1" applyAlignment="1">
      <alignment horizontal="center" vertical="center"/>
    </xf>
    <xf numFmtId="3" fontId="55" fillId="25" borderId="61" xfId="0" applyNumberFormat="1" applyFont="1" applyFill="1" applyBorder="1" applyAlignment="1">
      <alignment horizontal="center" vertical="center"/>
    </xf>
    <xf numFmtId="0" fontId="47" fillId="17" borderId="0" xfId="0" applyFont="1" applyFill="1" applyAlignment="1">
      <alignment vertical="center"/>
    </xf>
    <xf numFmtId="0" fontId="46" fillId="17" borderId="0" xfId="0" applyFont="1" applyFill="1" applyAlignment="1">
      <alignment vertical="center"/>
    </xf>
    <xf numFmtId="0" fontId="49" fillId="17" borderId="0" xfId="0" applyFont="1" applyFill="1" applyAlignment="1">
      <alignment vertical="center"/>
    </xf>
    <xf numFmtId="10" fontId="55" fillId="25" borderId="61" xfId="0" applyNumberFormat="1" applyFont="1" applyFill="1" applyBorder="1" applyAlignment="1">
      <alignment horizontal="center" vertical="center"/>
    </xf>
    <xf numFmtId="14" fontId="44" fillId="38" borderId="61" xfId="0" applyNumberFormat="1" applyFont="1" applyFill="1" applyBorder="1" applyAlignment="1">
      <alignment horizontal="center" vertical="center"/>
    </xf>
    <xf numFmtId="3" fontId="44" fillId="38" borderId="61" xfId="0" applyNumberFormat="1" applyFont="1" applyFill="1" applyBorder="1" applyAlignment="1">
      <alignment horizontal="center" vertical="center"/>
    </xf>
    <xf numFmtId="169" fontId="44" fillId="38" borderId="61" xfId="0" applyNumberFormat="1" applyFont="1" applyFill="1" applyBorder="1" applyAlignment="1">
      <alignment horizontal="center" vertical="center"/>
    </xf>
    <xf numFmtId="10" fontId="55" fillId="25" borderId="70" xfId="0" applyNumberFormat="1" applyFont="1" applyFill="1" applyBorder="1" applyAlignment="1">
      <alignment horizontal="center" vertical="center"/>
    </xf>
    <xf numFmtId="0" fontId="45" fillId="17" borderId="0" xfId="0" applyFont="1" applyFill="1" applyAlignment="1">
      <alignment vertical="center"/>
    </xf>
    <xf numFmtId="2" fontId="48" fillId="23" borderId="56" xfId="0" applyNumberFormat="1" applyFont="1" applyFill="1" applyBorder="1" applyAlignment="1">
      <alignment horizontal="center" vertical="center"/>
    </xf>
    <xf numFmtId="1" fontId="45" fillId="23" borderId="1" xfId="0" applyNumberFormat="1" applyFont="1" applyFill="1" applyBorder="1" applyAlignment="1">
      <alignment vertical="center"/>
    </xf>
    <xf numFmtId="0" fontId="45" fillId="23" borderId="1" xfId="0" applyFont="1" applyFill="1" applyBorder="1" applyAlignment="1">
      <alignment horizontal="center" vertical="center"/>
    </xf>
    <xf numFmtId="2" fontId="45" fillId="23" borderId="57" xfId="0" applyNumberFormat="1" applyFont="1" applyFill="1" applyBorder="1" applyAlignment="1">
      <alignment horizontal="center" vertical="center"/>
    </xf>
    <xf numFmtId="0" fontId="64" fillId="0" borderId="0" xfId="0" applyFont="1" applyAlignment="1">
      <alignment vertical="center"/>
    </xf>
    <xf numFmtId="0" fontId="48" fillId="22" borderId="29" xfId="0" applyFont="1" applyFill="1" applyBorder="1" applyAlignment="1">
      <alignment horizontal="center" vertical="center"/>
    </xf>
    <xf numFmtId="0" fontId="46" fillId="22" borderId="30" xfId="0" applyFont="1" applyFill="1" applyBorder="1" applyAlignment="1">
      <alignment vertical="center"/>
    </xf>
    <xf numFmtId="0" fontId="64" fillId="22" borderId="30" xfId="0" applyFont="1" applyFill="1" applyBorder="1" applyAlignment="1">
      <alignment vertical="center"/>
    </xf>
    <xf numFmtId="0" fontId="56" fillId="22" borderId="31" xfId="0" applyFont="1" applyFill="1" applyBorder="1" applyAlignment="1">
      <alignment horizontal="center" vertical="center"/>
    </xf>
    <xf numFmtId="0" fontId="65" fillId="17" borderId="0" xfId="0" applyFont="1" applyFill="1" applyAlignment="1">
      <alignment vertical="center"/>
    </xf>
    <xf numFmtId="2" fontId="48" fillId="23" borderId="37" xfId="0" applyNumberFormat="1" applyFont="1" applyFill="1" applyBorder="1" applyAlignment="1">
      <alignment horizontal="center" vertical="center"/>
    </xf>
    <xf numFmtId="0" fontId="58" fillId="25" borderId="53" xfId="0" applyFont="1" applyFill="1" applyBorder="1" applyAlignment="1">
      <alignment horizontal="center" vertical="center"/>
    </xf>
    <xf numFmtId="0" fontId="58" fillId="25" borderId="74" xfId="0" applyFont="1" applyFill="1" applyBorder="1" applyAlignment="1">
      <alignment horizontal="center" vertical="center"/>
    </xf>
    <xf numFmtId="1" fontId="55" fillId="25" borderId="75" xfId="0" applyNumberFormat="1" applyFont="1" applyFill="1" applyBorder="1" applyAlignment="1">
      <alignment horizontal="center" vertical="center"/>
    </xf>
    <xf numFmtId="2" fontId="55" fillId="34" borderId="44" xfId="0" applyNumberFormat="1" applyFont="1" applyFill="1" applyBorder="1" applyAlignment="1">
      <alignment vertical="center"/>
    </xf>
    <xf numFmtId="2" fontId="55" fillId="34" borderId="35" xfId="0" applyNumberFormat="1" applyFont="1" applyFill="1" applyBorder="1" applyAlignment="1">
      <alignment vertical="center"/>
    </xf>
    <xf numFmtId="1" fontId="55" fillId="25" borderId="71" xfId="0" applyNumberFormat="1" applyFont="1" applyFill="1" applyBorder="1" applyAlignment="1">
      <alignment horizontal="center" vertical="center"/>
    </xf>
    <xf numFmtId="2" fontId="55" fillId="34" borderId="78" xfId="0" applyNumberFormat="1" applyFont="1" applyFill="1" applyBorder="1" applyAlignment="1">
      <alignment vertical="center"/>
    </xf>
    <xf numFmtId="0" fontId="55" fillId="38" borderId="80" xfId="0" applyFont="1" applyFill="1" applyBorder="1" applyAlignment="1">
      <alignment horizontal="center" vertical="center"/>
    </xf>
    <xf numFmtId="1" fontId="55" fillId="38" borderId="71" xfId="0" applyNumberFormat="1" applyFont="1" applyFill="1" applyBorder="1" applyAlignment="1">
      <alignment horizontal="center" vertical="center"/>
    </xf>
    <xf numFmtId="0" fontId="55" fillId="38" borderId="72" xfId="0" applyFont="1" applyFill="1" applyBorder="1" applyAlignment="1">
      <alignment horizontal="center" vertical="center"/>
    </xf>
    <xf numFmtId="2" fontId="55" fillId="38" borderId="81" xfId="0" applyNumberFormat="1" applyFont="1" applyFill="1" applyBorder="1" applyAlignment="1">
      <alignment vertical="center"/>
    </xf>
    <xf numFmtId="1" fontId="55" fillId="38" borderId="71" xfId="0" applyNumberFormat="1" applyFont="1" applyFill="1" applyBorder="1" applyAlignment="1">
      <alignment vertical="center"/>
    </xf>
    <xf numFmtId="0" fontId="46" fillId="33" borderId="0" xfId="0" applyFont="1" applyFill="1" applyAlignment="1">
      <alignment vertical="center"/>
    </xf>
    <xf numFmtId="2" fontId="48" fillId="23"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7" fillId="31" borderId="34" xfId="55" applyNumberFormat="1" applyFont="1" applyFill="1" applyBorder="1" applyAlignment="1">
      <alignment horizontal="center" vertical="center"/>
    </xf>
    <xf numFmtId="0" fontId="50" fillId="21" borderId="85" xfId="0" applyFont="1" applyFill="1" applyBorder="1" applyAlignment="1">
      <alignment horizontal="center" vertical="center"/>
    </xf>
    <xf numFmtId="0" fontId="48" fillId="25"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4" fillId="29" borderId="34" xfId="2" applyNumberFormat="1" applyFont="1" applyFill="1" applyBorder="1" applyAlignment="1">
      <alignment horizontal="center" vertical="center"/>
    </xf>
    <xf numFmtId="0" fontId="44" fillId="29" borderId="37" xfId="0" applyFont="1" applyFill="1" applyBorder="1" applyAlignment="1">
      <alignment horizontal="center" vertical="center"/>
    </xf>
    <xf numFmtId="0" fontId="55" fillId="25" borderId="34" xfId="0" applyFont="1" applyFill="1" applyBorder="1" applyAlignment="1">
      <alignment horizontal="center" vertical="center"/>
    </xf>
    <xf numFmtId="0" fontId="55" fillId="25" borderId="35" xfId="0" applyFont="1" applyFill="1" applyBorder="1" applyAlignment="1">
      <alignment vertical="center"/>
    </xf>
    <xf numFmtId="0" fontId="55" fillId="26" borderId="37" xfId="0" applyFont="1" applyFill="1" applyBorder="1" applyAlignment="1">
      <alignment vertical="center"/>
    </xf>
    <xf numFmtId="0" fontId="54" fillId="25" borderId="33" xfId="0" applyFont="1" applyFill="1" applyBorder="1" applyAlignment="1">
      <alignment horizontal="center" vertical="center"/>
    </xf>
    <xf numFmtId="0" fontId="59" fillId="25" borderId="33" xfId="0" applyFont="1" applyFill="1" applyBorder="1" applyAlignment="1">
      <alignment horizontal="center" vertical="center"/>
    </xf>
    <xf numFmtId="0" fontId="61" fillId="25" borderId="33" xfId="0" applyFont="1" applyFill="1" applyBorder="1" applyAlignment="1">
      <alignment horizontal="center" vertical="center"/>
    </xf>
    <xf numFmtId="0" fontId="55" fillId="26" borderId="62" xfId="0" applyFont="1" applyFill="1" applyBorder="1" applyAlignment="1">
      <alignment vertical="center"/>
    </xf>
    <xf numFmtId="0" fontId="55" fillId="25" borderId="71" xfId="0" applyFont="1" applyFill="1" applyBorder="1" applyAlignment="1">
      <alignment horizontal="center" vertical="center"/>
    </xf>
    <xf numFmtId="0" fontId="55" fillId="25"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6" fillId="16" borderId="3" xfId="55" applyNumberFormat="1" applyFont="1" applyFill="1" applyBorder="1" applyAlignment="1">
      <alignment horizontal="center" vertical="center" wrapText="1"/>
    </xf>
    <xf numFmtId="0" fontId="38" fillId="0" borderId="3" xfId="0" applyFont="1" applyBorder="1" applyAlignment="1">
      <alignment horizontal="center" vertical="center"/>
    </xf>
    <xf numFmtId="0" fontId="2" fillId="0" borderId="0" xfId="0" applyFont="1" applyAlignment="1">
      <alignment horizontal="center"/>
    </xf>
    <xf numFmtId="0" fontId="55" fillId="34" borderId="37" xfId="0" applyFont="1" applyFill="1" applyBorder="1" applyAlignment="1">
      <alignment vertical="center"/>
    </xf>
    <xf numFmtId="0" fontId="55" fillId="34" borderId="62" xfId="0" applyFont="1" applyFill="1" applyBorder="1" applyAlignment="1">
      <alignment vertical="center"/>
    </xf>
    <xf numFmtId="0" fontId="44" fillId="27" borderId="39" xfId="0" applyFont="1" applyFill="1" applyBorder="1" applyAlignment="1">
      <alignment horizontal="center" vertical="center"/>
    </xf>
    <xf numFmtId="0" fontId="44" fillId="27" borderId="48" xfId="0" applyFont="1" applyFill="1" applyBorder="1" applyAlignment="1">
      <alignment horizontal="center" vertical="center"/>
    </xf>
    <xf numFmtId="0" fontId="44" fillId="22" borderId="48" xfId="0" applyFont="1" applyFill="1" applyBorder="1" applyAlignment="1">
      <alignment horizontal="center" vertical="center"/>
    </xf>
    <xf numFmtId="0" fontId="44" fillId="35" borderId="48" xfId="0" applyFont="1" applyFill="1" applyBorder="1" applyAlignment="1">
      <alignment horizontal="center" vertical="center"/>
    </xf>
    <xf numFmtId="0" fontId="55" fillId="36" borderId="48" xfId="0" applyFont="1" applyFill="1" applyBorder="1" applyAlignment="1">
      <alignment horizontal="right" vertical="center"/>
    </xf>
    <xf numFmtId="0" fontId="47" fillId="27" borderId="48" xfId="0" applyFont="1" applyFill="1" applyBorder="1" applyAlignment="1">
      <alignment horizontal="center" vertical="center"/>
    </xf>
    <xf numFmtId="0" fontId="47" fillId="27" borderId="54" xfId="0" applyFont="1" applyFill="1" applyBorder="1" applyAlignment="1">
      <alignment horizontal="center" vertical="center"/>
    </xf>
    <xf numFmtId="0" fontId="55" fillId="22" borderId="43" xfId="0" applyFont="1" applyFill="1" applyBorder="1" applyAlignment="1">
      <alignment horizontal="right" vertical="center"/>
    </xf>
    <xf numFmtId="0" fontId="55" fillId="22" borderId="44" xfId="0" applyFont="1" applyFill="1" applyBorder="1" applyAlignment="1">
      <alignment horizontal="right" vertical="center"/>
    </xf>
    <xf numFmtId="0" fontId="55" fillId="22" borderId="2" xfId="0" applyFont="1" applyFill="1" applyBorder="1" applyAlignment="1">
      <alignment horizontal="right" vertical="center"/>
    </xf>
    <xf numFmtId="0" fontId="55" fillId="22" borderId="35" xfId="0" applyFont="1" applyFill="1" applyBorder="1" applyAlignment="1">
      <alignment horizontal="right" vertical="center"/>
    </xf>
    <xf numFmtId="0" fontId="55" fillId="33" borderId="2" xfId="0" applyFont="1" applyFill="1" applyBorder="1" applyAlignment="1">
      <alignment horizontal="right" vertical="center"/>
    </xf>
    <xf numFmtId="0" fontId="55" fillId="33" borderId="46" xfId="0" applyFont="1" applyFill="1" applyBorder="1" applyAlignment="1">
      <alignment horizontal="right" vertical="center"/>
    </xf>
    <xf numFmtId="0" fontId="55" fillId="33" borderId="35" xfId="0" applyFont="1" applyFill="1" applyBorder="1" applyAlignment="1">
      <alignment horizontal="right" vertical="center"/>
    </xf>
    <xf numFmtId="0" fontId="55" fillId="34" borderId="2" xfId="0" applyFont="1" applyFill="1" applyBorder="1" applyAlignment="1">
      <alignment horizontal="right" vertical="center"/>
    </xf>
    <xf numFmtId="0" fontId="55" fillId="34" borderId="35" xfId="0" applyFont="1" applyFill="1" applyBorder="1" applyAlignment="1">
      <alignment horizontal="right" vertical="center"/>
    </xf>
    <xf numFmtId="0" fontId="50" fillId="19" borderId="25" xfId="0" applyFont="1" applyFill="1" applyBorder="1" applyAlignment="1">
      <alignment horizontal="center" vertical="center"/>
    </xf>
    <xf numFmtId="0" fontId="51" fillId="21" borderId="25" xfId="0" applyFont="1" applyFill="1" applyBorder="1" applyAlignment="1">
      <alignment horizontal="center" vertical="center"/>
    </xf>
    <xf numFmtId="0" fontId="50" fillId="21" borderId="25" xfId="0" applyFont="1" applyFill="1" applyBorder="1" applyAlignment="1">
      <alignment horizontal="center" vertical="center"/>
    </xf>
    <xf numFmtId="0" fontId="0" fillId="0" borderId="2" xfId="0" applyBorder="1" applyAlignment="1">
      <alignment horizontal="center"/>
    </xf>
    <xf numFmtId="0" fontId="39" fillId="10" borderId="92" xfId="0" applyFont="1" applyFill="1" applyBorder="1" applyAlignment="1">
      <alignment horizontal="right" vertical="center"/>
    </xf>
    <xf numFmtId="0" fontId="39" fillId="10" borderId="97" xfId="0" applyFont="1" applyFill="1" applyBorder="1" applyAlignment="1">
      <alignment horizontal="right" vertical="center"/>
    </xf>
    <xf numFmtId="0" fontId="39" fillId="10" borderId="99" xfId="0" applyFont="1" applyFill="1" applyBorder="1" applyAlignment="1">
      <alignment horizontal="right" vertical="center"/>
    </xf>
    <xf numFmtId="0" fontId="39" fillId="10" borderId="96" xfId="0" applyFont="1" applyFill="1" applyBorder="1" applyAlignment="1">
      <alignment horizontal="right" vertical="center"/>
    </xf>
    <xf numFmtId="0" fontId="37" fillId="10" borderId="92" xfId="0" applyFont="1" applyFill="1" applyBorder="1" applyAlignment="1">
      <alignment horizontal="right" vertical="center"/>
    </xf>
    <xf numFmtId="0" fontId="37" fillId="10" borderId="97" xfId="0" applyFont="1" applyFill="1" applyBorder="1" applyAlignment="1">
      <alignment horizontal="right" vertical="center"/>
    </xf>
    <xf numFmtId="0" fontId="37" fillId="10" borderId="99" xfId="0" applyFont="1" applyFill="1" applyBorder="1" applyAlignment="1">
      <alignment horizontal="right" vertical="center"/>
    </xf>
    <xf numFmtId="0" fontId="37" fillId="10" borderId="96" xfId="0" applyFont="1" applyFill="1" applyBorder="1" applyAlignment="1">
      <alignment horizontal="right" vertical="center"/>
    </xf>
    <xf numFmtId="3" fontId="37" fillId="10" borderId="97" xfId="0" applyNumberFormat="1" applyFont="1" applyFill="1" applyBorder="1" applyAlignment="1">
      <alignment horizontal="right" vertical="center"/>
    </xf>
    <xf numFmtId="0" fontId="39" fillId="10" borderId="93" xfId="0" applyFont="1" applyFill="1" applyBorder="1" applyAlignment="1">
      <alignment horizontal="right" vertical="center"/>
    </xf>
    <xf numFmtId="0" fontId="39" fillId="10" borderId="89" xfId="0" applyFont="1" applyFill="1" applyBorder="1" applyAlignment="1">
      <alignment horizontal="right" vertical="center"/>
    </xf>
    <xf numFmtId="0" fontId="39" fillId="10" borderId="3" xfId="0" applyFont="1" applyFill="1" applyBorder="1" applyAlignment="1">
      <alignment horizontal="right" vertical="center"/>
    </xf>
    <xf numFmtId="0" fontId="66" fillId="10" borderId="97" xfId="0" applyFont="1" applyFill="1" applyBorder="1" applyAlignment="1">
      <alignment horizontal="right" vertical="center"/>
    </xf>
    <xf numFmtId="0" fontId="67"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9" fillId="10" borderId="101" xfId="0" applyFont="1" applyFill="1" applyBorder="1" applyAlignment="1">
      <alignment horizontal="right" vertical="center"/>
    </xf>
    <xf numFmtId="0" fontId="69" fillId="10" borderId="98" xfId="0" applyFont="1" applyFill="1" applyBorder="1" applyAlignment="1">
      <alignment horizontal="left" vertical="center"/>
    </xf>
    <xf numFmtId="0" fontId="37" fillId="10" borderId="102" xfId="0" applyFont="1" applyFill="1" applyBorder="1" applyAlignment="1">
      <alignment horizontal="right" vertical="center"/>
    </xf>
    <xf numFmtId="0" fontId="39" fillId="10" borderId="105" xfId="0" applyFont="1" applyFill="1" applyBorder="1" applyAlignment="1">
      <alignment horizontal="right" vertical="center"/>
    </xf>
    <xf numFmtId="0" fontId="39" fillId="10" borderId="104" xfId="0" applyFont="1" applyFill="1" applyBorder="1" applyAlignment="1">
      <alignment horizontal="right" vertical="center"/>
    </xf>
    <xf numFmtId="0" fontId="37"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7" fillId="10" borderId="99" xfId="0" applyNumberFormat="1" applyFont="1" applyFill="1" applyBorder="1" applyAlignment="1">
      <alignment horizontal="right" vertical="center"/>
    </xf>
    <xf numFmtId="0" fontId="67" fillId="10" borderId="91" xfId="55" applyNumberFormat="1" applyFont="1" applyFill="1" applyBorder="1" applyAlignment="1">
      <alignment horizontal="right" vertical="center"/>
    </xf>
    <xf numFmtId="0" fontId="37" fillId="10" borderId="91" xfId="55" applyNumberFormat="1" applyFont="1" applyFill="1" applyBorder="1" applyAlignment="1">
      <alignment horizontal="right" vertical="center"/>
    </xf>
    <xf numFmtId="0" fontId="70" fillId="20" borderId="25" xfId="0" applyFont="1" applyFill="1" applyBorder="1" applyAlignment="1">
      <alignment horizontal="center" vertical="center"/>
    </xf>
    <xf numFmtId="0" fontId="0" fillId="0" borderId="112" xfId="0" applyBorder="1" applyAlignment="1">
      <alignment horizontal="center"/>
    </xf>
    <xf numFmtId="0" fontId="66" fillId="10" borderId="96" xfId="0" applyFont="1" applyFill="1" applyBorder="1" applyAlignment="1">
      <alignment horizontal="right" vertical="center"/>
    </xf>
    <xf numFmtId="3" fontId="37" fillId="10" borderId="96" xfId="0" applyNumberFormat="1" applyFont="1" applyFill="1" applyBorder="1" applyAlignment="1">
      <alignment horizontal="right" vertical="center"/>
    </xf>
    <xf numFmtId="0" fontId="39" fillId="10" borderId="114" xfId="0" applyFont="1" applyFill="1" applyBorder="1" applyAlignment="1">
      <alignment horizontal="right" vertical="center"/>
    </xf>
    <xf numFmtId="0" fontId="39" fillId="10" borderId="113" xfId="0" applyFont="1" applyFill="1" applyBorder="1" applyAlignment="1">
      <alignment horizontal="right" vertical="center"/>
    </xf>
    <xf numFmtId="0" fontId="37" fillId="10" borderId="113" xfId="0" applyFont="1" applyFill="1" applyBorder="1" applyAlignment="1">
      <alignment horizontal="right" vertical="center"/>
    </xf>
    <xf numFmtId="0" fontId="66" fillId="10" borderId="91" xfId="0" applyFont="1" applyFill="1" applyBorder="1" applyAlignment="1">
      <alignment horizontal="right" vertical="center"/>
    </xf>
    <xf numFmtId="3" fontId="37" fillId="10" borderId="113" xfId="0" applyNumberFormat="1" applyFont="1" applyFill="1" applyBorder="1" applyAlignment="1">
      <alignment horizontal="right" vertical="center"/>
    </xf>
    <xf numFmtId="0" fontId="37" fillId="10" borderId="89" xfId="0" applyFont="1" applyFill="1" applyBorder="1" applyAlignment="1">
      <alignment horizontal="right" vertical="center"/>
    </xf>
    <xf numFmtId="3" fontId="37" fillId="10" borderId="92" xfId="0" applyNumberFormat="1" applyFont="1" applyFill="1" applyBorder="1" applyAlignment="1">
      <alignment horizontal="right" vertical="center"/>
    </xf>
    <xf numFmtId="0" fontId="37" fillId="10" borderId="3" xfId="0" applyFont="1" applyFill="1" applyBorder="1" applyAlignment="1">
      <alignment horizontal="right" vertical="center"/>
    </xf>
    <xf numFmtId="0" fontId="37" fillId="10" borderId="101" xfId="0" applyFont="1" applyFill="1" applyBorder="1" applyAlignment="1">
      <alignment horizontal="right" vertical="center"/>
    </xf>
    <xf numFmtId="3" fontId="37"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2" fillId="12" borderId="110" xfId="55" applyNumberFormat="1" applyFont="1" applyFill="1" applyBorder="1" applyAlignment="1">
      <alignment horizontal="center" vertical="center"/>
    </xf>
    <xf numFmtId="0" fontId="72"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6" fillId="10" borderId="94" xfId="0" applyFont="1" applyFill="1" applyBorder="1" applyAlignment="1">
      <alignment horizontal="right" vertical="center"/>
    </xf>
    <xf numFmtId="0" fontId="73"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6" fillId="14" borderId="8" xfId="15" applyFont="1" applyFill="1" applyBorder="1" applyAlignment="1">
      <alignment horizontal="center" vertical="center"/>
    </xf>
    <xf numFmtId="0" fontId="77" fillId="14" borderId="8" xfId="15" applyFont="1" applyFill="1" applyBorder="1" applyAlignment="1">
      <alignment horizontal="center" vertical="center"/>
    </xf>
    <xf numFmtId="0" fontId="78" fillId="14" borderId="8" xfId="15" applyFont="1" applyFill="1" applyBorder="1" applyAlignment="1">
      <alignment horizontal="center" vertical="center"/>
    </xf>
    <xf numFmtId="166" fontId="37" fillId="10" borderId="90" xfId="0" applyNumberFormat="1" applyFont="1" applyFill="1" applyBorder="1" applyAlignment="1">
      <alignment horizontal="center" vertical="center"/>
    </xf>
    <xf numFmtId="166" fontId="37" fillId="10" borderId="127" xfId="0" applyNumberFormat="1" applyFont="1" applyFill="1" applyBorder="1" applyAlignment="1">
      <alignment horizontal="center" vertical="center"/>
    </xf>
    <xf numFmtId="166" fontId="37" fillId="10" borderId="91" xfId="0" applyNumberFormat="1" applyFont="1" applyFill="1" applyBorder="1" applyAlignment="1">
      <alignment horizontal="center" vertical="center"/>
    </xf>
    <xf numFmtId="166" fontId="37" fillId="10" borderId="128" xfId="0" applyNumberFormat="1" applyFont="1" applyFill="1" applyBorder="1" applyAlignment="1">
      <alignment horizontal="center" vertical="center"/>
    </xf>
    <xf numFmtId="166" fontId="37" fillId="10" borderId="3" xfId="0" applyNumberFormat="1" applyFont="1" applyFill="1" applyBorder="1" applyAlignment="1">
      <alignment horizontal="center" vertical="center"/>
    </xf>
    <xf numFmtId="166" fontId="37" fillId="10" borderId="89" xfId="0" applyNumberFormat="1" applyFont="1" applyFill="1" applyBorder="1" applyAlignment="1">
      <alignment horizontal="center" vertical="center"/>
    </xf>
    <xf numFmtId="166" fontId="37" fillId="10" borderId="101" xfId="0" applyNumberFormat="1" applyFont="1" applyFill="1" applyBorder="1" applyAlignment="1">
      <alignment horizontal="center" vertical="center"/>
    </xf>
    <xf numFmtId="166" fontId="37" fillId="10" borderId="114" xfId="0" applyNumberFormat="1" applyFont="1" applyFill="1" applyBorder="1" applyAlignment="1">
      <alignment horizontal="center" vertical="center"/>
    </xf>
    <xf numFmtId="0" fontId="39" fillId="10" borderId="90" xfId="0" applyFont="1" applyFill="1" applyBorder="1" applyAlignment="1">
      <alignment horizontal="right" vertical="center"/>
    </xf>
    <xf numFmtId="0" fontId="39" fillId="10" borderId="127" xfId="0" applyFont="1" applyFill="1" applyBorder="1" applyAlignment="1">
      <alignment horizontal="right" vertical="center"/>
    </xf>
    <xf numFmtId="0" fontId="39" fillId="10" borderId="91" xfId="0" applyFont="1" applyFill="1" applyBorder="1" applyAlignment="1">
      <alignment horizontal="right" vertical="center"/>
    </xf>
    <xf numFmtId="0" fontId="39" fillId="10" borderId="128" xfId="0" applyFont="1" applyFill="1" applyBorder="1" applyAlignment="1">
      <alignment horizontal="right" vertical="center"/>
    </xf>
    <xf numFmtId="0" fontId="39" fillId="10" borderId="117" xfId="0" applyFont="1" applyFill="1" applyBorder="1" applyAlignment="1">
      <alignment horizontal="right" vertical="center"/>
    </xf>
    <xf numFmtId="0" fontId="39"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8" fillId="10" borderId="94" xfId="0" applyFont="1" applyFill="1" applyBorder="1" applyAlignment="1">
      <alignment horizontal="right" vertical="center"/>
    </xf>
    <xf numFmtId="167" fontId="37"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5" borderId="131" xfId="15" applyFont="1" applyFill="1" applyBorder="1" applyAlignment="1">
      <alignment horizontal="center" vertical="center"/>
    </xf>
    <xf numFmtId="167" fontId="37"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6" fillId="10" borderId="130" xfId="114" applyNumberFormat="1" applyFont="1" applyFill="1" applyBorder="1" applyAlignment="1">
      <alignment horizontal="right" vertical="center"/>
    </xf>
    <xf numFmtId="10" fontId="76" fillId="10" borderId="10" xfId="114" applyNumberFormat="1" applyFont="1" applyFill="1" applyBorder="1" applyAlignment="1">
      <alignment horizontal="right" vertical="center"/>
    </xf>
    <xf numFmtId="10" fontId="76"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7" fillId="10" borderId="90" xfId="55" applyNumberFormat="1" applyFont="1" applyFill="1" applyBorder="1" applyAlignment="1">
      <alignment horizontal="right" vertical="center"/>
    </xf>
    <xf numFmtId="43" fontId="32" fillId="13" borderId="111" xfId="55" applyFont="1" applyFill="1" applyBorder="1" applyAlignment="1">
      <alignment horizontal="center" vertical="center" wrapText="1"/>
    </xf>
    <xf numFmtId="1" fontId="79" fillId="11" borderId="120"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18" xfId="77" applyNumberFormat="1" applyFont="1" applyFill="1" applyBorder="1" applyAlignment="1">
      <alignment horizontal="center" vertical="center"/>
    </xf>
    <xf numFmtId="1" fontId="81"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5" fillId="9" borderId="96" xfId="55" applyNumberFormat="1" applyFont="1" applyFill="1" applyBorder="1" applyAlignment="1">
      <alignment horizontal="center" vertical="center"/>
    </xf>
    <xf numFmtId="2" fontId="75" fillId="9" borderId="95" xfId="55" applyNumberFormat="1" applyFont="1" applyFill="1" applyBorder="1" applyAlignment="1">
      <alignment horizontal="center" vertical="center"/>
    </xf>
    <xf numFmtId="2" fontId="75" fillId="9" borderId="99" xfId="55" applyNumberFormat="1" applyFont="1" applyFill="1" applyBorder="1" applyAlignment="1">
      <alignment horizontal="center" vertical="center"/>
    </xf>
    <xf numFmtId="0" fontId="82" fillId="9" borderId="124" xfId="55" applyNumberFormat="1" applyFont="1" applyFill="1" applyBorder="1" applyAlignment="1">
      <alignment horizontal="left" vertical="center"/>
    </xf>
    <xf numFmtId="0" fontId="66" fillId="10" borderId="92" xfId="0" applyFont="1" applyFill="1" applyBorder="1" applyAlignment="1">
      <alignment horizontal="right" vertical="center"/>
    </xf>
    <xf numFmtId="0" fontId="66" fillId="10" borderId="104" xfId="0" applyFont="1" applyFill="1" applyBorder="1" applyAlignment="1">
      <alignment horizontal="right" vertical="center"/>
    </xf>
    <xf numFmtId="0" fontId="67" fillId="10" borderId="96" xfId="55" applyNumberFormat="1" applyFont="1" applyFill="1" applyBorder="1" applyAlignment="1">
      <alignment horizontal="right" vertical="center"/>
    </xf>
    <xf numFmtId="0" fontId="75" fillId="9" borderId="124" xfId="55" applyNumberFormat="1" applyFont="1" applyFill="1" applyBorder="1" applyAlignment="1">
      <alignment horizontal="right" vertical="center"/>
    </xf>
    <xf numFmtId="0" fontId="67" fillId="10" borderId="104" xfId="55" applyNumberFormat="1" applyFont="1" applyFill="1" applyBorder="1" applyAlignment="1">
      <alignment horizontal="right" vertical="center"/>
    </xf>
    <xf numFmtId="0" fontId="75" fillId="9" borderId="95" xfId="55" applyNumberFormat="1" applyFont="1" applyFill="1" applyBorder="1" applyAlignment="1">
      <alignment horizontal="right" vertical="center"/>
    </xf>
    <xf numFmtId="0" fontId="67" fillId="10" borderId="92" xfId="55" applyNumberFormat="1" applyFont="1" applyFill="1" applyBorder="1" applyAlignment="1">
      <alignment horizontal="right" vertical="center"/>
    </xf>
    <xf numFmtId="0" fontId="83" fillId="9" borderId="95" xfId="55" applyNumberFormat="1" applyFont="1" applyFill="1" applyBorder="1" applyAlignment="1">
      <alignment horizontal="right" vertical="center"/>
    </xf>
    <xf numFmtId="0" fontId="83" fillId="9" borderId="124" xfId="55" applyNumberFormat="1" applyFont="1" applyFill="1" applyBorder="1" applyAlignment="1">
      <alignment horizontal="right" vertical="center"/>
    </xf>
    <xf numFmtId="10" fontId="84" fillId="10" borderId="96" xfId="114" applyNumberFormat="1" applyFont="1" applyFill="1" applyBorder="1" applyAlignment="1">
      <alignment horizontal="center" vertical="center"/>
    </xf>
    <xf numFmtId="10" fontId="84" fillId="10" borderId="95" xfId="114" applyNumberFormat="1" applyFont="1" applyFill="1" applyBorder="1" applyAlignment="1">
      <alignment horizontal="center" vertical="center"/>
    </xf>
    <xf numFmtId="10" fontId="84" fillId="10" borderId="97" xfId="114" applyNumberFormat="1" applyFont="1" applyFill="1" applyBorder="1" applyAlignment="1">
      <alignment horizontal="center" vertical="center"/>
    </xf>
    <xf numFmtId="10" fontId="84" fillId="10" borderId="99" xfId="114" applyNumberFormat="1" applyFont="1" applyFill="1" applyBorder="1" applyAlignment="1">
      <alignment horizontal="center" vertical="center"/>
    </xf>
    <xf numFmtId="0" fontId="87" fillId="0" borderId="0" xfId="0" applyFont="1" applyAlignment="1">
      <alignment vertical="top"/>
    </xf>
    <xf numFmtId="0" fontId="36" fillId="9" borderId="129" xfId="0" applyFont="1" applyFill="1" applyBorder="1" applyAlignment="1">
      <alignment vertical="center"/>
    </xf>
    <xf numFmtId="0" fontId="36" fillId="9" borderId="97" xfId="0" applyFont="1" applyFill="1" applyBorder="1" applyAlignment="1">
      <alignment vertical="center"/>
    </xf>
    <xf numFmtId="0" fontId="67" fillId="10" borderId="113" xfId="55" applyNumberFormat="1" applyFont="1" applyFill="1" applyBorder="1" applyAlignment="1">
      <alignment horizontal="right" vertical="center"/>
    </xf>
    <xf numFmtId="0" fontId="66" fillId="10" borderId="113" xfId="0" applyFont="1" applyFill="1" applyBorder="1" applyAlignment="1">
      <alignment horizontal="right" vertical="center"/>
    </xf>
    <xf numFmtId="0" fontId="75" fillId="9" borderId="138" xfId="55" applyNumberFormat="1" applyFont="1" applyFill="1" applyBorder="1" applyAlignment="1">
      <alignment horizontal="right" vertical="center"/>
    </xf>
    <xf numFmtId="0" fontId="83"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4" fillId="10" borderId="116" xfId="114" applyNumberFormat="1" applyFont="1" applyFill="1" applyBorder="1" applyAlignment="1">
      <alignment horizontal="center" vertical="center"/>
    </xf>
    <xf numFmtId="166" fontId="37" fillId="10" borderId="117" xfId="0" applyNumberFormat="1" applyFont="1" applyFill="1" applyBorder="1" applyAlignment="1">
      <alignment horizontal="center" vertical="center"/>
    </xf>
    <xf numFmtId="2" fontId="82" fillId="9" borderId="124" xfId="55" applyNumberFormat="1" applyFont="1" applyFill="1" applyBorder="1" applyAlignment="1">
      <alignment horizontal="right" vertical="center"/>
    </xf>
    <xf numFmtId="2" fontId="82" fillId="9" borderId="125"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9" fillId="9" borderId="124" xfId="55" applyNumberFormat="1" applyFont="1" applyFill="1" applyBorder="1" applyAlignment="1">
      <alignment horizontal="right" vertical="center"/>
    </xf>
    <xf numFmtId="0" fontId="89" fillId="10" borderId="96" xfId="0" applyFont="1" applyFill="1" applyBorder="1" applyAlignment="1">
      <alignment horizontal="right" vertical="center"/>
    </xf>
    <xf numFmtId="0" fontId="88" fillId="10" borderId="96" xfId="55" applyNumberFormat="1" applyFont="1" applyFill="1" applyBorder="1" applyAlignment="1">
      <alignment horizontal="right" vertical="center"/>
    </xf>
    <xf numFmtId="0" fontId="90" fillId="9" borderId="92" xfId="0" applyFont="1" applyFill="1" applyBorder="1" applyAlignment="1">
      <alignment horizontal="center" vertical="center"/>
    </xf>
    <xf numFmtId="10" fontId="91" fillId="10" borderId="96" xfId="114" applyNumberFormat="1" applyFont="1" applyFill="1" applyBorder="1" applyAlignment="1">
      <alignment horizontal="center" vertical="center"/>
    </xf>
    <xf numFmtId="0" fontId="92" fillId="10" borderId="3" xfId="0" applyFont="1" applyFill="1" applyBorder="1" applyAlignment="1">
      <alignment horizontal="right" vertical="center"/>
    </xf>
    <xf numFmtId="0" fontId="92" fillId="10" borderId="96" xfId="0" applyFont="1" applyFill="1" applyBorder="1" applyAlignment="1">
      <alignment horizontal="right" vertical="center"/>
    </xf>
    <xf numFmtId="0" fontId="92" fillId="10" borderId="91" xfId="0" applyFont="1" applyFill="1" applyBorder="1" applyAlignment="1">
      <alignment horizontal="right" vertical="center"/>
    </xf>
    <xf numFmtId="0" fontId="93" fillId="10" borderId="96" xfId="0" applyFont="1" applyFill="1" applyBorder="1" applyAlignment="1">
      <alignment horizontal="right" vertical="center"/>
    </xf>
    <xf numFmtId="3" fontId="93" fillId="10" borderId="96" xfId="0" applyNumberFormat="1" applyFont="1" applyFill="1" applyBorder="1" applyAlignment="1">
      <alignment horizontal="right" vertical="center"/>
    </xf>
    <xf numFmtId="0" fontId="88" fillId="10" borderId="104" xfId="55" applyNumberFormat="1" applyFont="1" applyFill="1" applyBorder="1" applyAlignment="1">
      <alignment horizontal="right" vertical="center"/>
    </xf>
    <xf numFmtId="0" fontId="89" fillId="10" borderId="104" xfId="0" applyFont="1" applyFill="1" applyBorder="1" applyAlignment="1">
      <alignment horizontal="right" vertical="center"/>
    </xf>
    <xf numFmtId="0" fontId="89" fillId="9" borderId="95" xfId="55" applyNumberFormat="1" applyFont="1" applyFill="1" applyBorder="1" applyAlignment="1">
      <alignment horizontal="right" vertical="center"/>
    </xf>
    <xf numFmtId="0" fontId="88" fillId="9" borderId="95" xfId="55" applyNumberFormat="1" applyFont="1" applyFill="1" applyBorder="1" applyAlignment="1">
      <alignment horizontal="right" vertical="center"/>
    </xf>
    <xf numFmtId="0" fontId="90" fillId="9" borderId="90" xfId="0" applyFont="1" applyFill="1" applyBorder="1" applyAlignment="1">
      <alignment horizontal="center" vertical="center"/>
    </xf>
    <xf numFmtId="10" fontId="91" fillId="10" borderId="95" xfId="114" applyNumberFormat="1" applyFont="1" applyFill="1" applyBorder="1" applyAlignment="1">
      <alignment horizontal="center" vertical="center"/>
    </xf>
    <xf numFmtId="0" fontId="92" fillId="10" borderId="105" xfId="0" applyFont="1" applyFill="1" applyBorder="1" applyAlignment="1">
      <alignment horizontal="right" vertical="center"/>
    </xf>
    <xf numFmtId="0" fontId="92" fillId="10" borderId="104" xfId="0" applyFont="1" applyFill="1" applyBorder="1" applyAlignment="1">
      <alignment horizontal="right" vertical="center"/>
    </xf>
    <xf numFmtId="0" fontId="92" fillId="10" borderId="128" xfId="0" applyFont="1" applyFill="1" applyBorder="1" applyAlignment="1">
      <alignment horizontal="right" vertical="center"/>
    </xf>
    <xf numFmtId="0" fontId="93" fillId="10" borderId="104" xfId="0" applyFont="1" applyFill="1" applyBorder="1" applyAlignment="1">
      <alignment horizontal="right" vertical="center"/>
    </xf>
    <xf numFmtId="3" fontId="93" fillId="10" borderId="104" xfId="0" applyNumberFormat="1" applyFont="1" applyFill="1" applyBorder="1" applyAlignment="1">
      <alignment horizontal="right" vertical="center"/>
    </xf>
    <xf numFmtId="0" fontId="89" fillId="10" borderId="92" xfId="0" applyFont="1" applyFill="1" applyBorder="1" applyAlignment="1">
      <alignment horizontal="right" vertical="center"/>
    </xf>
    <xf numFmtId="0" fontId="88" fillId="10" borderId="92" xfId="55" applyNumberFormat="1" applyFont="1" applyFill="1" applyBorder="1" applyAlignment="1">
      <alignment horizontal="right" vertical="center"/>
    </xf>
    <xf numFmtId="0" fontId="92" fillId="10" borderId="93" xfId="0" applyFont="1" applyFill="1" applyBorder="1" applyAlignment="1">
      <alignment horizontal="right" vertical="center"/>
    </xf>
    <xf numFmtId="0" fontId="92" fillId="10" borderId="92" xfId="0" applyFont="1" applyFill="1" applyBorder="1" applyAlignment="1">
      <alignment horizontal="right" vertical="center"/>
    </xf>
    <xf numFmtId="0" fontId="92" fillId="10" borderId="127" xfId="0" applyFont="1" applyFill="1" applyBorder="1" applyAlignment="1">
      <alignment horizontal="right" vertical="center"/>
    </xf>
    <xf numFmtId="0" fontId="93" fillId="10" borderId="92" xfId="0" applyFont="1" applyFill="1" applyBorder="1" applyAlignment="1">
      <alignment horizontal="right" vertical="center"/>
    </xf>
    <xf numFmtId="3" fontId="93" fillId="10" borderId="92" xfId="0" applyNumberFormat="1" applyFont="1" applyFill="1" applyBorder="1" applyAlignment="1">
      <alignment horizontal="right" vertical="center"/>
    </xf>
    <xf numFmtId="0" fontId="92" fillId="10" borderId="89" xfId="0" applyFont="1" applyFill="1" applyBorder="1" applyAlignment="1">
      <alignment horizontal="right" vertical="center"/>
    </xf>
    <xf numFmtId="0" fontId="92" fillId="10" borderId="97" xfId="0" applyFont="1" applyFill="1" applyBorder="1" applyAlignment="1">
      <alignment horizontal="right" vertical="center"/>
    </xf>
    <xf numFmtId="0" fontId="92" fillId="10" borderId="90" xfId="0" applyFont="1" applyFill="1" applyBorder="1" applyAlignment="1">
      <alignment horizontal="right" vertical="center"/>
    </xf>
    <xf numFmtId="0" fontId="93" fillId="10" borderId="97" xfId="0" applyFont="1" applyFill="1" applyBorder="1" applyAlignment="1">
      <alignment horizontal="right" vertical="center"/>
    </xf>
    <xf numFmtId="3" fontId="93" fillId="10" borderId="97" xfId="0" applyNumberFormat="1" applyFont="1" applyFill="1" applyBorder="1" applyAlignment="1">
      <alignment horizontal="right" vertical="center"/>
    </xf>
    <xf numFmtId="0" fontId="94" fillId="29" borderId="34" xfId="0" applyFont="1" applyFill="1" applyBorder="1" applyAlignment="1">
      <alignment horizontal="center" vertical="center"/>
    </xf>
    <xf numFmtId="4" fontId="94" fillId="32" borderId="34" xfId="0" applyNumberFormat="1" applyFont="1" applyFill="1" applyBorder="1" applyAlignment="1">
      <alignment horizontal="center" vertical="center"/>
    </xf>
    <xf numFmtId="0" fontId="94" fillId="25" borderId="34" xfId="0" applyFont="1" applyFill="1" applyBorder="1" applyAlignment="1">
      <alignment horizontal="center" vertical="center"/>
    </xf>
    <xf numFmtId="0" fontId="94" fillId="29" borderId="86" xfId="0" applyFont="1" applyFill="1" applyBorder="1" applyAlignment="1">
      <alignment horizontal="center" vertical="center"/>
    </xf>
    <xf numFmtId="1" fontId="94" fillId="29" borderId="34" xfId="0" applyNumberFormat="1" applyFont="1" applyFill="1" applyBorder="1" applyAlignment="1">
      <alignment horizontal="center" vertical="center"/>
    </xf>
    <xf numFmtId="2" fontId="66" fillId="9" borderId="99" xfId="0" applyNumberFormat="1" applyFont="1" applyFill="1" applyBorder="1" applyAlignment="1">
      <alignment horizontal="center" vertical="center"/>
    </xf>
    <xf numFmtId="2" fontId="66" fillId="9" borderId="96" xfId="0" applyNumberFormat="1" applyFont="1" applyFill="1" applyBorder="1" applyAlignment="1">
      <alignment horizontal="center" vertical="center"/>
    </xf>
    <xf numFmtId="2" fontId="66"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1" fillId="9" borderId="140" xfId="0" applyNumberFormat="1" applyFont="1" applyFill="1" applyBorder="1" applyAlignment="1">
      <alignment horizontal="center" vertical="center"/>
    </xf>
    <xf numFmtId="167" fontId="67" fillId="10" borderId="91" xfId="55" applyNumberFormat="1" applyFont="1" applyFill="1" applyBorder="1" applyAlignment="1">
      <alignment horizontal="right" vertical="center"/>
    </xf>
    <xf numFmtId="167" fontId="67" fillId="10" borderId="96" xfId="55" applyNumberFormat="1" applyFont="1" applyFill="1" applyBorder="1" applyAlignment="1">
      <alignment horizontal="right" vertical="center"/>
    </xf>
    <xf numFmtId="1" fontId="82" fillId="9" borderId="141" xfId="55" applyNumberFormat="1" applyFont="1" applyFill="1" applyBorder="1" applyAlignment="1">
      <alignment vertical="center"/>
    </xf>
    <xf numFmtId="0" fontId="72" fillId="12" borderId="136" xfId="55" applyNumberFormat="1" applyFont="1" applyFill="1" applyBorder="1" applyAlignment="1">
      <alignment horizontal="center" vertical="center"/>
    </xf>
    <xf numFmtId="0" fontId="72" fillId="12" borderId="137" xfId="55" applyNumberFormat="1" applyFont="1" applyFill="1" applyBorder="1" applyAlignment="1">
      <alignment horizontal="center" vertical="center"/>
    </xf>
    <xf numFmtId="167" fontId="13" fillId="40" borderId="3" xfId="183" applyNumberFormat="1" applyFont="1" applyBorder="1" applyAlignment="1">
      <alignment horizontal="center" vertical="center"/>
    </xf>
    <xf numFmtId="0" fontId="36" fillId="42" borderId="0" xfId="185" applyFont="1" applyAlignment="1">
      <alignment horizontal="center" vertical="center"/>
    </xf>
    <xf numFmtId="0" fontId="98" fillId="10" borderId="98" xfId="0" applyFont="1" applyFill="1" applyBorder="1" applyAlignment="1">
      <alignment horizontal="left" vertical="center"/>
    </xf>
    <xf numFmtId="0" fontId="88" fillId="10" borderId="142" xfId="55" applyNumberFormat="1" applyFont="1" applyFill="1" applyBorder="1" applyAlignment="1">
      <alignment horizontal="right" vertical="center"/>
    </xf>
    <xf numFmtId="0" fontId="89" fillId="10" borderId="142" xfId="0" applyFont="1" applyFill="1" applyBorder="1" applyAlignment="1">
      <alignment horizontal="right" vertical="center"/>
    </xf>
    <xf numFmtId="0" fontId="89" fillId="9" borderId="143" xfId="55" applyNumberFormat="1" applyFont="1" applyFill="1" applyBorder="1" applyAlignment="1">
      <alignment horizontal="right" vertical="center"/>
    </xf>
    <xf numFmtId="0" fontId="88" fillId="9" borderId="143" xfId="55" applyNumberFormat="1" applyFont="1" applyFill="1" applyBorder="1" applyAlignment="1">
      <alignment horizontal="right" vertical="center"/>
    </xf>
    <xf numFmtId="0" fontId="90" fillId="9" borderId="144" xfId="0" applyFont="1" applyFill="1" applyBorder="1" applyAlignment="1">
      <alignment horizontal="center" vertical="center"/>
    </xf>
    <xf numFmtId="10" fontId="91" fillId="10" borderId="143" xfId="114" applyNumberFormat="1" applyFont="1" applyFill="1" applyBorder="1" applyAlignment="1">
      <alignment horizontal="center" vertical="center"/>
    </xf>
    <xf numFmtId="0" fontId="92" fillId="10" borderId="145" xfId="0" applyFont="1" applyFill="1" applyBorder="1" applyAlignment="1">
      <alignment horizontal="right" vertical="center"/>
    </xf>
    <xf numFmtId="0" fontId="92" fillId="10" borderId="142" xfId="0" applyFont="1" applyFill="1" applyBorder="1" applyAlignment="1">
      <alignment horizontal="right" vertical="center"/>
    </xf>
    <xf numFmtId="0" fontId="92" fillId="10" borderId="146" xfId="0" applyFont="1" applyFill="1" applyBorder="1" applyAlignment="1">
      <alignment horizontal="right" vertical="center"/>
    </xf>
    <xf numFmtId="0" fontId="93" fillId="10" borderId="142" xfId="0" applyFont="1" applyFill="1" applyBorder="1" applyAlignment="1">
      <alignment horizontal="right" vertical="center"/>
    </xf>
    <xf numFmtId="3" fontId="93" fillId="10" borderId="142" xfId="0" applyNumberFormat="1" applyFont="1" applyFill="1" applyBorder="1" applyAlignment="1">
      <alignment horizontal="right" vertical="center"/>
    </xf>
    <xf numFmtId="3" fontId="37" fillId="10" borderId="142" xfId="0" applyNumberFormat="1" applyFont="1" applyFill="1" applyBorder="1" applyAlignment="1">
      <alignment horizontal="right" vertical="center"/>
    </xf>
    <xf numFmtId="166" fontId="37"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7" fillId="10" borderId="143" xfId="55" applyNumberFormat="1" applyFont="1" applyFill="1" applyBorder="1" applyAlignment="1">
      <alignment horizontal="right" vertical="center"/>
    </xf>
    <xf numFmtId="0" fontId="66"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4" fillId="10" borderId="143" xfId="114" applyNumberFormat="1" applyFont="1" applyFill="1" applyBorder="1" applyAlignment="1">
      <alignment horizontal="center" vertical="center"/>
    </xf>
    <xf numFmtId="0" fontId="39" fillId="10" borderId="145" xfId="0" applyFont="1" applyFill="1" applyBorder="1" applyAlignment="1">
      <alignment horizontal="right" vertical="center"/>
    </xf>
    <xf numFmtId="0" fontId="39" fillId="10" borderId="142" xfId="0" applyFont="1" applyFill="1" applyBorder="1" applyAlignment="1">
      <alignment horizontal="right" vertical="center"/>
    </xf>
    <xf numFmtId="0" fontId="39" fillId="10" borderId="146" xfId="0" applyFont="1" applyFill="1" applyBorder="1" applyAlignment="1">
      <alignment horizontal="right" vertical="center"/>
    </xf>
    <xf numFmtId="0" fontId="37" fillId="10" borderId="142" xfId="0" applyFont="1" applyFill="1" applyBorder="1" applyAlignment="1">
      <alignment horizontal="right" vertical="center"/>
    </xf>
    <xf numFmtId="166" fontId="37"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7" fillId="10" borderId="142" xfId="55" applyNumberFormat="1" applyFont="1" applyFill="1" applyBorder="1" applyAlignment="1">
      <alignment horizontal="right" vertical="center"/>
    </xf>
    <xf numFmtId="3" fontId="37" fillId="10" borderId="143" xfId="0" applyNumberFormat="1" applyFont="1" applyFill="1" applyBorder="1" applyAlignment="1">
      <alignment horizontal="right" vertical="center"/>
    </xf>
    <xf numFmtId="2" fontId="75"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6" fillId="41" borderId="0" xfId="184" applyNumberFormat="1" applyFont="1" applyAlignment="1">
      <alignment horizontal="center" vertical="center"/>
    </xf>
    <xf numFmtId="0" fontId="66" fillId="10" borderId="153" xfId="0" applyFont="1" applyFill="1" applyBorder="1" applyAlignment="1">
      <alignment horizontal="right" vertical="center"/>
    </xf>
    <xf numFmtId="0" fontId="67" fillId="10" borderId="146" xfId="55" applyNumberFormat="1" applyFont="1" applyFill="1" applyBorder="1" applyAlignment="1">
      <alignment horizontal="right" vertical="center"/>
    </xf>
    <xf numFmtId="10" fontId="84"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6" fillId="9" borderId="143" xfId="0" applyNumberFormat="1" applyFont="1" applyFill="1" applyBorder="1" applyAlignment="1">
      <alignment horizontal="center" vertical="center"/>
    </xf>
    <xf numFmtId="0" fontId="37" fillId="10" borderId="145" xfId="0" applyFont="1" applyFill="1" applyBorder="1" applyAlignment="1">
      <alignment horizontal="right" vertical="center"/>
    </xf>
    <xf numFmtId="0" fontId="0" fillId="0" borderId="0" xfId="0" applyNumberFormat="1" applyAlignment="1">
      <alignment horizontal="center" vertical="center"/>
    </xf>
    <xf numFmtId="1" fontId="100" fillId="11" borderId="120" xfId="77" applyNumberFormat="1" applyFont="1" applyFill="1" applyBorder="1" applyAlignment="1">
      <alignment horizontal="center" vertical="center"/>
    </xf>
    <xf numFmtId="1" fontId="74" fillId="11" borderId="154" xfId="77" applyNumberFormat="1" applyFont="1" applyFill="1" applyBorder="1" applyAlignment="1">
      <alignment horizontal="center" vertical="center"/>
    </xf>
    <xf numFmtId="1" fontId="95" fillId="11" borderId="118" xfId="77" applyNumberFormat="1" applyFont="1" applyFill="1" applyBorder="1" applyAlignment="1">
      <alignment horizontal="center" vertical="center"/>
    </xf>
    <xf numFmtId="1" fontId="79" fillId="11" borderId="152" xfId="77" applyNumberFormat="1" applyFont="1" applyFill="1" applyBorder="1" applyAlignment="1">
      <alignment horizontal="center" vertical="center"/>
    </xf>
    <xf numFmtId="3" fontId="37"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4" fillId="9" borderId="125" xfId="55" applyNumberFormat="1" applyFont="1" applyFill="1" applyBorder="1" applyAlignment="1">
      <alignment horizontal="right" vertical="center"/>
    </xf>
    <xf numFmtId="0" fontId="105" fillId="9" borderId="124" xfId="55" applyNumberFormat="1" applyFont="1" applyFill="1" applyBorder="1" applyAlignment="1">
      <alignment horizontal="left" vertical="center"/>
    </xf>
    <xf numFmtId="2" fontId="105"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7" fillId="9" borderId="0" xfId="0" applyNumberFormat="1" applyFont="1" applyFill="1"/>
    <xf numFmtId="0" fontId="107" fillId="9" borderId="0" xfId="0" applyFont="1" applyFill="1" applyAlignment="1">
      <alignment horizontal="center"/>
    </xf>
    <xf numFmtId="1" fontId="101" fillId="11" borderId="118" xfId="77" applyNumberFormat="1" applyFont="1" applyFill="1" applyBorder="1" applyAlignment="1">
      <alignment horizontal="center" vertical="center"/>
    </xf>
    <xf numFmtId="1" fontId="109" fillId="11" borderId="118" xfId="77" applyNumberFormat="1" applyFont="1" applyFill="1" applyBorder="1" applyAlignment="1">
      <alignment horizontal="center" vertical="center"/>
    </xf>
    <xf numFmtId="1" fontId="99" fillId="11" borderId="154" xfId="77" applyNumberFormat="1" applyFont="1" applyFill="1" applyBorder="1" applyAlignment="1">
      <alignment horizontal="center" vertical="center"/>
    </xf>
    <xf numFmtId="1" fontId="101" fillId="11" borderId="152" xfId="77" applyNumberFormat="1" applyFont="1" applyFill="1" applyBorder="1" applyAlignment="1">
      <alignment horizontal="center" vertical="center"/>
    </xf>
    <xf numFmtId="1" fontId="109" fillId="11" borderId="120" xfId="77" applyNumberFormat="1" applyFont="1" applyFill="1" applyBorder="1" applyAlignment="1">
      <alignment horizontal="center" vertical="center"/>
    </xf>
    <xf numFmtId="1" fontId="99" fillId="11" borderId="120" xfId="77" applyNumberFormat="1" applyFont="1" applyFill="1" applyBorder="1" applyAlignment="1">
      <alignment horizontal="center" vertical="center"/>
    </xf>
    <xf numFmtId="0" fontId="98" fillId="10" borderId="94" xfId="0" applyFont="1" applyFill="1" applyBorder="1" applyAlignment="1">
      <alignment horizontal="right" vertical="center"/>
    </xf>
    <xf numFmtId="2" fontId="82" fillId="9" borderId="157" xfId="55" applyNumberFormat="1" applyFont="1" applyFill="1" applyBorder="1" applyAlignment="1">
      <alignment horizontal="center" vertical="center"/>
    </xf>
    <xf numFmtId="0" fontId="66" fillId="10" borderId="146" xfId="0" applyFont="1" applyFill="1" applyBorder="1" applyAlignment="1">
      <alignment horizontal="right" vertical="center"/>
    </xf>
    <xf numFmtId="0" fontId="66" fillId="10" borderId="90" xfId="0" applyFont="1" applyFill="1" applyBorder="1" applyAlignment="1">
      <alignment horizontal="right" vertical="center"/>
    </xf>
    <xf numFmtId="0" fontId="67" fillId="10" borderId="97" xfId="55" applyNumberFormat="1" applyFont="1" applyFill="1" applyBorder="1" applyAlignment="1">
      <alignment horizontal="right" vertical="center"/>
    </xf>
    <xf numFmtId="0" fontId="110" fillId="0" borderId="0" xfId="0" applyFont="1"/>
    <xf numFmtId="0" fontId="2" fillId="0" borderId="0" xfId="0" applyFont="1"/>
    <xf numFmtId="0" fontId="66" fillId="10" borderId="158" xfId="0" applyFont="1" applyFill="1" applyBorder="1" applyAlignment="1">
      <alignment horizontal="right" vertical="center"/>
    </xf>
    <xf numFmtId="0" fontId="37" fillId="10" borderId="146" xfId="55" applyNumberFormat="1" applyFont="1" applyFill="1" applyBorder="1" applyAlignment="1">
      <alignment horizontal="right" vertical="center"/>
    </xf>
    <xf numFmtId="166" fontId="37" fillId="10" borderId="159" xfId="0" applyNumberFormat="1" applyFont="1" applyFill="1" applyBorder="1" applyAlignment="1">
      <alignment horizontal="center" vertical="center"/>
    </xf>
    <xf numFmtId="2" fontId="82" fillId="9" borderId="160" xfId="55" applyNumberFormat="1" applyFont="1" applyFill="1" applyBorder="1" applyAlignment="1">
      <alignment horizontal="center" vertical="center"/>
    </xf>
    <xf numFmtId="1" fontId="82" fillId="9" borderId="161" xfId="55" applyNumberFormat="1" applyFont="1" applyFill="1" applyBorder="1" applyAlignment="1">
      <alignment vertical="center"/>
    </xf>
    <xf numFmtId="2" fontId="82" fillId="9" borderId="162" xfId="55" applyNumberFormat="1" applyFont="1" applyFill="1" applyBorder="1" applyAlignment="1">
      <alignment horizontal="center" vertical="center"/>
    </xf>
    <xf numFmtId="0" fontId="40" fillId="9" borderId="126" xfId="0" applyNumberFormat="1" applyFont="1" applyFill="1" applyBorder="1" applyAlignment="1">
      <alignment vertical="center"/>
    </xf>
    <xf numFmtId="0" fontId="40" fillId="9" borderId="159" xfId="0" applyNumberFormat="1" applyFont="1" applyFill="1" applyBorder="1" applyAlignment="1">
      <alignment vertical="center"/>
    </xf>
    <xf numFmtId="3" fontId="106" fillId="7" borderId="155" xfId="0" applyNumberFormat="1" applyFont="1" applyFill="1" applyBorder="1" applyAlignment="1">
      <alignment horizontal="center" vertical="center"/>
    </xf>
    <xf numFmtId="3" fontId="86" fillId="7" borderId="155" xfId="0" applyNumberFormat="1" applyFont="1" applyFill="1" applyBorder="1" applyAlignment="1">
      <alignment horizontal="center" vertical="center"/>
    </xf>
    <xf numFmtId="3" fontId="86" fillId="7" borderId="156" xfId="0" applyNumberFormat="1" applyFont="1" applyFill="1" applyBorder="1" applyAlignment="1">
      <alignment horizontal="center" vertical="center"/>
    </xf>
    <xf numFmtId="0" fontId="66" fillId="10" borderId="92" xfId="0" applyNumberFormat="1" applyFont="1" applyFill="1" applyBorder="1" applyAlignment="1">
      <alignment horizontal="right" vertical="center"/>
    </xf>
    <xf numFmtId="0" fontId="66" fillId="10" borderId="91" xfId="0" applyNumberFormat="1" applyFont="1" applyFill="1" applyBorder="1" applyAlignment="1">
      <alignment horizontal="right" vertical="center"/>
    </xf>
    <xf numFmtId="0" fontId="66" fillId="10" borderId="146" xfId="0" applyNumberFormat="1" applyFont="1" applyFill="1" applyBorder="1" applyAlignment="1">
      <alignment horizontal="right" vertical="center"/>
    </xf>
    <xf numFmtId="1" fontId="82" fillId="9" borderId="159" xfId="55" applyNumberFormat="1" applyFont="1" applyFill="1" applyBorder="1" applyAlignment="1">
      <alignment vertical="center"/>
    </xf>
    <xf numFmtId="1" fontId="74"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6" fillId="30" borderId="34" xfId="0" applyNumberFormat="1" applyFont="1" applyFill="1" applyBorder="1" applyAlignment="1">
      <alignment horizontal="center" vertical="center"/>
    </xf>
    <xf numFmtId="0" fontId="94" fillId="29" borderId="34" xfId="0" applyNumberFormat="1" applyFont="1" applyFill="1" applyBorder="1" applyAlignment="1">
      <alignment horizontal="center" vertical="center"/>
    </xf>
    <xf numFmtId="0" fontId="48" fillId="25" borderId="34" xfId="0" applyNumberFormat="1" applyFont="1" applyFill="1" applyBorder="1" applyAlignment="1">
      <alignment horizontal="center" vertical="center"/>
    </xf>
    <xf numFmtId="2" fontId="82" fillId="9" borderId="169" xfId="55" applyNumberFormat="1" applyFont="1" applyFill="1" applyBorder="1" applyAlignment="1">
      <alignment horizontal="center" vertical="center"/>
    </xf>
    <xf numFmtId="0" fontId="82" fillId="9" borderId="170" xfId="55" applyNumberFormat="1" applyFont="1" applyFill="1" applyBorder="1" applyAlignment="1">
      <alignment horizontal="center" vertical="center"/>
    </xf>
    <xf numFmtId="0" fontId="86" fillId="9" borderId="159" xfId="0" applyNumberFormat="1" applyFont="1" applyFill="1" applyBorder="1" applyAlignment="1">
      <alignment vertical="top"/>
    </xf>
    <xf numFmtId="0" fontId="86" fillId="9" borderId="126" xfId="0" applyNumberFormat="1" applyFont="1" applyFill="1" applyBorder="1" applyAlignment="1">
      <alignment vertical="top"/>
    </xf>
    <xf numFmtId="0" fontId="101"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3" fillId="9" borderId="141" xfId="0" applyNumberFormat="1" applyFont="1" applyFill="1" applyBorder="1" applyAlignment="1">
      <alignment vertical="center"/>
    </xf>
    <xf numFmtId="0" fontId="74" fillId="9" borderId="126" xfId="0" applyNumberFormat="1" applyFont="1" applyFill="1" applyBorder="1" applyAlignment="1">
      <alignment vertical="center"/>
    </xf>
    <xf numFmtId="2" fontId="75" fillId="9" borderId="149" xfId="0" applyNumberFormat="1" applyFont="1" applyFill="1" applyBorder="1" applyAlignment="1">
      <alignment horizontal="center" vertical="top"/>
    </xf>
    <xf numFmtId="0" fontId="95" fillId="9" borderId="126" xfId="0" applyNumberFormat="1" applyFont="1" applyFill="1" applyBorder="1" applyAlignment="1">
      <alignment vertical="center"/>
    </xf>
    <xf numFmtId="2" fontId="102" fillId="9" borderId="149" xfId="0" applyNumberFormat="1" applyFont="1" applyFill="1" applyBorder="1" applyAlignment="1">
      <alignment vertical="center"/>
    </xf>
    <xf numFmtId="2" fontId="111" fillId="9" borderId="149" xfId="0" applyNumberFormat="1" applyFont="1" applyFill="1" applyBorder="1" applyAlignment="1">
      <alignment vertical="center"/>
    </xf>
    <xf numFmtId="1" fontId="100" fillId="11" borderId="118" xfId="77" applyNumberFormat="1" applyFont="1" applyFill="1" applyBorder="1" applyAlignment="1">
      <alignment horizontal="center" vertical="center"/>
    </xf>
    <xf numFmtId="0" fontId="85" fillId="9" borderId="126" xfId="0" applyNumberFormat="1" applyFont="1" applyFill="1" applyBorder="1" applyAlignment="1">
      <alignment horizontal="center" vertical="top"/>
    </xf>
    <xf numFmtId="0" fontId="85" fillId="9" borderId="143" xfId="0" applyNumberFormat="1" applyFont="1" applyFill="1" applyBorder="1" applyAlignment="1">
      <alignment horizontal="center" vertical="top"/>
    </xf>
    <xf numFmtId="0" fontId="86" fillId="9" borderId="3" xfId="0" applyNumberFormat="1" applyFont="1" applyFill="1" applyBorder="1" applyAlignment="1">
      <alignment horizontal="center"/>
    </xf>
    <xf numFmtId="0" fontId="86" fillId="9" borderId="89" xfId="0" applyNumberFormat="1" applyFont="1" applyFill="1" applyBorder="1" applyAlignment="1">
      <alignment horizontal="center"/>
    </xf>
    <xf numFmtId="0" fontId="86" fillId="9" borderId="101" xfId="0" applyNumberFormat="1" applyFont="1" applyFill="1" applyBorder="1" applyAlignment="1">
      <alignment horizontal="center"/>
    </xf>
    <xf numFmtId="3" fontId="112" fillId="7" borderId="173" xfId="0" applyNumberFormat="1" applyFont="1" applyFill="1" applyBorder="1" applyAlignment="1">
      <alignment horizontal="center" vertical="center"/>
    </xf>
    <xf numFmtId="3" fontId="113" fillId="7" borderId="156" xfId="0" applyNumberFormat="1" applyFont="1" applyFill="1" applyBorder="1" applyAlignment="1">
      <alignment horizontal="center" vertical="center"/>
    </xf>
    <xf numFmtId="170" fontId="113" fillId="7" borderId="165" xfId="0" applyNumberFormat="1" applyFont="1" applyFill="1" applyBorder="1" applyAlignment="1">
      <alignment horizontal="center" vertical="center"/>
    </xf>
    <xf numFmtId="170" fontId="114" fillId="7" borderId="165" xfId="0" applyNumberFormat="1" applyFont="1" applyFill="1" applyBorder="1" applyAlignment="1">
      <alignment vertical="center"/>
    </xf>
    <xf numFmtId="0" fontId="115" fillId="9" borderId="149" xfId="0" applyNumberFormat="1" applyFont="1" applyFill="1" applyBorder="1" applyAlignment="1">
      <alignment horizontal="center" vertical="center"/>
    </xf>
    <xf numFmtId="0" fontId="115" fillId="9" borderId="126" xfId="0" applyNumberFormat="1" applyFont="1" applyFill="1" applyBorder="1" applyAlignment="1">
      <alignment horizontal="center" vertical="center"/>
    </xf>
    <xf numFmtId="167" fontId="67" fillId="10" borderId="146" xfId="55" applyNumberFormat="1" applyFont="1" applyFill="1" applyBorder="1" applyAlignment="1">
      <alignment horizontal="right" vertical="center"/>
    </xf>
    <xf numFmtId="167" fontId="67" fillId="10" borderId="97" xfId="55" applyNumberFormat="1" applyFont="1" applyFill="1" applyBorder="1" applyAlignment="1">
      <alignment horizontal="right" vertical="center"/>
    </xf>
    <xf numFmtId="167" fontId="67" fillId="10" borderId="142" xfId="55" applyNumberFormat="1" applyFont="1" applyFill="1" applyBorder="1" applyAlignment="1">
      <alignment horizontal="right" vertical="center"/>
    </xf>
    <xf numFmtId="9" fontId="47" fillId="22" borderId="51" xfId="0" applyNumberFormat="1" applyFont="1" applyFill="1" applyBorder="1" applyAlignment="1">
      <alignment horizontal="center" vertical="center"/>
    </xf>
    <xf numFmtId="9" fontId="47" fillId="22" borderId="33" xfId="0" applyNumberFormat="1" applyFont="1" applyFill="1" applyBorder="1" applyAlignment="1">
      <alignment horizontal="center" vertical="center"/>
    </xf>
    <xf numFmtId="9" fontId="47" fillId="35" borderId="51" xfId="0" applyNumberFormat="1" applyFont="1" applyFill="1" applyBorder="1" applyAlignment="1">
      <alignment horizontal="center" vertical="center"/>
    </xf>
    <xf numFmtId="9" fontId="47" fillId="35" borderId="33" xfId="0" applyNumberFormat="1" applyFont="1" applyFill="1" applyBorder="1" applyAlignment="1">
      <alignment horizontal="center" vertical="center"/>
    </xf>
    <xf numFmtId="9" fontId="47" fillId="22" borderId="52" xfId="0" applyNumberFormat="1" applyFont="1" applyFill="1" applyBorder="1" applyAlignment="1">
      <alignment horizontal="center" vertical="center"/>
    </xf>
    <xf numFmtId="0" fontId="66" fillId="10" borderId="99" xfId="0" applyFont="1" applyFill="1" applyBorder="1" applyAlignment="1">
      <alignment horizontal="right" vertical="center"/>
    </xf>
    <xf numFmtId="0" fontId="86" fillId="9" borderId="12" xfId="0" applyNumberFormat="1" applyFont="1" applyFill="1" applyBorder="1" applyAlignment="1">
      <alignment horizontal="center"/>
    </xf>
    <xf numFmtId="0" fontId="86" fillId="9" borderId="176" xfId="0" applyNumberFormat="1" applyFont="1" applyFill="1" applyBorder="1" applyAlignment="1">
      <alignment horizontal="center"/>
    </xf>
    <xf numFmtId="0" fontId="86" fillId="9" borderId="177" xfId="0" applyNumberFormat="1" applyFont="1" applyFill="1" applyBorder="1" applyAlignment="1">
      <alignment horizontal="center"/>
    </xf>
    <xf numFmtId="0" fontId="85"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5" fillId="43" borderId="61" xfId="0" applyNumberFormat="1" applyFont="1" applyFill="1" applyBorder="1" applyAlignment="1">
      <alignment horizontal="right" vertical="center"/>
    </xf>
    <xf numFmtId="3" fontId="55" fillId="44" borderId="61" xfId="0" applyNumberFormat="1" applyFont="1" applyFill="1" applyBorder="1" applyAlignment="1">
      <alignment vertical="center"/>
    </xf>
    <xf numFmtId="0" fontId="61" fillId="25" borderId="180" xfId="0" applyFont="1" applyFill="1" applyBorder="1" applyAlignment="1">
      <alignment horizontal="center" vertical="center"/>
    </xf>
    <xf numFmtId="0" fontId="55" fillId="25" borderId="181" xfId="0" applyFont="1" applyFill="1" applyBorder="1" applyAlignment="1">
      <alignment horizontal="center" vertical="center"/>
    </xf>
    <xf numFmtId="0" fontId="55" fillId="26" borderId="180" xfId="0" applyFont="1" applyFill="1" applyBorder="1" applyAlignment="1">
      <alignment vertical="center"/>
    </xf>
    <xf numFmtId="0" fontId="55" fillId="25" borderId="61" xfId="0" applyNumberFormat="1" applyFont="1" applyFill="1" applyBorder="1" applyAlignment="1">
      <alignment horizontal="center" vertical="center"/>
    </xf>
    <xf numFmtId="0" fontId="55" fillId="38" borderId="82" xfId="0" applyNumberFormat="1" applyFont="1" applyFill="1" applyBorder="1" applyAlignment="1">
      <alignment horizontal="right" vertical="center"/>
    </xf>
    <xf numFmtId="0" fontId="55" fillId="38" borderId="83" xfId="0" applyNumberFormat="1" applyFont="1" applyFill="1" applyBorder="1" applyAlignment="1">
      <alignment horizontal="right" vertical="center"/>
    </xf>
    <xf numFmtId="0" fontId="55" fillId="38" borderId="83" xfId="0" applyNumberFormat="1" applyFont="1" applyFill="1" applyBorder="1" applyAlignment="1">
      <alignment horizontal="center" vertical="center"/>
    </xf>
    <xf numFmtId="0" fontId="116" fillId="26" borderId="81" xfId="0" applyFont="1" applyFill="1" applyBorder="1" applyAlignment="1">
      <alignment horizontal="center" vertical="center"/>
    </xf>
    <xf numFmtId="0" fontId="118" fillId="22" borderId="32" xfId="0" applyFont="1" applyFill="1" applyBorder="1" applyAlignment="1">
      <alignment horizontal="center" vertical="center"/>
    </xf>
    <xf numFmtId="0" fontId="118" fillId="22" borderId="179" xfId="0" applyFont="1" applyFill="1" applyBorder="1" applyAlignment="1">
      <alignment horizontal="center" vertical="center"/>
    </xf>
    <xf numFmtId="0" fontId="117" fillId="33" borderId="32" xfId="0" applyFont="1" applyFill="1" applyBorder="1" applyAlignment="1">
      <alignment horizontal="center" vertical="center" wrapText="1"/>
    </xf>
    <xf numFmtId="0" fontId="119" fillId="32" borderId="34" xfId="0" applyNumberFormat="1" applyFont="1" applyFill="1" applyBorder="1" applyAlignment="1">
      <alignment horizontal="center" vertical="center"/>
    </xf>
    <xf numFmtId="4" fontId="119" fillId="32"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94" fillId="29" borderId="184" xfId="0" applyFont="1" applyFill="1" applyBorder="1" applyAlignment="1">
      <alignment horizontal="center" vertical="center"/>
    </xf>
    <xf numFmtId="0" fontId="94" fillId="29" borderId="185" xfId="0" applyFont="1" applyFill="1" applyBorder="1" applyAlignment="1">
      <alignment horizontal="center" vertical="center"/>
    </xf>
    <xf numFmtId="0" fontId="55" fillId="31" borderId="34" xfId="55" applyNumberFormat="1" applyFont="1" applyFill="1" applyBorder="1" applyAlignment="1">
      <alignment horizontal="center" vertical="center"/>
    </xf>
    <xf numFmtId="0" fontId="121" fillId="30" borderId="34" xfId="0" applyNumberFormat="1" applyFont="1" applyFill="1" applyBorder="1" applyAlignment="1">
      <alignment horizontal="center" vertical="center"/>
    </xf>
    <xf numFmtId="0" fontId="121" fillId="30" borderId="34" xfId="0" applyFont="1" applyFill="1" applyBorder="1" applyAlignment="1">
      <alignment horizontal="center" vertical="center"/>
    </xf>
    <xf numFmtId="0" fontId="44" fillId="25" borderId="35" xfId="0" applyFont="1" applyFill="1" applyBorder="1" applyAlignment="1">
      <alignment vertical="center"/>
    </xf>
    <xf numFmtId="0" fontId="44" fillId="22" borderId="2" xfId="0" applyFont="1" applyFill="1" applyBorder="1" applyAlignment="1">
      <alignment vertical="center"/>
    </xf>
    <xf numFmtId="0" fontId="44" fillId="22" borderId="36" xfId="0" applyFont="1" applyFill="1" applyBorder="1" applyAlignment="1">
      <alignment vertical="center"/>
    </xf>
    <xf numFmtId="0" fontId="44" fillId="25" borderId="182" xfId="0" applyFont="1" applyFill="1" applyBorder="1" applyAlignment="1">
      <alignment vertical="center"/>
    </xf>
    <xf numFmtId="0" fontId="44" fillId="22" borderId="89" xfId="0" applyFont="1" applyFill="1" applyBorder="1" applyAlignment="1">
      <alignment vertical="center"/>
    </xf>
    <xf numFmtId="0" fontId="44" fillId="22" borderId="183" xfId="0" applyFont="1" applyFill="1" applyBorder="1" applyAlignment="1">
      <alignment vertical="center"/>
    </xf>
    <xf numFmtId="0" fontId="44" fillId="22" borderId="34" xfId="0" applyFont="1" applyFill="1" applyBorder="1" applyAlignment="1">
      <alignment vertical="center"/>
    </xf>
    <xf numFmtId="0" fontId="44" fillId="22" borderId="38" xfId="0" applyFont="1" applyFill="1" applyBorder="1" applyAlignment="1">
      <alignment vertical="center"/>
    </xf>
    <xf numFmtId="0" fontId="44" fillId="22" borderId="181" xfId="0" applyFont="1" applyFill="1" applyBorder="1" applyAlignment="1">
      <alignment vertical="center"/>
    </xf>
    <xf numFmtId="0" fontId="44" fillId="33" borderId="2" xfId="0" applyFont="1" applyFill="1" applyBorder="1" applyAlignment="1">
      <alignment vertical="center"/>
    </xf>
    <xf numFmtId="0" fontId="44" fillId="33" borderId="36" xfId="0" applyFont="1" applyFill="1" applyBorder="1" applyAlignment="1">
      <alignment vertical="center"/>
    </xf>
    <xf numFmtId="0" fontId="44" fillId="33" borderId="15" xfId="0" applyFont="1" applyFill="1" applyBorder="1" applyAlignment="1">
      <alignment vertical="center"/>
    </xf>
    <xf numFmtId="0" fontId="44" fillId="33" borderId="73" xfId="0" applyFont="1" applyFill="1" applyBorder="1" applyAlignment="1">
      <alignment vertical="center"/>
    </xf>
    <xf numFmtId="164" fontId="44" fillId="34" borderId="43" xfId="0" applyNumberFormat="1" applyFont="1" applyFill="1" applyBorder="1" applyAlignment="1">
      <alignment vertical="center"/>
    </xf>
    <xf numFmtId="164" fontId="44" fillId="34" borderId="76" xfId="0" applyNumberFormat="1" applyFont="1" applyFill="1" applyBorder="1" applyAlignment="1">
      <alignment vertical="center"/>
    </xf>
    <xf numFmtId="164" fontId="44" fillId="34" borderId="2" xfId="0" applyNumberFormat="1" applyFont="1" applyFill="1" applyBorder="1" applyAlignment="1">
      <alignment vertical="center"/>
    </xf>
    <xf numFmtId="164" fontId="44" fillId="34" borderId="36" xfId="0" applyNumberFormat="1" applyFont="1" applyFill="1" applyBorder="1" applyAlignment="1">
      <alignment vertical="center"/>
    </xf>
    <xf numFmtId="164" fontId="44" fillId="34" borderId="15" xfId="0" applyNumberFormat="1" applyFont="1" applyFill="1" applyBorder="1" applyAlignment="1">
      <alignment vertical="center"/>
    </xf>
    <xf numFmtId="164" fontId="44" fillId="34" borderId="73" xfId="0" applyNumberFormat="1" applyFont="1" applyFill="1" applyBorder="1" applyAlignment="1">
      <alignment vertical="center"/>
    </xf>
    <xf numFmtId="0" fontId="44" fillId="33" borderId="37" xfId="0" applyFont="1" applyFill="1" applyBorder="1" applyAlignment="1">
      <alignment vertical="center"/>
    </xf>
    <xf numFmtId="0" fontId="44" fillId="33" borderId="38" xfId="0" applyFont="1" applyFill="1" applyBorder="1" applyAlignment="1">
      <alignment vertical="center"/>
    </xf>
    <xf numFmtId="0" fontId="44" fillId="33" borderId="63" xfId="0" applyFont="1" applyFill="1" applyBorder="1" applyAlignment="1">
      <alignment vertical="center"/>
    </xf>
    <xf numFmtId="0" fontId="44" fillId="33" borderId="64" xfId="0" applyFont="1" applyFill="1" applyBorder="1" applyAlignment="1">
      <alignment vertical="center"/>
    </xf>
    <xf numFmtId="1" fontId="44" fillId="34" borderId="34" xfId="0" applyNumberFormat="1" applyFont="1" applyFill="1" applyBorder="1" applyAlignment="1">
      <alignment vertical="center"/>
    </xf>
    <xf numFmtId="1" fontId="44" fillId="34" borderId="38" xfId="0" applyNumberFormat="1" applyFont="1" applyFill="1" applyBorder="1" applyAlignment="1">
      <alignment vertical="center"/>
    </xf>
    <xf numFmtId="1" fontId="44" fillId="34" borderId="63" xfId="0" applyNumberFormat="1" applyFont="1" applyFill="1" applyBorder="1" applyAlignment="1">
      <alignment vertical="center"/>
    </xf>
    <xf numFmtId="1" fontId="44" fillId="34" borderId="79" xfId="0" applyNumberFormat="1" applyFont="1" applyFill="1" applyBorder="1" applyAlignment="1">
      <alignment vertical="center"/>
    </xf>
    <xf numFmtId="0" fontId="122" fillId="20" borderId="25" xfId="0" applyFont="1" applyFill="1" applyBorder="1" applyAlignment="1">
      <alignment horizontal="center" vertical="center"/>
    </xf>
    <xf numFmtId="0" fontId="123" fillId="20" borderId="25" xfId="0" applyFont="1" applyFill="1" applyBorder="1" applyAlignment="1">
      <alignment horizontal="center" vertical="center"/>
    </xf>
    <xf numFmtId="3" fontId="124" fillId="28" borderId="40" xfId="0" applyNumberFormat="1" applyFont="1" applyFill="1" applyBorder="1" applyAlignment="1">
      <alignment horizontal="right" vertical="center"/>
    </xf>
    <xf numFmtId="3" fontId="124" fillId="28" borderId="49" xfId="0" applyNumberFormat="1" applyFont="1" applyFill="1" applyBorder="1" applyAlignment="1">
      <alignment horizontal="right" vertical="center"/>
    </xf>
    <xf numFmtId="3" fontId="124" fillId="28" borderId="50" xfId="0" applyNumberFormat="1" applyFont="1" applyFill="1" applyBorder="1" applyAlignment="1">
      <alignment horizontal="right" vertical="center"/>
    </xf>
    <xf numFmtId="3" fontId="124" fillId="28"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6" fillId="10" borderId="103" xfId="0" applyFont="1" applyFill="1" applyBorder="1" applyAlignment="1">
      <alignment horizontal="left" vertical="center"/>
    </xf>
    <xf numFmtId="0" fontId="66" fillId="10" borderId="163" xfId="0" applyFont="1" applyFill="1" applyBorder="1" applyAlignment="1">
      <alignment horizontal="left" vertical="center"/>
    </xf>
    <xf numFmtId="0" fontId="66" fillId="10" borderId="98" xfId="0" applyFont="1" applyFill="1" applyBorder="1" applyAlignment="1">
      <alignment horizontal="left" vertical="center"/>
    </xf>
    <xf numFmtId="0" fontId="66" fillId="10" borderId="174" xfId="0" applyFont="1" applyFill="1" applyBorder="1" applyAlignment="1">
      <alignment horizontal="left" vertical="center"/>
    </xf>
    <xf numFmtId="0" fontId="66" fillId="10" borderId="175" xfId="0" applyFont="1" applyFill="1" applyBorder="1" applyAlignment="1">
      <alignment horizontal="left" vertical="center"/>
    </xf>
    <xf numFmtId="0" fontId="125" fillId="25" borderId="34" xfId="0" applyFont="1" applyFill="1" applyBorder="1" applyAlignment="1">
      <alignment horizontal="center" vertical="center"/>
    </xf>
    <xf numFmtId="0" fontId="67" fillId="10" borderId="95" xfId="55" applyNumberFormat="1" applyFont="1" applyFill="1" applyBorder="1" applyAlignment="1">
      <alignment horizontal="right" vertical="center"/>
    </xf>
    <xf numFmtId="0" fontId="67" fillId="10" borderId="186" xfId="55" applyNumberFormat="1" applyFont="1" applyFill="1" applyBorder="1" applyAlignment="1">
      <alignment horizontal="right" vertical="center"/>
    </xf>
    <xf numFmtId="0" fontId="50" fillId="21" borderId="187" xfId="0" applyFont="1" applyFill="1" applyBorder="1" applyAlignment="1">
      <alignment horizontal="center" vertical="center"/>
    </xf>
    <xf numFmtId="0" fontId="50" fillId="19" borderId="188" xfId="0" applyFont="1" applyFill="1" applyBorder="1" applyAlignment="1">
      <alignment horizontal="center" vertical="center"/>
    </xf>
    <xf numFmtId="1" fontId="126" fillId="11" borderId="120" xfId="77" applyNumberFormat="1" applyFont="1" applyFill="1" applyBorder="1" applyAlignment="1">
      <alignment horizontal="center" vertical="center"/>
    </xf>
    <xf numFmtId="1" fontId="126" fillId="11" borderId="145" xfId="77" applyNumberFormat="1"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5" fillId="9" borderId="199" xfId="0" applyNumberFormat="1" applyFont="1" applyFill="1" applyBorder="1" applyAlignment="1">
      <alignment horizontal="center" vertical="center"/>
    </xf>
    <xf numFmtId="0" fontId="115" fillId="9" borderId="176" xfId="0" applyNumberFormat="1" applyFont="1" applyFill="1" applyBorder="1" applyAlignment="1">
      <alignment horizontal="center" vertical="center"/>
    </xf>
    <xf numFmtId="0" fontId="115" fillId="9" borderId="177" xfId="0" applyNumberFormat="1" applyFont="1" applyFill="1" applyBorder="1" applyAlignment="1">
      <alignment horizontal="center" vertical="center"/>
    </xf>
    <xf numFmtId="0" fontId="85" fillId="9" borderId="10" xfId="0" applyNumberFormat="1" applyFont="1" applyFill="1" applyBorder="1" applyAlignment="1">
      <alignment horizontal="center" vertical="top"/>
    </xf>
    <xf numFmtId="0" fontId="85" fillId="9" borderId="202" xfId="0" applyNumberFormat="1" applyFont="1" applyFill="1" applyBorder="1" applyAlignment="1">
      <alignment horizontal="center" vertical="top"/>
    </xf>
    <xf numFmtId="0" fontId="85" fillId="9" borderId="203" xfId="0" applyNumberFormat="1" applyFont="1" applyFill="1" applyBorder="1" applyAlignment="1">
      <alignment horizontal="center" vertical="top"/>
    </xf>
    <xf numFmtId="0" fontId="82" fillId="9" borderId="10" xfId="55" applyNumberFormat="1" applyFont="1" applyFill="1" applyBorder="1" applyAlignment="1">
      <alignment horizontal="center" vertical="center"/>
    </xf>
    <xf numFmtId="1" fontId="75" fillId="9" borderId="10" xfId="0" applyNumberFormat="1" applyFont="1" applyFill="1" applyBorder="1" applyAlignment="1">
      <alignment horizontal="center"/>
    </xf>
    <xf numFmtId="0" fontId="75" fillId="9" borderId="204" xfId="0" applyNumberFormat="1" applyFont="1" applyFill="1" applyBorder="1" applyAlignment="1">
      <alignment horizontal="center"/>
    </xf>
    <xf numFmtId="0" fontId="75" fillId="9" borderId="205" xfId="0" applyNumberFormat="1" applyFont="1" applyFill="1" applyBorder="1" applyAlignment="1">
      <alignment horizontal="center"/>
    </xf>
    <xf numFmtId="0" fontId="75" fillId="9" borderId="202" xfId="0" applyNumberFormat="1" applyFont="1" applyFill="1" applyBorder="1" applyAlignment="1">
      <alignment horizontal="center"/>
    </xf>
    <xf numFmtId="164" fontId="96" fillId="9" borderId="126" xfId="55" applyNumberFormat="1" applyFont="1" applyFill="1" applyBorder="1" applyAlignment="1">
      <alignment horizontal="center" vertical="center"/>
    </xf>
    <xf numFmtId="0" fontId="86" fillId="9" borderId="10" xfId="0" applyNumberFormat="1" applyFont="1" applyFill="1" applyBorder="1" applyAlignment="1">
      <alignment horizontal="center"/>
    </xf>
    <xf numFmtId="0" fontId="86" fillId="9" borderId="204" xfId="0" applyNumberFormat="1" applyFont="1" applyFill="1" applyBorder="1" applyAlignment="1">
      <alignment horizontal="center"/>
    </xf>
    <xf numFmtId="0" fontId="86" fillId="9" borderId="205" xfId="0" applyNumberFormat="1" applyFont="1" applyFill="1" applyBorder="1" applyAlignment="1">
      <alignment horizontal="center"/>
    </xf>
    <xf numFmtId="0" fontId="86"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6" fillId="9" borderId="189" xfId="0" applyFont="1" applyFill="1" applyBorder="1" applyAlignment="1">
      <alignment horizontal="center" vertical="center"/>
    </xf>
    <xf numFmtId="0" fontId="26" fillId="9" borderId="135"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5" fillId="9" borderId="126" xfId="55" applyNumberFormat="1" applyFont="1" applyFill="1" applyBorder="1" applyAlignment="1">
      <alignment horizontal="center" vertical="center"/>
    </xf>
    <xf numFmtId="165" fontId="75" fillId="9" borderId="172" xfId="55" applyNumberFormat="1" applyFont="1" applyFill="1" applyBorder="1" applyAlignment="1">
      <alignment horizontal="center" vertical="center"/>
    </xf>
    <xf numFmtId="2" fontId="75" fillId="9" borderId="168" xfId="55" applyNumberFormat="1" applyFont="1" applyFill="1" applyBorder="1" applyAlignment="1">
      <alignment horizontal="center" vertical="center"/>
    </xf>
    <xf numFmtId="2" fontId="75" fillId="9" borderId="126" xfId="55" applyNumberFormat="1" applyFont="1" applyFill="1" applyBorder="1" applyAlignment="1">
      <alignment horizontal="center" vertical="center"/>
    </xf>
    <xf numFmtId="2" fontId="75" fillId="9" borderId="172" xfId="55" applyNumberFormat="1" applyFont="1" applyFill="1" applyBorder="1" applyAlignment="1">
      <alignment horizontal="center" vertical="center"/>
    </xf>
    <xf numFmtId="0" fontId="127" fillId="9" borderId="12" xfId="55" applyNumberFormat="1" applyFont="1" applyFill="1" applyBorder="1" applyAlignment="1">
      <alignment horizontal="center" vertical="center"/>
    </xf>
    <xf numFmtId="0" fontId="82" fillId="9" borderId="8" xfId="55" applyNumberFormat="1" applyFont="1" applyFill="1" applyBorder="1" applyAlignment="1">
      <alignment horizontal="center" vertical="center"/>
    </xf>
    <xf numFmtId="0" fontId="82" fillId="9" borderId="204" xfId="0" applyNumberFormat="1" applyFont="1" applyFill="1" applyBorder="1" applyAlignment="1">
      <alignment horizontal="center" vertical="center"/>
    </xf>
    <xf numFmtId="0" fontId="82"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5" fillId="9" borderId="200" xfId="0" applyNumberFormat="1" applyFont="1" applyFill="1" applyBorder="1" applyAlignment="1">
      <alignment horizontal="center"/>
    </xf>
    <xf numFmtId="0" fontId="75" fillId="9" borderId="10" xfId="0" applyNumberFormat="1" applyFont="1" applyFill="1" applyBorder="1" applyAlignment="1">
      <alignment horizontal="center"/>
    </xf>
    <xf numFmtId="0" fontId="75" fillId="9" borderId="203" xfId="0" applyNumberFormat="1" applyFont="1" applyFill="1" applyBorder="1" applyAlignment="1">
      <alignment horizontal="center"/>
    </xf>
    <xf numFmtId="0" fontId="85" fillId="9" borderId="10" xfId="0" applyNumberFormat="1" applyFont="1" applyFill="1" applyBorder="1" applyAlignment="1">
      <alignment horizontal="center" vertical="center"/>
    </xf>
    <xf numFmtId="0" fontId="115" fillId="9" borderId="216" xfId="0" applyNumberFormat="1" applyFont="1" applyFill="1" applyBorder="1" applyAlignment="1">
      <alignment horizontal="center" vertical="center"/>
    </xf>
    <xf numFmtId="0" fontId="85" fillId="9" borderId="202" xfId="0" applyNumberFormat="1" applyFont="1" applyFill="1" applyBorder="1" applyAlignment="1">
      <alignment horizontal="center" vertical="center"/>
    </xf>
    <xf numFmtId="2" fontId="82" fillId="9" borderId="202" xfId="0" applyNumberFormat="1" applyFont="1" applyFill="1" applyBorder="1" applyAlignment="1">
      <alignment horizontal="center" vertical="center"/>
    </xf>
    <xf numFmtId="0" fontId="82" fillId="9" borderId="205" xfId="55" applyNumberFormat="1" applyFont="1" applyFill="1" applyBorder="1" applyAlignment="1">
      <alignment horizontal="center" vertical="center"/>
    </xf>
    <xf numFmtId="164" fontId="96" fillId="9" borderId="172" xfId="55" applyNumberFormat="1" applyFont="1" applyFill="1" applyBorder="1" applyAlignment="1">
      <alignment horizontal="center" vertical="center"/>
    </xf>
    <xf numFmtId="0" fontId="115" fillId="9" borderId="217" xfId="0" applyNumberFormat="1" applyFont="1" applyFill="1" applyBorder="1" applyAlignment="1">
      <alignment horizontal="center" vertical="center"/>
    </xf>
    <xf numFmtId="0" fontId="85" fillId="9" borderId="201" xfId="0" applyNumberFormat="1" applyFont="1" applyFill="1" applyBorder="1" applyAlignment="1">
      <alignment horizontal="center" vertical="center"/>
    </xf>
    <xf numFmtId="1" fontId="82" fillId="9" borderId="201" xfId="55" applyNumberFormat="1" applyFont="1" applyFill="1" applyBorder="1" applyAlignment="1">
      <alignment horizontal="center" vertical="center"/>
    </xf>
    <xf numFmtId="0" fontId="127"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7" fillId="10" borderId="99" xfId="55" applyNumberFormat="1" applyFont="1" applyFill="1" applyBorder="1" applyAlignment="1">
      <alignment horizontal="right" vertical="center"/>
    </xf>
    <xf numFmtId="0" fontId="26" fillId="9" borderId="220" xfId="0" applyFont="1" applyFill="1" applyBorder="1" applyAlignment="1">
      <alignment horizontal="center" vertical="center"/>
    </xf>
    <xf numFmtId="0" fontId="66" fillId="10" borderId="100" xfId="0" applyFont="1" applyFill="1" applyBorder="1" applyAlignment="1">
      <alignment horizontal="right" vertical="center"/>
    </xf>
    <xf numFmtId="0" fontId="26" fillId="9" borderId="221" xfId="0" applyFont="1" applyFill="1" applyBorder="1" applyAlignment="1">
      <alignment horizontal="center" vertical="center"/>
    </xf>
    <xf numFmtId="3" fontId="37" fillId="10" borderId="126" xfId="0" applyNumberFormat="1" applyFont="1" applyFill="1" applyBorder="1" applyAlignment="1">
      <alignment horizontal="right" vertical="center"/>
    </xf>
    <xf numFmtId="3" fontId="37" fillId="10" borderId="141" xfId="0" applyNumberFormat="1" applyFont="1" applyFill="1" applyBorder="1" applyAlignment="1">
      <alignment horizontal="right" vertical="center"/>
    </xf>
    <xf numFmtId="3" fontId="37" fillId="10" borderId="168" xfId="0" applyNumberFormat="1" applyFont="1" applyFill="1" applyBorder="1" applyAlignment="1">
      <alignment horizontal="right" vertical="center"/>
    </xf>
    <xf numFmtId="3" fontId="37" fillId="10" borderId="159" xfId="0" applyNumberFormat="1" applyFont="1" applyFill="1" applyBorder="1" applyAlignment="1">
      <alignment horizontal="right" vertical="center"/>
    </xf>
    <xf numFmtId="0" fontId="85" fillId="9" borderId="224" xfId="0" applyNumberFormat="1" applyFont="1" applyFill="1" applyBorder="1" applyAlignment="1">
      <alignment horizontal="center" vertical="center"/>
    </xf>
    <xf numFmtId="0" fontId="85" fillId="9" borderId="143" xfId="0" applyNumberFormat="1" applyFont="1" applyFill="1" applyBorder="1" applyAlignment="1">
      <alignment horizontal="center" vertical="center"/>
    </xf>
    <xf numFmtId="0" fontId="85" fillId="9" borderId="95" xfId="0" applyNumberFormat="1" applyFont="1" applyFill="1" applyBorder="1" applyAlignment="1">
      <alignment horizontal="center" vertical="center"/>
    </xf>
    <xf numFmtId="0" fontId="85" fillId="9" borderId="99" xfId="0" applyNumberFormat="1" applyFont="1" applyFill="1" applyBorder="1" applyAlignment="1">
      <alignment horizontal="center" vertical="center"/>
    </xf>
    <xf numFmtId="0" fontId="26" fillId="9" borderId="146" xfId="0" applyFont="1" applyFill="1" applyBorder="1" applyAlignment="1">
      <alignment horizontal="center" vertical="center"/>
    </xf>
    <xf numFmtId="2" fontId="82" fillId="9" borderId="201" xfId="0" applyNumberFormat="1" applyFont="1" applyFill="1" applyBorder="1" applyAlignment="1">
      <alignment horizontal="center" vertical="center"/>
    </xf>
    <xf numFmtId="2" fontId="75" fillId="9" borderId="149" xfId="55" applyNumberFormat="1" applyFont="1" applyFill="1" applyBorder="1" applyAlignment="1">
      <alignment horizontal="center" vertical="center"/>
    </xf>
    <xf numFmtId="0" fontId="128" fillId="12" borderId="110" xfId="55" applyNumberFormat="1" applyFont="1" applyFill="1" applyBorder="1" applyAlignment="1">
      <alignment horizontal="center" vertical="center"/>
    </xf>
    <xf numFmtId="0" fontId="128" fillId="12" borderId="109" xfId="55" applyNumberFormat="1" applyFont="1" applyFill="1" applyBorder="1" applyAlignment="1">
      <alignment horizontal="center" vertical="center"/>
    </xf>
    <xf numFmtId="0" fontId="128" fillId="12" borderId="136" xfId="55" applyNumberFormat="1" applyFont="1" applyFill="1" applyBorder="1" applyAlignment="1">
      <alignment horizontal="center" vertical="center"/>
    </xf>
    <xf numFmtId="0" fontId="66" fillId="10" borderId="95" xfId="0" applyFont="1" applyFill="1" applyBorder="1" applyAlignment="1">
      <alignment horizontal="right" vertical="center"/>
    </xf>
    <xf numFmtId="0" fontId="39" fillId="10" borderId="225" xfId="0" applyFont="1" applyFill="1" applyBorder="1" applyAlignment="1">
      <alignment horizontal="right" vertical="center"/>
    </xf>
    <xf numFmtId="0" fontId="39" fillId="10" borderId="95" xfId="0" applyFont="1" applyFill="1" applyBorder="1" applyAlignment="1">
      <alignment horizontal="right" vertical="center"/>
    </xf>
    <xf numFmtId="0" fontId="39" fillId="10" borderId="226" xfId="0" applyFont="1" applyFill="1" applyBorder="1" applyAlignment="1">
      <alignment horizontal="right" vertical="center"/>
    </xf>
    <xf numFmtId="0" fontId="37" fillId="10" borderId="95" xfId="0" applyFont="1" applyFill="1" applyBorder="1" applyAlignment="1">
      <alignment horizontal="right" vertical="center"/>
    </xf>
    <xf numFmtId="3" fontId="37" fillId="10" borderId="95" xfId="0" applyNumberFormat="1" applyFont="1" applyFill="1" applyBorder="1" applyAlignment="1">
      <alignment horizontal="right" vertical="center"/>
    </xf>
    <xf numFmtId="166" fontId="37" fillId="10" borderId="226" xfId="0" applyNumberFormat="1" applyFont="1" applyFill="1" applyBorder="1" applyAlignment="1">
      <alignment horizontal="center" vertical="center"/>
    </xf>
    <xf numFmtId="1" fontId="23" fillId="9" borderId="225" xfId="0" applyNumberFormat="1" applyFont="1" applyFill="1" applyBorder="1" applyAlignment="1">
      <alignment horizontal="center" vertical="center"/>
    </xf>
    <xf numFmtId="1" fontId="82" fillId="9" borderId="202" xfId="55" applyNumberFormat="1" applyFont="1" applyFill="1" applyBorder="1" applyAlignment="1">
      <alignment horizontal="center" vertical="center"/>
    </xf>
    <xf numFmtId="0" fontId="127" fillId="9" borderId="176" xfId="55" applyNumberFormat="1" applyFont="1" applyFill="1" applyBorder="1" applyAlignment="1">
      <alignment horizontal="center" vertical="center"/>
    </xf>
    <xf numFmtId="164" fontId="96" fillId="9" borderId="158" xfId="55" applyNumberFormat="1" applyFont="1" applyFill="1" applyBorder="1" applyAlignment="1">
      <alignment horizontal="center" vertical="center"/>
    </xf>
    <xf numFmtId="0" fontId="85" fillId="9" borderId="203" xfId="0" applyNumberFormat="1" applyFont="1" applyFill="1" applyBorder="1" applyAlignment="1">
      <alignment horizontal="center" vertical="center"/>
    </xf>
    <xf numFmtId="0" fontId="127" fillId="9" borderId="89" xfId="55" applyNumberFormat="1" applyFont="1" applyFill="1" applyBorder="1" applyAlignment="1">
      <alignment horizontal="center" vertical="center"/>
    </xf>
    <xf numFmtId="2" fontId="96" fillId="9" borderId="171" xfId="55" applyNumberFormat="1" applyFont="1" applyFill="1" applyBorder="1" applyAlignment="1">
      <alignment vertical="center"/>
    </xf>
    <xf numFmtId="0" fontId="127" fillId="9" borderId="141" xfId="55" applyNumberFormat="1" applyFont="1" applyFill="1" applyBorder="1" applyAlignment="1">
      <alignment horizontal="center" vertical="center"/>
    </xf>
    <xf numFmtId="2" fontId="96" fillId="9" borderId="171" xfId="55" applyNumberFormat="1" applyFont="1" applyFill="1" applyBorder="1" applyAlignment="1">
      <alignment horizontal="center" vertical="center"/>
    </xf>
    <xf numFmtId="0" fontId="127" fillId="9" borderId="159" xfId="55" applyNumberFormat="1" applyFont="1" applyFill="1" applyBorder="1" applyAlignment="1">
      <alignment horizontal="center" vertical="center"/>
    </xf>
    <xf numFmtId="0" fontId="127" fillId="9" borderId="227" xfId="55" applyNumberFormat="1" applyFont="1" applyFill="1" applyBorder="1" applyAlignment="1">
      <alignment horizontal="center" vertical="center"/>
    </xf>
    <xf numFmtId="2" fontId="82" fillId="9" borderId="139" xfId="0" applyNumberFormat="1" applyFont="1" applyFill="1" applyBorder="1" applyAlignment="1">
      <alignment horizontal="left" vertical="center"/>
    </xf>
    <xf numFmtId="0" fontId="115" fillId="9" borderId="229" xfId="0" applyNumberFormat="1" applyFont="1" applyFill="1" applyBorder="1" applyAlignment="1">
      <alignment horizontal="center" vertical="center"/>
    </xf>
    <xf numFmtId="0" fontId="85" fillId="9" borderId="205" xfId="0" applyNumberFormat="1" applyFont="1" applyFill="1" applyBorder="1" applyAlignment="1">
      <alignment horizontal="center" vertical="center"/>
    </xf>
    <xf numFmtId="0" fontId="115" fillId="9" borderId="131" xfId="0" applyNumberFormat="1" applyFont="1" applyFill="1" applyBorder="1" applyAlignment="1">
      <alignment horizontal="center" vertical="center"/>
    </xf>
    <xf numFmtId="0" fontId="85" fillId="9" borderId="130" xfId="0" applyNumberFormat="1" applyFont="1" applyFill="1" applyBorder="1" applyAlignment="1">
      <alignment horizontal="center" vertical="center"/>
    </xf>
    <xf numFmtId="2" fontId="82" fillId="9" borderId="130" xfId="0" applyNumberFormat="1" applyFont="1" applyFill="1" applyBorder="1" applyAlignment="1">
      <alignment horizontal="center" vertical="center"/>
    </xf>
    <xf numFmtId="2" fontId="75" fillId="9" borderId="230" xfId="55" applyNumberFormat="1" applyFont="1" applyFill="1" applyBorder="1" applyAlignment="1">
      <alignment horizontal="center" vertical="center"/>
    </xf>
    <xf numFmtId="2" fontId="82" fillId="9" borderId="150" xfId="0" applyNumberFormat="1" applyFont="1" applyFill="1" applyBorder="1" applyAlignment="1">
      <alignment horizontal="left" vertical="center"/>
    </xf>
    <xf numFmtId="0" fontId="66" fillId="10" borderId="226" xfId="0" applyFont="1" applyFill="1" applyBorder="1" applyAlignment="1">
      <alignment horizontal="right" vertical="center"/>
    </xf>
    <xf numFmtId="167" fontId="67" fillId="10" borderId="95" xfId="55" applyNumberFormat="1" applyFont="1" applyFill="1" applyBorder="1" applyAlignment="1">
      <alignment horizontal="right" vertical="center"/>
    </xf>
    <xf numFmtId="0" fontId="66" fillId="10" borderId="231"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6" fillId="10" borderId="143" xfId="0" applyFont="1" applyFill="1" applyBorder="1" applyAlignment="1">
      <alignment horizontal="right" vertical="center"/>
    </xf>
    <xf numFmtId="167" fontId="37" fillId="10" borderId="96" xfId="55" applyNumberFormat="1" applyFont="1" applyFill="1" applyBorder="1" applyAlignment="1">
      <alignment horizontal="right" vertical="center"/>
    </xf>
    <xf numFmtId="167" fontId="37" fillId="10" borderId="92" xfId="55" applyNumberFormat="1" applyFont="1" applyFill="1" applyBorder="1" applyAlignment="1">
      <alignment horizontal="right" vertical="center"/>
    </xf>
    <xf numFmtId="167" fontId="37" fillId="10" borderId="95" xfId="55" applyNumberFormat="1" applyFont="1" applyFill="1" applyBorder="1" applyAlignment="1">
      <alignment horizontal="right" vertical="center"/>
    </xf>
    <xf numFmtId="167" fontId="37" fillId="10" borderId="142" xfId="55" applyNumberFormat="1" applyFont="1" applyFill="1" applyBorder="1" applyAlignment="1">
      <alignment horizontal="right" vertical="center"/>
    </xf>
    <xf numFmtId="0" fontId="30" fillId="10" borderId="103" xfId="0" applyFont="1" applyFill="1" applyBorder="1" applyAlignment="1">
      <alignment horizontal="center" vertical="center"/>
    </xf>
    <xf numFmtId="0" fontId="30" fillId="10" borderId="94" xfId="0" applyFont="1" applyFill="1" applyBorder="1" applyAlignment="1">
      <alignment horizontal="center" vertical="center"/>
    </xf>
    <xf numFmtId="0" fontId="30" fillId="10" borderId="158" xfId="0" applyFont="1" applyFill="1" applyBorder="1" applyAlignment="1">
      <alignment horizontal="center" vertical="center"/>
    </xf>
    <xf numFmtId="3" fontId="37" fillId="10" borderId="224" xfId="0" applyNumberFormat="1" applyFont="1" applyFill="1" applyBorder="1" applyAlignment="1">
      <alignment horizontal="right" vertical="center"/>
    </xf>
    <xf numFmtId="0" fontId="26" fillId="9" borderId="232" xfId="0" applyFont="1" applyFill="1" applyBorder="1" applyAlignment="1">
      <alignment horizontal="center" vertical="center"/>
    </xf>
    <xf numFmtId="0" fontId="26" fillId="9" borderId="117"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4" xfId="0" applyFont="1" applyFill="1" applyBorder="1" applyAlignment="1">
      <alignment horizontal="center" vertical="center"/>
    </xf>
    <xf numFmtId="0" fontId="23" fillId="9" borderId="228"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5" xfId="0" applyFont="1" applyFill="1" applyBorder="1" applyAlignment="1">
      <alignment horizontal="center" vertical="center"/>
    </xf>
    <xf numFmtId="0" fontId="23" fillId="9" borderId="236" xfId="0" applyFont="1" applyFill="1" applyBorder="1" applyAlignment="1">
      <alignment horizontal="center" vertical="center"/>
    </xf>
    <xf numFmtId="0" fontId="23" fillId="9" borderId="223" xfId="0" applyFont="1" applyFill="1" applyBorder="1" applyAlignment="1">
      <alignment horizontal="center" vertical="center"/>
    </xf>
    <xf numFmtId="0" fontId="23" fillId="9" borderId="222" xfId="0" applyFont="1" applyFill="1" applyBorder="1" applyAlignment="1">
      <alignment horizontal="center" vertical="center"/>
    </xf>
    <xf numFmtId="0" fontId="23" fillId="9" borderId="237" xfId="0" applyFont="1" applyFill="1" applyBorder="1" applyAlignment="1">
      <alignment horizontal="center" vertical="center"/>
    </xf>
    <xf numFmtId="0" fontId="108" fillId="0" borderId="3" xfId="0" applyFont="1" applyBorder="1" applyAlignment="1">
      <alignment horizontal="center"/>
    </xf>
    <xf numFmtId="2" fontId="75" fillId="9" borderId="134" xfId="0" applyNumberFormat="1" applyFont="1" applyFill="1" applyBorder="1" applyAlignment="1">
      <alignment horizontal="center" vertical="center"/>
    </xf>
    <xf numFmtId="2" fontId="75" fillId="9" borderId="135" xfId="0" applyNumberFormat="1" applyFont="1" applyFill="1" applyBorder="1" applyAlignment="1">
      <alignment horizontal="center" vertical="center"/>
    </xf>
    <xf numFmtId="2" fontId="75"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6" fillId="9" borderId="129" xfId="0" applyFont="1" applyFill="1" applyBorder="1" applyAlignment="1">
      <alignment horizontal="center" vertical="center"/>
    </xf>
    <xf numFmtId="0" fontId="36" fillId="9" borderId="142" xfId="0" applyFont="1" applyFill="1" applyBorder="1" applyAlignment="1">
      <alignment horizontal="center" vertical="center"/>
    </xf>
    <xf numFmtId="2" fontId="75" fillId="9" borderId="228" xfId="0" applyNumberFormat="1" applyFont="1" applyFill="1" applyBorder="1" applyAlignment="1">
      <alignment horizontal="center" vertical="center"/>
    </xf>
    <xf numFmtId="2" fontId="75" fillId="9" borderId="223" xfId="0" applyNumberFormat="1" applyFont="1" applyFill="1" applyBorder="1" applyAlignment="1">
      <alignment horizontal="center" vertical="center"/>
    </xf>
    <xf numFmtId="0" fontId="44" fillId="34" borderId="22" xfId="0" applyFont="1" applyFill="1" applyBorder="1" applyAlignment="1">
      <alignment horizontal="center" vertical="center"/>
    </xf>
    <xf numFmtId="0" fontId="16" fillId="0" borderId="41" xfId="0" applyFont="1" applyBorder="1"/>
    <xf numFmtId="0" fontId="16" fillId="0" borderId="77" xfId="0" applyFont="1" applyBorder="1"/>
    <xf numFmtId="0" fontId="58" fillId="33" borderId="65" xfId="0" applyFont="1" applyFill="1" applyBorder="1" applyAlignment="1">
      <alignment horizontal="center" vertical="center"/>
    </xf>
    <xf numFmtId="0" fontId="16" fillId="0" borderId="59" xfId="0" applyFont="1" applyBorder="1"/>
    <xf numFmtId="0" fontId="16" fillId="0" borderId="60" xfId="0" applyFont="1" applyBorder="1"/>
    <xf numFmtId="0" fontId="58" fillId="38" borderId="65" xfId="0" applyFont="1" applyFill="1" applyBorder="1" applyAlignment="1">
      <alignment horizontal="center" vertical="center"/>
    </xf>
    <xf numFmtId="0" fontId="47" fillId="38" borderId="65" xfId="0" applyFont="1" applyFill="1" applyBorder="1" applyAlignment="1">
      <alignment horizontal="center" vertical="center"/>
    </xf>
    <xf numFmtId="0" fontId="44" fillId="38" borderId="65" xfId="0" applyFont="1" applyFill="1" applyBorder="1" applyAlignment="1">
      <alignment horizontal="center" vertical="center"/>
    </xf>
    <xf numFmtId="0" fontId="55" fillId="34" borderId="67" xfId="0" applyFont="1" applyFill="1" applyBorder="1" applyAlignment="1">
      <alignment horizontal="center" vertical="center"/>
    </xf>
    <xf numFmtId="0" fontId="55" fillId="34" borderId="11" xfId="0" applyFont="1" applyFill="1" applyBorder="1" applyAlignment="1">
      <alignment horizontal="center" vertical="center"/>
    </xf>
    <xf numFmtId="0" fontId="55" fillId="34" borderId="87" xfId="0" applyFont="1" applyFill="1" applyBorder="1" applyAlignment="1">
      <alignment horizontal="center" vertical="center"/>
    </xf>
    <xf numFmtId="0" fontId="55" fillId="34" borderId="9" xfId="0" applyFont="1" applyFill="1" applyBorder="1" applyAlignment="1">
      <alignment horizontal="center" vertical="center"/>
    </xf>
    <xf numFmtId="0" fontId="55" fillId="34" borderId="3" xfId="0" applyFont="1" applyFill="1" applyBorder="1" applyAlignment="1">
      <alignment horizontal="center" vertical="center"/>
    </xf>
    <xf numFmtId="0" fontId="55" fillId="34" borderId="88" xfId="0" applyFont="1" applyFill="1" applyBorder="1" applyAlignment="1">
      <alignment horizontal="center" vertical="center"/>
    </xf>
    <xf numFmtId="1" fontId="55" fillId="31" borderId="11" xfId="0" applyNumberFormat="1" applyFont="1" applyFill="1" applyBorder="1" applyAlignment="1">
      <alignment horizontal="center" vertical="center"/>
    </xf>
    <xf numFmtId="1" fontId="55" fillId="31" borderId="68" xfId="0" applyNumberFormat="1" applyFont="1" applyFill="1" applyBorder="1" applyAlignment="1">
      <alignment horizontal="center" vertical="center"/>
    </xf>
    <xf numFmtId="1" fontId="55" fillId="31" borderId="3" xfId="0" applyNumberFormat="1" applyFont="1" applyFill="1" applyBorder="1" applyAlignment="1">
      <alignment horizontal="center" vertical="center"/>
    </xf>
    <xf numFmtId="1" fontId="55" fillId="31" borderId="12" xfId="0" applyNumberFormat="1" applyFont="1" applyFill="1" applyBorder="1" applyAlignment="1">
      <alignment horizontal="center" vertical="center"/>
    </xf>
    <xf numFmtId="0" fontId="58" fillId="34" borderId="65" xfId="0" applyFont="1" applyFill="1" applyBorder="1" applyAlignment="1">
      <alignment horizontal="center" vertical="center"/>
    </xf>
    <xf numFmtId="0" fontId="44" fillId="38" borderId="69" xfId="0" applyFont="1" applyFill="1" applyBorder="1" applyAlignment="1">
      <alignment horizontal="center" vertical="center"/>
    </xf>
    <xf numFmtId="0" fontId="16" fillId="0" borderId="1" xfId="0" applyFont="1" applyBorder="1"/>
    <xf numFmtId="0" fontId="16" fillId="0" borderId="57" xfId="0" applyFont="1" applyBorder="1"/>
    <xf numFmtId="0" fontId="58" fillId="22" borderId="65" xfId="0" applyFont="1" applyFill="1" applyBorder="1" applyAlignment="1">
      <alignment horizontal="center" vertical="center"/>
    </xf>
    <xf numFmtId="0" fontId="44" fillId="34" borderId="58" xfId="0" applyFont="1" applyFill="1" applyBorder="1" applyAlignment="1">
      <alignment horizontal="center" vertical="center"/>
    </xf>
    <xf numFmtId="0" fontId="44" fillId="38" borderId="58" xfId="0" applyFont="1" applyFill="1" applyBorder="1" applyAlignment="1">
      <alignment horizontal="center" vertical="center"/>
    </xf>
    <xf numFmtId="0" fontId="55" fillId="22" borderId="58" xfId="0" applyFont="1" applyFill="1" applyBorder="1" applyAlignment="1">
      <alignment horizontal="center" vertical="center"/>
    </xf>
    <xf numFmtId="0" fontId="55" fillId="33" borderId="65" xfId="0" applyFont="1" applyFill="1" applyBorder="1" applyAlignment="1">
      <alignment horizontal="center" vertical="center"/>
    </xf>
    <xf numFmtId="1" fontId="79" fillId="11" borderId="145" xfId="77" applyNumberFormat="1" applyFont="1" applyFill="1" applyBorder="1" applyAlignment="1">
      <alignment horizontal="center" vertical="center"/>
    </xf>
    <xf numFmtId="168" fontId="113" fillId="13" borderId="119" xfId="0" applyNumberFormat="1" applyFont="1" applyFill="1" applyBorder="1" applyAlignment="1">
      <alignment horizontal="center" vertical="center" wrapText="1"/>
    </xf>
    <xf numFmtId="0" fontId="101" fillId="9" borderId="172" xfId="0" applyNumberFormat="1" applyFont="1" applyFill="1" applyBorder="1" applyAlignment="1">
      <alignment horizontal="center" vertical="center"/>
    </xf>
    <xf numFmtId="0" fontId="101" fillId="9" borderId="141" xfId="0" applyNumberFormat="1" applyFont="1" applyFill="1" applyBorder="1" applyAlignment="1">
      <alignment horizontal="center" vertical="center"/>
    </xf>
    <xf numFmtId="0" fontId="95"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3" fillId="9" borderId="141" xfId="0" applyNumberFormat="1" applyFont="1" applyFill="1" applyBorder="1" applyAlignment="1">
      <alignment horizontal="center" vertical="center"/>
    </xf>
    <xf numFmtId="0" fontId="74" fillId="9" borderId="126" xfId="0" applyNumberFormat="1" applyFont="1" applyFill="1" applyBorder="1" applyAlignment="1">
      <alignment horizontal="center" vertical="center"/>
    </xf>
    <xf numFmtId="2" fontId="75" fillId="9" borderId="149" xfId="0" applyNumberFormat="1"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30">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A67" sqref="A67"/>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0.85546875" style="12" bestFit="1" customWidth="1"/>
    <col min="14" max="14" width="5.140625" style="12" hidden="1" customWidth="1"/>
    <col min="15" max="15" width="7.7109375" style="38" hidden="1" customWidth="1"/>
    <col min="16" max="16" width="3.7109375" style="44" hidden="1" customWidth="1"/>
    <col min="17" max="17" width="5.42578125" style="10" bestFit="1" customWidth="1"/>
    <col min="18" max="18" width="4.85546875" style="39" bestFit="1" customWidth="1"/>
    <col min="19" max="19" width="4.85546875" style="34" bestFit="1" customWidth="1"/>
    <col min="20" max="20" width="4.85546875" style="11" bestFit="1" customWidth="1"/>
    <col min="21" max="21" width="4.5703125" style="11" customWidth="1"/>
    <col min="22" max="22" width="5.7109375" style="11" bestFit="1" customWidth="1"/>
    <col min="23" max="23" width="8.85546875" bestFit="1" customWidth="1"/>
    <col min="24" max="24" width="7.5703125" style="349" bestFit="1" customWidth="1"/>
    <col min="25" max="25" width="7.42578125" style="330" bestFit="1" customWidth="1"/>
    <col min="26" max="26" width="10.28515625" style="331"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2" t="s">
        <v>126</v>
      </c>
      <c r="B1" s="493" t="s">
        <v>337</v>
      </c>
      <c r="C1" s="492" t="s">
        <v>306</v>
      </c>
      <c r="D1" s="492" t="s">
        <v>307</v>
      </c>
      <c r="E1" s="493" t="s">
        <v>338</v>
      </c>
      <c r="F1" s="492" t="s">
        <v>127</v>
      </c>
      <c r="G1" s="493" t="s">
        <v>304</v>
      </c>
      <c r="H1" s="493" t="s">
        <v>128</v>
      </c>
      <c r="I1" s="493" t="s">
        <v>129</v>
      </c>
      <c r="J1" s="493" t="s">
        <v>130</v>
      </c>
      <c r="K1" s="493" t="s">
        <v>308</v>
      </c>
      <c r="L1" s="493" t="s">
        <v>305</v>
      </c>
      <c r="M1" s="493" t="s">
        <v>131</v>
      </c>
      <c r="N1" s="493" t="s">
        <v>132</v>
      </c>
      <c r="O1" s="493" t="s">
        <v>133</v>
      </c>
      <c r="P1" s="494"/>
      <c r="Q1" s="523"/>
      <c r="R1" s="524"/>
      <c r="S1" s="522" t="s">
        <v>633</v>
      </c>
      <c r="T1" s="525">
        <v>2.5000000000000001E-2</v>
      </c>
      <c r="U1" s="324">
        <v>0</v>
      </c>
      <c r="V1" s="792">
        <v>0</v>
      </c>
      <c r="W1" s="210">
        <v>1</v>
      </c>
      <c r="X1" s="211">
        <f>W1</f>
        <v>1</v>
      </c>
      <c r="Y1" s="414">
        <f>AA69</f>
        <v>103315.89958158997</v>
      </c>
      <c r="Z1" s="448">
        <v>100</v>
      </c>
      <c r="AA1" s="415">
        <v>100</v>
      </c>
      <c r="AB1" s="329">
        <f>Y1*($AE$1*$AD$1)</f>
        <v>388.35455952312719</v>
      </c>
      <c r="AC1" s="38">
        <f>AD1</f>
        <v>2</v>
      </c>
      <c r="AD1" s="54">
        <f>IF(AJ3&lt;&gt;0,2,IF(AJ4&lt;&gt;0,4,IF(AJ5&lt;&gt;0,5,IF(AJ6&lt;&gt;0,6,IF(AJ7&lt;&gt;0,7,IF(AJ8&lt;&gt;0,8,30))))))</f>
        <v>2</v>
      </c>
      <c r="AE1" s="53">
        <f>IF(AJ3&lt;&gt;0,AJ3/365,IF(AJ4&lt;&gt;0,AJ5/365,IF(AJ5&lt;&gt;0,AJ6/365,IF(AJ6&lt;&gt;0,AJ7/365,IF(AJ7&lt;&gt;0,AJ8/365,IF(AJ8&lt;&gt;0,AJ9/365,110/365))))))</f>
        <v>1.8794520547945205E-3</v>
      </c>
      <c r="AF1" s="294" t="s">
        <v>315</v>
      </c>
      <c r="AG1" s="294" t="s">
        <v>316</v>
      </c>
      <c r="AH1" s="294" t="s">
        <v>317</v>
      </c>
      <c r="AI1" s="294" t="s">
        <v>318</v>
      </c>
      <c r="AJ1" s="295" t="s">
        <v>313</v>
      </c>
      <c r="AK1" s="293" t="s">
        <v>314</v>
      </c>
      <c r="AL1" s="212" t="s">
        <v>312</v>
      </c>
    </row>
    <row r="2" spans="1:42" ht="12.75" hidden="1" customHeight="1">
      <c r="A2" s="463" t="s">
        <v>581</v>
      </c>
      <c r="B2" s="344">
        <f t="shared" ref="B2:B29" si="0">IF(A2&lt;&gt;"",VLOOKUP($A2,$A$64:$N$175,2,0),"")</f>
        <v>2000</v>
      </c>
      <c r="C2" s="339">
        <f t="shared" ref="C2:C29" si="1">IF(A2&lt;&gt;"",VLOOKUP($A2,$A$60:$N$175,3,0),"")</f>
        <v>24.09</v>
      </c>
      <c r="D2" s="265">
        <f t="shared" ref="D2:D29" si="2">IF(A2&lt;&gt;"",VLOOKUP($A2,$A$60:$N$175,4,0),"")</f>
        <v>24.4</v>
      </c>
      <c r="E2" s="338">
        <f t="shared" ref="E2:E29" si="3">IF(A2&lt;&gt;"",VLOOKUP($A2,$A$60:$N$175,5,0),"")</f>
        <v>103</v>
      </c>
      <c r="F2" s="292">
        <f t="shared" ref="F2:F29" si="4">IF($A2&lt;&gt;"",VLOOKUP($A2,$A$60:$N$175,6,0),"")</f>
        <v>24.4</v>
      </c>
      <c r="G2" s="345">
        <f t="shared" ref="G2:G29" si="5">IF($A2&lt;&gt;"",VLOOKUP($A2,$A$60:$N$175,7,0),"")</f>
        <v>7.8000000000000005E-3</v>
      </c>
      <c r="H2" s="247">
        <f t="shared" ref="H2:H29" si="6">IF($A2&lt;&gt;"",VLOOKUP($A2,$A$60:$N$175,8,0),"")</f>
        <v>24.22</v>
      </c>
      <c r="I2" s="239">
        <f t="shared" ref="I2:I29" si="7">IF($A2&lt;&gt;"",VLOOKUP($A2,$A$60:$N$175,9,0),"")</f>
        <v>24.5</v>
      </c>
      <c r="J2" s="306">
        <f t="shared" ref="J2:J29" si="8">IF($A2&lt;&gt;"",VLOOKUP($A2,$A$60:$N$175,10,0),"")</f>
        <v>23.7</v>
      </c>
      <c r="K2" s="243">
        <f t="shared" ref="K2:K29" si="9">IF($A2&lt;&gt;"",VLOOKUP($A2,$A$60:$N$175,11,0),"")</f>
        <v>24.21</v>
      </c>
      <c r="L2" s="266">
        <f t="shared" ref="L2:L29" si="10">IF($A2&lt;&gt;"",VLOOKUP($A2,$A$60:$N$175,12,0),"")</f>
        <v>11887</v>
      </c>
      <c r="M2" s="243">
        <f t="shared" ref="M2:M29" si="11">IF($A2&lt;&gt;"",VLOOKUP($A2,$A$60:$N$175,13,0),"")</f>
        <v>49194</v>
      </c>
      <c r="N2" s="266">
        <f t="shared" ref="N2:N29" si="12">IF($A2&lt;&gt;"",VLOOKUP($A2,$A$60:$N$175,14,0),"")</f>
        <v>64</v>
      </c>
      <c r="O2" s="300">
        <f t="shared" ref="O2:O29" si="13">IF($A2&lt;&gt;"",VLOOKUP($A2,$A$60:$O$175,15,0),"")</f>
        <v>45363.700902777775</v>
      </c>
      <c r="P2" s="311">
        <v>1</v>
      </c>
      <c r="Q2" s="743"/>
      <c r="R2" s="403"/>
      <c r="S2" s="653"/>
      <c r="T2" s="615"/>
      <c r="U2" s="280"/>
      <c r="V2" s="325"/>
      <c r="W2" s="671"/>
      <c r="X2" s="670"/>
      <c r="Y2" s="663">
        <f>IFERROR(IF($Y$1&lt;&gt;"",INT($Y$1/(D5/100)),100),100)</f>
        <v>421</v>
      </c>
      <c r="Z2" s="657">
        <f>IFERROR($C2*(1-$V$1)/100*$Y2,"")</f>
        <v>101.41890000000001</v>
      </c>
      <c r="AA2" s="754">
        <f>IFERROR($Z2-$Z3,"")</f>
        <v>8.29000000000093E-2</v>
      </c>
      <c r="AD2" s="315" t="s">
        <v>319</v>
      </c>
      <c r="AE2" s="321">
        <v>45364</v>
      </c>
      <c r="AF2" s="313">
        <v>64493607.020000003</v>
      </c>
      <c r="AG2" s="314">
        <v>0.69010000000000005</v>
      </c>
      <c r="AH2" s="314">
        <v>0.6925</v>
      </c>
      <c r="AI2" s="313">
        <v>76264628.689999998</v>
      </c>
      <c r="AJ2" s="318">
        <v>0.69010000000000005</v>
      </c>
      <c r="AK2" s="313"/>
    </row>
    <row r="3" spans="1:42" ht="12.75" hidden="1" customHeight="1">
      <c r="A3" s="462" t="s">
        <v>4</v>
      </c>
      <c r="B3" s="340">
        <f t="shared" si="0"/>
        <v>311700</v>
      </c>
      <c r="C3" s="337">
        <f t="shared" si="1"/>
        <v>47.65</v>
      </c>
      <c r="D3" s="341">
        <f t="shared" si="2"/>
        <v>47.8</v>
      </c>
      <c r="E3" s="343">
        <f t="shared" si="3"/>
        <v>1500</v>
      </c>
      <c r="F3" s="250">
        <f t="shared" si="4"/>
        <v>47.66</v>
      </c>
      <c r="G3" s="346">
        <f t="shared" si="5"/>
        <v>1.72E-2</v>
      </c>
      <c r="H3" s="246">
        <f t="shared" si="6"/>
        <v>46.75</v>
      </c>
      <c r="I3" s="237">
        <f t="shared" si="7"/>
        <v>47.901000000000003</v>
      </c>
      <c r="J3" s="304">
        <f t="shared" si="8"/>
        <v>46.5</v>
      </c>
      <c r="K3" s="241">
        <f t="shared" si="9"/>
        <v>46.850999999999999</v>
      </c>
      <c r="L3" s="244">
        <f t="shared" si="10"/>
        <v>16421068</v>
      </c>
      <c r="M3" s="241">
        <f t="shared" si="11"/>
        <v>34987829</v>
      </c>
      <c r="N3" s="244">
        <f t="shared" si="12"/>
        <v>18850</v>
      </c>
      <c r="O3" s="301">
        <f t="shared" si="13"/>
        <v>45363.708425925928</v>
      </c>
      <c r="P3" s="310">
        <v>2</v>
      </c>
      <c r="Q3" s="744"/>
      <c r="R3" s="404"/>
      <c r="S3" s="622"/>
      <c r="T3" s="617"/>
      <c r="U3" s="281"/>
      <c r="V3" s="326"/>
      <c r="W3" s="625"/>
      <c r="X3" s="672"/>
      <c r="Y3" s="664">
        <f>IFERROR(INT($Z2/($D3*(1+$V$1)/100)),0)</f>
        <v>212</v>
      </c>
      <c r="Z3" s="658">
        <f>IFERROR($D3/100*INT($Y3),"")</f>
        <v>101.336</v>
      </c>
      <c r="AA3" s="755"/>
      <c r="AD3" s="49" t="s">
        <v>320</v>
      </c>
      <c r="AE3" s="322">
        <v>45365</v>
      </c>
      <c r="AF3" s="48">
        <v>3167097.49</v>
      </c>
      <c r="AG3" s="52">
        <v>0.68599999999999994</v>
      </c>
      <c r="AH3" s="52">
        <v>0.69</v>
      </c>
      <c r="AI3" s="48">
        <v>462957.5</v>
      </c>
      <c r="AJ3" s="319">
        <v>0.68599999999999994</v>
      </c>
      <c r="AK3" s="48">
        <v>13345171453</v>
      </c>
    </row>
    <row r="4" spans="1:42" ht="12.75" hidden="1" customHeight="1">
      <c r="A4" s="359" t="s">
        <v>2</v>
      </c>
      <c r="B4" s="344">
        <f t="shared" si="0"/>
        <v>21406</v>
      </c>
      <c r="C4" s="339">
        <f t="shared" si="1"/>
        <v>49385</v>
      </c>
      <c r="D4" s="336">
        <f t="shared" si="2"/>
        <v>49440</v>
      </c>
      <c r="E4" s="342">
        <f t="shared" si="3"/>
        <v>12099</v>
      </c>
      <c r="F4" s="292">
        <f t="shared" si="4"/>
        <v>49385</v>
      </c>
      <c r="G4" s="345">
        <f t="shared" si="5"/>
        <v>7.4499999999999997E-2</v>
      </c>
      <c r="H4" s="247">
        <f t="shared" si="6"/>
        <v>46700</v>
      </c>
      <c r="I4" s="239">
        <f t="shared" si="7"/>
        <v>50130</v>
      </c>
      <c r="J4" s="306">
        <f t="shared" si="8"/>
        <v>46700</v>
      </c>
      <c r="K4" s="243">
        <f t="shared" si="9"/>
        <v>45960</v>
      </c>
      <c r="L4" s="266">
        <f t="shared" si="10"/>
        <v>76615043344</v>
      </c>
      <c r="M4" s="243">
        <f t="shared" si="11"/>
        <v>157430611</v>
      </c>
      <c r="N4" s="266">
        <f t="shared" si="12"/>
        <v>35443</v>
      </c>
      <c r="O4" s="300">
        <f t="shared" si="13"/>
        <v>45363.708495370367</v>
      </c>
      <c r="P4" s="311">
        <v>3</v>
      </c>
      <c r="Q4" s="745"/>
      <c r="R4" s="403"/>
      <c r="S4" s="621"/>
      <c r="T4" s="615"/>
      <c r="U4" s="280"/>
      <c r="V4" s="325"/>
      <c r="W4" s="671"/>
      <c r="X4" s="670"/>
      <c r="Y4" s="665">
        <f t="shared" ref="Y4:Y12" si="14">Y3</f>
        <v>212</v>
      </c>
      <c r="Z4" s="659">
        <f>IFERROR($C4*(1-$V$1)/100*INT($Y4),"")</f>
        <v>104696.20000000001</v>
      </c>
      <c r="AA4" s="756">
        <f>IFERROR($Z4-$Z5,"")</f>
        <v>81.200000000011642</v>
      </c>
      <c r="AD4" s="315" t="s">
        <v>321</v>
      </c>
      <c r="AE4" s="322">
        <v>45366</v>
      </c>
      <c r="AF4" s="313">
        <v>82087461.049999997</v>
      </c>
      <c r="AG4" s="314">
        <v>0.6925</v>
      </c>
      <c r="AH4" s="314">
        <v>0.7</v>
      </c>
      <c r="AI4" s="313">
        <v>7220000</v>
      </c>
      <c r="AJ4" s="318">
        <v>0.6925</v>
      </c>
      <c r="AK4" s="313">
        <v>2293160344</v>
      </c>
      <c r="AL4" s="47"/>
    </row>
    <row r="5" spans="1:42" ht="12.75" hidden="1" customHeight="1">
      <c r="A5" s="464" t="s">
        <v>577</v>
      </c>
      <c r="B5" s="352">
        <f t="shared" si="0"/>
        <v>410</v>
      </c>
      <c r="C5" s="353">
        <f t="shared" si="1"/>
        <v>24215</v>
      </c>
      <c r="D5" s="354">
        <f t="shared" si="2"/>
        <v>24500</v>
      </c>
      <c r="E5" s="355">
        <f t="shared" si="3"/>
        <v>2612</v>
      </c>
      <c r="F5" s="356">
        <f t="shared" si="4"/>
        <v>24500</v>
      </c>
      <c r="G5" s="357">
        <f t="shared" si="5"/>
        <v>4.2500000000000003E-2</v>
      </c>
      <c r="H5" s="267">
        <f t="shared" si="6"/>
        <v>24500</v>
      </c>
      <c r="I5" s="268">
        <f t="shared" si="7"/>
        <v>24880</v>
      </c>
      <c r="J5" s="308">
        <f t="shared" si="8"/>
        <v>24000</v>
      </c>
      <c r="K5" s="269">
        <f t="shared" si="9"/>
        <v>23500</v>
      </c>
      <c r="L5" s="271">
        <f t="shared" si="10"/>
        <v>13409856</v>
      </c>
      <c r="M5" s="269">
        <f t="shared" si="11"/>
        <v>54859</v>
      </c>
      <c r="N5" s="460">
        <f t="shared" si="12"/>
        <v>101</v>
      </c>
      <c r="O5" s="303">
        <f t="shared" si="13"/>
        <v>45363.703020833331</v>
      </c>
      <c r="P5" s="741">
        <v>4</v>
      </c>
      <c r="Q5" s="746"/>
      <c r="R5" s="461"/>
      <c r="S5" s="654"/>
      <c r="T5" s="648"/>
      <c r="U5" s="413">
        <v>0</v>
      </c>
      <c r="V5" s="326"/>
      <c r="W5" s="625"/>
      <c r="X5" s="672"/>
      <c r="Y5" s="673">
        <f>IFERROR($Z4/($D5*(1+$V$1)/100),0)</f>
        <v>427.3314285714286</v>
      </c>
      <c r="Z5" s="661">
        <f>IFERROR($D5/100*INT($Y5),"")</f>
        <v>104615</v>
      </c>
      <c r="AA5" s="755"/>
      <c r="AD5" s="49" t="s">
        <v>322</v>
      </c>
      <c r="AE5" s="322">
        <v>45367</v>
      </c>
      <c r="AF5" s="48"/>
      <c r="AG5" s="52"/>
      <c r="AH5" s="52"/>
      <c r="AI5" s="48"/>
      <c r="AJ5" s="319"/>
      <c r="AK5" s="48"/>
      <c r="AL5" s="47"/>
    </row>
    <row r="6" spans="1:42" ht="12.75" hidden="1" customHeight="1">
      <c r="A6" s="335" t="s">
        <v>581</v>
      </c>
      <c r="B6" s="344">
        <f t="shared" si="0"/>
        <v>2000</v>
      </c>
      <c r="C6" s="339">
        <f t="shared" si="1"/>
        <v>24.09</v>
      </c>
      <c r="D6" s="265">
        <f t="shared" si="2"/>
        <v>24.4</v>
      </c>
      <c r="E6" s="338">
        <f t="shared" si="3"/>
        <v>103</v>
      </c>
      <c r="F6" s="292">
        <f t="shared" si="4"/>
        <v>24.4</v>
      </c>
      <c r="G6" s="345">
        <f t="shared" si="5"/>
        <v>7.8000000000000005E-3</v>
      </c>
      <c r="H6" s="245">
        <f t="shared" si="6"/>
        <v>24.22</v>
      </c>
      <c r="I6" s="236">
        <f t="shared" si="7"/>
        <v>24.5</v>
      </c>
      <c r="J6" s="305">
        <f t="shared" si="8"/>
        <v>23.7</v>
      </c>
      <c r="K6" s="240">
        <f t="shared" si="9"/>
        <v>24.21</v>
      </c>
      <c r="L6" s="273">
        <f t="shared" si="10"/>
        <v>11887</v>
      </c>
      <c r="M6" s="240">
        <f t="shared" si="11"/>
        <v>49194</v>
      </c>
      <c r="N6" s="273">
        <f t="shared" si="12"/>
        <v>64</v>
      </c>
      <c r="O6" s="297">
        <f t="shared" si="13"/>
        <v>45363.700902777775</v>
      </c>
      <c r="P6" s="311">
        <v>5</v>
      </c>
      <c r="Q6" s="747"/>
      <c r="R6" s="405"/>
      <c r="S6" s="655"/>
      <c r="T6" s="649"/>
      <c r="U6" s="412">
        <v>0</v>
      </c>
      <c r="V6" s="325"/>
      <c r="W6" s="671"/>
      <c r="X6" s="670"/>
      <c r="Y6" s="674">
        <f>IFERROR(IF($Y$1&lt;&gt;"",INT($Y$1/(D9/100)),100),100)</f>
        <v>421</v>
      </c>
      <c r="Z6" s="659">
        <f>IFERROR($C6*(1-$V$1)/100*$Y6,"")</f>
        <v>101.41890000000001</v>
      </c>
      <c r="AA6" s="756">
        <f>IFERROR($Z6-$Z7,"")</f>
        <v>0.45660000000000878</v>
      </c>
      <c r="AB6" s="235"/>
      <c r="AD6" s="315" t="s">
        <v>323</v>
      </c>
      <c r="AE6" s="322">
        <v>45368</v>
      </c>
      <c r="AF6" s="313"/>
      <c r="AG6" s="314"/>
      <c r="AH6" s="314"/>
      <c r="AI6" s="313"/>
      <c r="AJ6" s="318"/>
      <c r="AK6" s="313"/>
    </row>
    <row r="7" spans="1:42" ht="12.75" hidden="1" customHeight="1">
      <c r="A7" s="462" t="s">
        <v>7</v>
      </c>
      <c r="B7" s="340">
        <f t="shared" si="0"/>
        <v>11576</v>
      </c>
      <c r="C7" s="337">
        <f t="shared" si="1"/>
        <v>50.2</v>
      </c>
      <c r="D7" s="341">
        <f t="shared" si="2"/>
        <v>50.23</v>
      </c>
      <c r="E7" s="343">
        <f t="shared" si="3"/>
        <v>999</v>
      </c>
      <c r="F7" s="250">
        <f t="shared" si="4"/>
        <v>50.23</v>
      </c>
      <c r="G7" s="346">
        <f t="shared" si="5"/>
        <v>2.5099999999999997E-2</v>
      </c>
      <c r="H7" s="246">
        <f t="shared" si="6"/>
        <v>48.6</v>
      </c>
      <c r="I7" s="237">
        <f t="shared" si="7"/>
        <v>50.23</v>
      </c>
      <c r="J7" s="304">
        <f t="shared" si="8"/>
        <v>48.55</v>
      </c>
      <c r="K7" s="241">
        <f t="shared" si="9"/>
        <v>49</v>
      </c>
      <c r="L7" s="244">
        <f t="shared" si="10"/>
        <v>1493246</v>
      </c>
      <c r="M7" s="253">
        <f t="shared" si="11"/>
        <v>3028936</v>
      </c>
      <c r="N7" s="244">
        <f t="shared" si="12"/>
        <v>1277</v>
      </c>
      <c r="O7" s="296">
        <f t="shared" si="13"/>
        <v>45363.708437499998</v>
      </c>
      <c r="P7" s="310">
        <v>6</v>
      </c>
      <c r="Q7" s="744"/>
      <c r="R7" s="404"/>
      <c r="S7" s="622"/>
      <c r="T7" s="617"/>
      <c r="U7" s="281">
        <v>0</v>
      </c>
      <c r="V7" s="326"/>
      <c r="W7" s="625"/>
      <c r="X7" s="672"/>
      <c r="Y7" s="664">
        <f>IFERROR(INT($Z6/($D7*(1+$V$1)/100)),0)</f>
        <v>201</v>
      </c>
      <c r="Z7" s="661">
        <f>IFERROR($D7/100*INT($Y7),"")</f>
        <v>100.9623</v>
      </c>
      <c r="AA7" s="755"/>
      <c r="AD7" s="49" t="s">
        <v>324</v>
      </c>
      <c r="AE7" s="322">
        <v>45369</v>
      </c>
      <c r="AF7" s="48">
        <v>5298751.84</v>
      </c>
      <c r="AG7" s="52">
        <v>0.67010000000000003</v>
      </c>
      <c r="AH7" s="52">
        <v>0.7</v>
      </c>
      <c r="AI7" s="48">
        <v>47329.01</v>
      </c>
      <c r="AJ7" s="319">
        <v>0.67010000000000003</v>
      </c>
      <c r="AK7" s="48">
        <v>1048052913</v>
      </c>
    </row>
    <row r="8" spans="1:42" hidden="1">
      <c r="A8" s="359" t="s">
        <v>5</v>
      </c>
      <c r="B8" s="344">
        <f t="shared" si="0"/>
        <v>20000</v>
      </c>
      <c r="C8" s="339">
        <f t="shared" si="1"/>
        <v>51670</v>
      </c>
      <c r="D8" s="336">
        <f t="shared" si="2"/>
        <v>51690</v>
      </c>
      <c r="E8" s="342">
        <f t="shared" si="3"/>
        <v>75181</v>
      </c>
      <c r="F8" s="292">
        <f t="shared" si="4"/>
        <v>51690</v>
      </c>
      <c r="G8" s="345">
        <f t="shared" si="5"/>
        <v>7.9100000000000004E-2</v>
      </c>
      <c r="H8" s="245">
        <f t="shared" si="6"/>
        <v>48060</v>
      </c>
      <c r="I8" s="236">
        <f t="shared" si="7"/>
        <v>52320</v>
      </c>
      <c r="J8" s="305">
        <f t="shared" si="8"/>
        <v>48060</v>
      </c>
      <c r="K8" s="240">
        <f t="shared" si="9"/>
        <v>47900</v>
      </c>
      <c r="L8" s="273">
        <f t="shared" si="10"/>
        <v>22368252935</v>
      </c>
      <c r="M8" s="240">
        <f t="shared" si="11"/>
        <v>44101983</v>
      </c>
      <c r="N8" s="273">
        <f t="shared" si="12"/>
        <v>5208</v>
      </c>
      <c r="O8" s="297">
        <f t="shared" si="13"/>
        <v>45363.708622685182</v>
      </c>
      <c r="P8" s="311">
        <v>7</v>
      </c>
      <c r="Q8" s="747"/>
      <c r="R8" s="405"/>
      <c r="S8" s="655"/>
      <c r="T8" s="649"/>
      <c r="U8" s="280">
        <v>0</v>
      </c>
      <c r="V8" s="325"/>
      <c r="W8" s="671"/>
      <c r="X8" s="670"/>
      <c r="Y8" s="665">
        <f t="shared" si="14"/>
        <v>201</v>
      </c>
      <c r="Z8" s="659">
        <f>IFERROR($C8*(1-$V$1)/100*INT($Y8),"")</f>
        <v>103856.70000000001</v>
      </c>
      <c r="AA8" s="756">
        <f>IFERROR($Z8-$Z9,"")</f>
        <v>221.70000000001164</v>
      </c>
      <c r="AD8" s="315" t="s">
        <v>325</v>
      </c>
      <c r="AE8" s="322">
        <v>45370</v>
      </c>
      <c r="AF8" s="313">
        <v>23627288</v>
      </c>
      <c r="AG8" s="314">
        <v>0.7</v>
      </c>
      <c r="AH8" s="314">
        <v>0.73</v>
      </c>
      <c r="AI8" s="313">
        <v>193646998.16</v>
      </c>
      <c r="AJ8" s="318">
        <v>0.7</v>
      </c>
      <c r="AK8" s="313">
        <v>23851444930</v>
      </c>
    </row>
    <row r="9" spans="1:42" ht="12.75" hidden="1" customHeight="1">
      <c r="A9" s="718" t="s">
        <v>577</v>
      </c>
      <c r="B9" s="352">
        <f t="shared" si="0"/>
        <v>410</v>
      </c>
      <c r="C9" s="353">
        <f t="shared" si="1"/>
        <v>24215</v>
      </c>
      <c r="D9" s="354">
        <f t="shared" si="2"/>
        <v>24500</v>
      </c>
      <c r="E9" s="355">
        <f t="shared" si="3"/>
        <v>2612</v>
      </c>
      <c r="F9" s="356">
        <f t="shared" si="4"/>
        <v>24500</v>
      </c>
      <c r="G9" s="357">
        <f t="shared" si="5"/>
        <v>4.2500000000000003E-2</v>
      </c>
      <c r="H9" s="267">
        <f t="shared" si="6"/>
        <v>24500</v>
      </c>
      <c r="I9" s="268">
        <f t="shared" si="7"/>
        <v>24880</v>
      </c>
      <c r="J9" s="308">
        <f t="shared" si="8"/>
        <v>24000</v>
      </c>
      <c r="K9" s="269">
        <f t="shared" si="9"/>
        <v>23500</v>
      </c>
      <c r="L9" s="271">
        <f t="shared" si="10"/>
        <v>13409856</v>
      </c>
      <c r="M9" s="269">
        <f t="shared" si="11"/>
        <v>54859</v>
      </c>
      <c r="N9" s="271">
        <f t="shared" si="12"/>
        <v>101</v>
      </c>
      <c r="O9" s="358">
        <f t="shared" si="13"/>
        <v>45363.703020833331</v>
      </c>
      <c r="P9" s="742">
        <v>8</v>
      </c>
      <c r="Q9" s="746"/>
      <c r="R9" s="406"/>
      <c r="S9" s="654"/>
      <c r="T9" s="651"/>
      <c r="U9" s="413">
        <v>0</v>
      </c>
      <c r="V9" s="791"/>
      <c r="W9" s="625"/>
      <c r="X9" s="672"/>
      <c r="Y9" s="673">
        <f>IFERROR($Z8/($D9*(1+$V$1)/100),0)</f>
        <v>423.9048979591837</v>
      </c>
      <c r="Z9" s="661">
        <f>IFERROR($D9/100*INT($Y9),"")</f>
        <v>103635</v>
      </c>
      <c r="AA9" s="755"/>
      <c r="AD9" s="49"/>
      <c r="AE9" s="322"/>
      <c r="AF9" s="316"/>
      <c r="AG9" s="317"/>
      <c r="AH9" s="317"/>
      <c r="AI9" s="316"/>
      <c r="AJ9" s="320"/>
      <c r="AK9" s="316"/>
    </row>
    <row r="10" spans="1:42" ht="12.75" hidden="1" customHeight="1">
      <c r="A10" s="335" t="s">
        <v>581</v>
      </c>
      <c r="B10" s="344">
        <f t="shared" si="0"/>
        <v>2000</v>
      </c>
      <c r="C10" s="339">
        <f t="shared" si="1"/>
        <v>24.09</v>
      </c>
      <c r="D10" s="265">
        <f t="shared" si="2"/>
        <v>24.4</v>
      </c>
      <c r="E10" s="338">
        <f t="shared" si="3"/>
        <v>103</v>
      </c>
      <c r="F10" s="292">
        <f t="shared" si="4"/>
        <v>24.4</v>
      </c>
      <c r="G10" s="345">
        <f t="shared" si="5"/>
        <v>7.8000000000000005E-3</v>
      </c>
      <c r="H10" s="245">
        <f t="shared" si="6"/>
        <v>24.22</v>
      </c>
      <c r="I10" s="236">
        <f t="shared" si="7"/>
        <v>24.5</v>
      </c>
      <c r="J10" s="305">
        <f t="shared" si="8"/>
        <v>23.7</v>
      </c>
      <c r="K10" s="240">
        <f t="shared" si="9"/>
        <v>24.21</v>
      </c>
      <c r="L10" s="273">
        <f t="shared" si="10"/>
        <v>11887</v>
      </c>
      <c r="M10" s="240">
        <f t="shared" si="11"/>
        <v>49194</v>
      </c>
      <c r="N10" s="273">
        <f t="shared" si="12"/>
        <v>64</v>
      </c>
      <c r="O10" s="297">
        <f t="shared" si="13"/>
        <v>45363.700902777775</v>
      </c>
      <c r="P10" s="311">
        <v>9</v>
      </c>
      <c r="Q10" s="747"/>
      <c r="R10" s="405"/>
      <c r="S10" s="655"/>
      <c r="T10" s="649"/>
      <c r="U10" s="412">
        <v>0</v>
      </c>
      <c r="V10" s="325"/>
      <c r="W10" s="671"/>
      <c r="X10" s="670"/>
      <c r="Y10" s="630">
        <f>IFERROR(IF($Y$1&lt;&gt;"",INT($Y$1/(D13/100)),100),100)</f>
        <v>421</v>
      </c>
      <c r="Z10" s="660">
        <f>IFERROR($C10*(1-$V$1)/100*$Y10,"")</f>
        <v>101.41890000000001</v>
      </c>
      <c r="AA10" s="754">
        <f>IFERROR($Z10-$Z11,"")</f>
        <v>0.45650000000000546</v>
      </c>
      <c r="AB10" s="235"/>
      <c r="AF10" s="213"/>
      <c r="AH10" s="213"/>
      <c r="AJ10" s="47"/>
      <c r="AK10" s="47"/>
    </row>
    <row r="11" spans="1:42" ht="12.75" hidden="1" customHeight="1">
      <c r="A11" s="360" t="s">
        <v>573</v>
      </c>
      <c r="B11" s="340">
        <f t="shared" si="0"/>
        <v>1176</v>
      </c>
      <c r="C11" s="337">
        <f t="shared" si="1"/>
        <v>83.3</v>
      </c>
      <c r="D11" s="341">
        <f t="shared" si="2"/>
        <v>83.44</v>
      </c>
      <c r="E11" s="343">
        <f t="shared" si="3"/>
        <v>1643</v>
      </c>
      <c r="F11" s="250">
        <f t="shared" si="4"/>
        <v>83.44</v>
      </c>
      <c r="G11" s="346">
        <f t="shared" si="5"/>
        <v>2.5000000000000001E-3</v>
      </c>
      <c r="H11" s="246">
        <f t="shared" si="6"/>
        <v>83.84</v>
      </c>
      <c r="I11" s="237">
        <f t="shared" si="7"/>
        <v>83.85</v>
      </c>
      <c r="J11" s="304">
        <f t="shared" si="8"/>
        <v>82.51</v>
      </c>
      <c r="K11" s="241">
        <f t="shared" si="9"/>
        <v>83.23</v>
      </c>
      <c r="L11" s="244">
        <f t="shared" si="10"/>
        <v>290501</v>
      </c>
      <c r="M11" s="241">
        <f t="shared" si="11"/>
        <v>348612</v>
      </c>
      <c r="N11" s="244">
        <f t="shared" si="12"/>
        <v>497</v>
      </c>
      <c r="O11" s="296">
        <f t="shared" si="13"/>
        <v>45363.708506944444</v>
      </c>
      <c r="P11" s="310">
        <v>10</v>
      </c>
      <c r="Q11" s="744"/>
      <c r="R11" s="404"/>
      <c r="S11" s="622"/>
      <c r="T11" s="617"/>
      <c r="U11" s="281">
        <v>0</v>
      </c>
      <c r="V11" s="326"/>
      <c r="W11" s="625"/>
      <c r="X11" s="672"/>
      <c r="Y11" s="664">
        <f>IFERROR(INT($Z10/($D11*(1+$V$1)/100)),0)</f>
        <v>121</v>
      </c>
      <c r="Z11" s="661">
        <f>IFERROR($D11/100*INT($Y11),"")</f>
        <v>100.9624</v>
      </c>
      <c r="AA11" s="755"/>
    </row>
    <row r="12" spans="1:42" ht="12.75" hidden="1" customHeight="1">
      <c r="A12" s="359" t="s">
        <v>569</v>
      </c>
      <c r="B12" s="344">
        <f t="shared" si="0"/>
        <v>4095</v>
      </c>
      <c r="C12" s="339">
        <f t="shared" si="1"/>
        <v>86000</v>
      </c>
      <c r="D12" s="336">
        <f t="shared" si="2"/>
        <v>86450</v>
      </c>
      <c r="E12" s="342">
        <f t="shared" si="3"/>
        <v>2085</v>
      </c>
      <c r="F12" s="292">
        <f t="shared" si="4"/>
        <v>86000</v>
      </c>
      <c r="G12" s="345">
        <f t="shared" si="5"/>
        <v>5.62E-2</v>
      </c>
      <c r="H12" s="245">
        <f t="shared" si="6"/>
        <v>81540</v>
      </c>
      <c r="I12" s="236">
        <f t="shared" si="7"/>
        <v>88790</v>
      </c>
      <c r="J12" s="305">
        <f t="shared" si="8"/>
        <v>81540</v>
      </c>
      <c r="K12" s="240">
        <f t="shared" si="9"/>
        <v>81420</v>
      </c>
      <c r="L12" s="273">
        <f t="shared" si="10"/>
        <v>530872346</v>
      </c>
      <c r="M12" s="240">
        <f t="shared" si="11"/>
        <v>618286</v>
      </c>
      <c r="N12" s="273">
        <f t="shared" si="12"/>
        <v>1432</v>
      </c>
      <c r="O12" s="297">
        <f t="shared" si="13"/>
        <v>45363.708587962959</v>
      </c>
      <c r="P12" s="311">
        <v>11</v>
      </c>
      <c r="Q12" s="747"/>
      <c r="R12" s="405"/>
      <c r="S12" s="655"/>
      <c r="T12" s="649"/>
      <c r="U12" s="280">
        <v>0</v>
      </c>
      <c r="V12" s="325"/>
      <c r="W12" s="671"/>
      <c r="X12" s="670"/>
      <c r="Y12" s="665">
        <f t="shared" si="14"/>
        <v>121</v>
      </c>
      <c r="Z12" s="659">
        <f>IFERROR($C12*(1-$V$1)/100*INT($Y12),"")</f>
        <v>104060</v>
      </c>
      <c r="AA12" s="756">
        <f>IFERROR($Z12-$Z13,"")</f>
        <v>180</v>
      </c>
    </row>
    <row r="13" spans="1:42" ht="12.75" hidden="1" customHeight="1">
      <c r="A13" s="718" t="s">
        <v>577</v>
      </c>
      <c r="B13" s="352">
        <f t="shared" si="0"/>
        <v>410</v>
      </c>
      <c r="C13" s="353">
        <f t="shared" si="1"/>
        <v>24215</v>
      </c>
      <c r="D13" s="354">
        <f t="shared" si="2"/>
        <v>24500</v>
      </c>
      <c r="E13" s="355">
        <f t="shared" si="3"/>
        <v>2612</v>
      </c>
      <c r="F13" s="356">
        <f t="shared" si="4"/>
        <v>24500</v>
      </c>
      <c r="G13" s="357">
        <f t="shared" si="5"/>
        <v>4.2500000000000003E-2</v>
      </c>
      <c r="H13" s="267">
        <f t="shared" si="6"/>
        <v>24500</v>
      </c>
      <c r="I13" s="268">
        <f t="shared" si="7"/>
        <v>24880</v>
      </c>
      <c r="J13" s="308">
        <f t="shared" si="8"/>
        <v>24000</v>
      </c>
      <c r="K13" s="269">
        <f t="shared" si="9"/>
        <v>23500</v>
      </c>
      <c r="L13" s="271">
        <f t="shared" si="10"/>
        <v>13409856</v>
      </c>
      <c r="M13" s="269">
        <f t="shared" si="11"/>
        <v>54859</v>
      </c>
      <c r="N13" s="271">
        <f t="shared" si="12"/>
        <v>101</v>
      </c>
      <c r="O13" s="358">
        <f t="shared" si="13"/>
        <v>45363.703020833331</v>
      </c>
      <c r="P13" s="742">
        <v>12</v>
      </c>
      <c r="Q13" s="746"/>
      <c r="R13" s="406"/>
      <c r="S13" s="654"/>
      <c r="T13" s="651"/>
      <c r="U13" s="281">
        <v>0</v>
      </c>
      <c r="V13" s="326"/>
      <c r="W13" s="625"/>
      <c r="X13" s="672"/>
      <c r="Y13" s="673">
        <f>IFERROR($Z12/($D13*(1+$V$1)/100),0)</f>
        <v>424.73469387755102</v>
      </c>
      <c r="Z13" s="661">
        <f>IFERROR($D13/100*INT($Y13),"")</f>
        <v>103880</v>
      </c>
      <c r="AA13" s="755"/>
    </row>
    <row r="14" spans="1:42" ht="12.75" hidden="1" customHeight="1">
      <c r="A14" s="335" t="s">
        <v>3</v>
      </c>
      <c r="B14" s="344">
        <f t="shared" si="0"/>
        <v>100000</v>
      </c>
      <c r="C14" s="339">
        <f t="shared" si="1"/>
        <v>46</v>
      </c>
      <c r="D14" s="265">
        <f t="shared" si="2"/>
        <v>46.25</v>
      </c>
      <c r="E14" s="338">
        <f t="shared" si="3"/>
        <v>7831</v>
      </c>
      <c r="F14" s="292">
        <f t="shared" si="4"/>
        <v>46.1</v>
      </c>
      <c r="G14" s="345">
        <f t="shared" si="5"/>
        <v>2.6699999999999998E-2</v>
      </c>
      <c r="H14" s="247">
        <f t="shared" si="6"/>
        <v>45.5</v>
      </c>
      <c r="I14" s="239">
        <f t="shared" si="7"/>
        <v>46.25</v>
      </c>
      <c r="J14" s="306">
        <f t="shared" si="8"/>
        <v>44.85</v>
      </c>
      <c r="K14" s="243">
        <f t="shared" si="9"/>
        <v>44.9</v>
      </c>
      <c r="L14" s="266">
        <f t="shared" si="10"/>
        <v>2581550</v>
      </c>
      <c r="M14" s="243">
        <f t="shared" si="11"/>
        <v>5713068</v>
      </c>
      <c r="N14" s="266">
        <f t="shared" si="12"/>
        <v>861</v>
      </c>
      <c r="O14" s="298">
        <f t="shared" si="13"/>
        <v>45363.701192129629</v>
      </c>
      <c r="P14" s="311">
        <v>13</v>
      </c>
      <c r="Q14" s="745"/>
      <c r="R14" s="403"/>
      <c r="S14" s="621"/>
      <c r="T14" s="615"/>
      <c r="U14" s="280">
        <v>0</v>
      </c>
      <c r="V14" s="325"/>
      <c r="W14" s="671"/>
      <c r="X14" s="670"/>
      <c r="Y14" s="630">
        <v>100</v>
      </c>
      <c r="Z14" s="660">
        <f>IFERROR($C14*(1-$V$1)/100*$Y14,"")</f>
        <v>46</v>
      </c>
      <c r="AA14" s="754">
        <f>IFERROR($Z14-$Z15,"")</f>
        <v>0.41000000000000369</v>
      </c>
      <c r="AN14" s="47"/>
      <c r="AO14" s="47"/>
      <c r="AP14" s="47"/>
    </row>
    <row r="15" spans="1:42" ht="12.75" hidden="1" customHeight="1">
      <c r="A15" s="360" t="s">
        <v>6</v>
      </c>
      <c r="B15" s="340">
        <f t="shared" si="0"/>
        <v>183788</v>
      </c>
      <c r="C15" s="337">
        <f t="shared" si="1"/>
        <v>48</v>
      </c>
      <c r="D15" s="341">
        <f t="shared" si="2"/>
        <v>48.5</v>
      </c>
      <c r="E15" s="343">
        <f t="shared" si="3"/>
        <v>25000</v>
      </c>
      <c r="F15" s="250">
        <f t="shared" si="4"/>
        <v>48.1</v>
      </c>
      <c r="G15" s="346">
        <f t="shared" si="5"/>
        <v>1.7899999999999999E-2</v>
      </c>
      <c r="H15" s="254">
        <f t="shared" si="6"/>
        <v>47</v>
      </c>
      <c r="I15" s="255">
        <f t="shared" si="7"/>
        <v>48.1</v>
      </c>
      <c r="J15" s="307">
        <f t="shared" si="8"/>
        <v>46.597000000000001</v>
      </c>
      <c r="K15" s="256">
        <f t="shared" si="9"/>
        <v>47.25</v>
      </c>
      <c r="L15" s="276">
        <f t="shared" si="10"/>
        <v>644089</v>
      </c>
      <c r="M15" s="256">
        <f t="shared" si="11"/>
        <v>1362975</v>
      </c>
      <c r="N15" s="276">
        <f t="shared" si="12"/>
        <v>205</v>
      </c>
      <c r="O15" s="299">
        <f t="shared" si="13"/>
        <v>45363.697835648149</v>
      </c>
      <c r="P15" s="310">
        <v>14</v>
      </c>
      <c r="Q15" s="748"/>
      <c r="R15" s="407"/>
      <c r="S15" s="656"/>
      <c r="T15" s="650"/>
      <c r="U15" s="281">
        <v>0</v>
      </c>
      <c r="V15" s="326"/>
      <c r="W15" s="625"/>
      <c r="X15" s="672"/>
      <c r="Y15" s="664">
        <f>IFERROR(INT($Z14/($D15*(1+$V$1)/100)),0)</f>
        <v>94</v>
      </c>
      <c r="Z15" s="661">
        <f>IFERROR($D15/100*INT($Y15),"")</f>
        <v>45.589999999999996</v>
      </c>
      <c r="AA15" s="755"/>
    </row>
    <row r="16" spans="1:42" ht="12.75" hidden="1" customHeight="1">
      <c r="A16" s="359" t="s">
        <v>7</v>
      </c>
      <c r="B16" s="344">
        <f t="shared" si="0"/>
        <v>11576</v>
      </c>
      <c r="C16" s="339">
        <f t="shared" si="1"/>
        <v>50.2</v>
      </c>
      <c r="D16" s="336">
        <f t="shared" si="2"/>
        <v>50.23</v>
      </c>
      <c r="E16" s="342">
        <f t="shared" si="3"/>
        <v>999</v>
      </c>
      <c r="F16" s="292">
        <f t="shared" si="4"/>
        <v>50.23</v>
      </c>
      <c r="G16" s="345">
        <f t="shared" si="5"/>
        <v>2.5099999999999997E-2</v>
      </c>
      <c r="H16" s="245">
        <f t="shared" si="6"/>
        <v>48.6</v>
      </c>
      <c r="I16" s="236">
        <f t="shared" si="7"/>
        <v>50.23</v>
      </c>
      <c r="J16" s="236">
        <f t="shared" si="8"/>
        <v>48.55</v>
      </c>
      <c r="K16" s="240">
        <f t="shared" si="9"/>
        <v>49</v>
      </c>
      <c r="L16" s="273">
        <f t="shared" si="10"/>
        <v>1493246</v>
      </c>
      <c r="M16" s="240">
        <f t="shared" si="11"/>
        <v>3028936</v>
      </c>
      <c r="N16" s="273">
        <f t="shared" si="12"/>
        <v>1277</v>
      </c>
      <c r="O16" s="297">
        <f t="shared" si="13"/>
        <v>45363.708437499998</v>
      </c>
      <c r="P16" s="311">
        <v>15</v>
      </c>
      <c r="Q16" s="749"/>
      <c r="R16" s="405"/>
      <c r="S16" s="655"/>
      <c r="T16" s="649"/>
      <c r="U16" s="280">
        <v>0</v>
      </c>
      <c r="V16" s="325"/>
      <c r="W16" s="719"/>
      <c r="X16" s="720"/>
      <c r="Y16" s="665">
        <f t="shared" ref="Y16" si="15">Y15</f>
        <v>94</v>
      </c>
      <c r="Z16" s="659">
        <f>IFERROR($C16*(1-$V$1)/100*INT($Y16),"")</f>
        <v>47.188000000000002</v>
      </c>
      <c r="AA16" s="756">
        <f>IFERROR($Z16-$Z17,"")</f>
        <v>0.34400000000000119</v>
      </c>
    </row>
    <row r="17" spans="1:41" ht="12.75" hidden="1" customHeight="1">
      <c r="A17" s="718" t="s">
        <v>4</v>
      </c>
      <c r="B17" s="352">
        <f t="shared" si="0"/>
        <v>311700</v>
      </c>
      <c r="C17" s="353">
        <f t="shared" si="1"/>
        <v>47.65</v>
      </c>
      <c r="D17" s="354">
        <f t="shared" si="2"/>
        <v>47.8</v>
      </c>
      <c r="E17" s="355">
        <f t="shared" si="3"/>
        <v>1500</v>
      </c>
      <c r="F17" s="356">
        <f t="shared" si="4"/>
        <v>47.66</v>
      </c>
      <c r="G17" s="357">
        <f t="shared" si="5"/>
        <v>1.72E-2</v>
      </c>
      <c r="H17" s="267">
        <f t="shared" si="6"/>
        <v>46.75</v>
      </c>
      <c r="I17" s="268">
        <f t="shared" si="7"/>
        <v>47.901000000000003</v>
      </c>
      <c r="J17" s="308">
        <f t="shared" si="8"/>
        <v>46.5</v>
      </c>
      <c r="K17" s="269">
        <f t="shared" si="9"/>
        <v>46.850999999999999</v>
      </c>
      <c r="L17" s="271">
        <f t="shared" si="10"/>
        <v>16421068</v>
      </c>
      <c r="M17" s="269">
        <f t="shared" si="11"/>
        <v>34987829</v>
      </c>
      <c r="N17" s="271">
        <f t="shared" si="12"/>
        <v>18850</v>
      </c>
      <c r="O17" s="358">
        <f t="shared" si="13"/>
        <v>45363.708425925928</v>
      </c>
      <c r="P17" s="742">
        <v>16</v>
      </c>
      <c r="Q17" s="746"/>
      <c r="R17" s="406"/>
      <c r="S17" s="654"/>
      <c r="T17" s="651"/>
      <c r="U17" s="281">
        <v>0</v>
      </c>
      <c r="V17" s="326"/>
      <c r="W17" s="721"/>
      <c r="X17" s="722"/>
      <c r="Y17" s="723">
        <f>IFERROR($Z16/($D17*(1+$V$1)/100),0)</f>
        <v>98.719665271966534</v>
      </c>
      <c r="Z17" s="724">
        <f>IFERROR($D17/100*INT($Y17),"")</f>
        <v>46.844000000000001</v>
      </c>
      <c r="AA17" s="761"/>
      <c r="AO17" s="483"/>
    </row>
    <row r="18" spans="1:41" ht="12.75" hidden="1" customHeight="1">
      <c r="A18" s="335" t="s">
        <v>581</v>
      </c>
      <c r="B18" s="361">
        <f t="shared" ref="B18" si="16">IF(A18&lt;&gt;"",VLOOKUP($A18,$A$64:$N$175,2,0),"")</f>
        <v>2000</v>
      </c>
      <c r="C18" s="362">
        <f t="shared" ref="C18" si="17">IF(A18&lt;&gt;"",VLOOKUP($A18,$A$60:$N$175,3,0),"")</f>
        <v>24.09</v>
      </c>
      <c r="D18" s="363">
        <f t="shared" ref="D18" si="18">IF(A18&lt;&gt;"",VLOOKUP($A18,$A$60:$N$175,4,0),"")</f>
        <v>24.4</v>
      </c>
      <c r="E18" s="364">
        <f t="shared" ref="E18" si="19">IF(A18&lt;&gt;"",VLOOKUP($A18,$A$60:$N$175,5,0),"")</f>
        <v>103</v>
      </c>
      <c r="F18" s="365">
        <f t="shared" si="4"/>
        <v>24.4</v>
      </c>
      <c r="G18" s="366">
        <f t="shared" si="5"/>
        <v>7.8000000000000005E-3</v>
      </c>
      <c r="H18" s="367">
        <f t="shared" si="6"/>
        <v>24.22</v>
      </c>
      <c r="I18" s="368">
        <f t="shared" si="7"/>
        <v>24.5</v>
      </c>
      <c r="J18" s="369">
        <f t="shared" si="8"/>
        <v>23.7</v>
      </c>
      <c r="K18" s="370">
        <f t="shared" si="9"/>
        <v>24.21</v>
      </c>
      <c r="L18" s="371">
        <f t="shared" si="10"/>
        <v>11887</v>
      </c>
      <c r="M18" s="370">
        <f t="shared" si="11"/>
        <v>49194</v>
      </c>
      <c r="N18" s="266"/>
      <c r="O18" s="298"/>
      <c r="P18" s="311"/>
      <c r="Q18" s="745"/>
      <c r="R18" s="408"/>
      <c r="S18" s="621"/>
      <c r="T18" s="615"/>
      <c r="U18" s="412"/>
      <c r="V18" s="325"/>
      <c r="W18" s="671"/>
      <c r="X18" s="670"/>
      <c r="Y18" s="630">
        <v>101</v>
      </c>
      <c r="Z18" s="660">
        <f>IFERROR($C18*(1-$V$1)/100*$Y18,"")</f>
        <v>24.3309</v>
      </c>
      <c r="AA18" s="754">
        <f>IFERROR($Z18-$Z19,"")</f>
        <v>0.22050000000000125</v>
      </c>
    </row>
    <row r="19" spans="1:41" ht="12.75" hidden="1" customHeight="1">
      <c r="A19" s="360" t="s">
        <v>7</v>
      </c>
      <c r="B19" s="372">
        <f t="shared" si="0"/>
        <v>11576</v>
      </c>
      <c r="C19" s="373">
        <f t="shared" si="1"/>
        <v>50.2</v>
      </c>
      <c r="D19" s="374">
        <f t="shared" si="2"/>
        <v>50.23</v>
      </c>
      <c r="E19" s="375">
        <f t="shared" si="3"/>
        <v>999</v>
      </c>
      <c r="F19" s="376">
        <f t="shared" si="4"/>
        <v>50.23</v>
      </c>
      <c r="G19" s="377">
        <f t="shared" si="5"/>
        <v>2.5099999999999997E-2</v>
      </c>
      <c r="H19" s="378">
        <f t="shared" si="6"/>
        <v>48.6</v>
      </c>
      <c r="I19" s="379">
        <f t="shared" si="7"/>
        <v>50.23</v>
      </c>
      <c r="J19" s="380">
        <f t="shared" si="8"/>
        <v>48.55</v>
      </c>
      <c r="K19" s="381">
        <f t="shared" si="9"/>
        <v>49</v>
      </c>
      <c r="L19" s="382">
        <f t="shared" si="10"/>
        <v>1493246</v>
      </c>
      <c r="M19" s="381">
        <f t="shared" si="11"/>
        <v>3028936</v>
      </c>
      <c r="N19" s="276">
        <f t="shared" si="12"/>
        <v>1277</v>
      </c>
      <c r="O19" s="299">
        <f t="shared" si="13"/>
        <v>45363.708437499998</v>
      </c>
      <c r="P19" s="310">
        <v>18</v>
      </c>
      <c r="Q19" s="748"/>
      <c r="R19" s="407"/>
      <c r="S19" s="656"/>
      <c r="T19" s="650"/>
      <c r="U19" s="413">
        <v>0</v>
      </c>
      <c r="V19" s="326"/>
      <c r="W19" s="625"/>
      <c r="X19" s="672"/>
      <c r="Y19" s="664">
        <f>IFERROR(INT($Z18/($D19*(1+$V$1)/100)),0)</f>
        <v>48</v>
      </c>
      <c r="Z19" s="661">
        <f>IFERROR($D19/100*INT($Y19),"")</f>
        <v>24.110399999999998</v>
      </c>
      <c r="AA19" s="755"/>
    </row>
    <row r="20" spans="1:41" ht="12.75" hidden="1" customHeight="1">
      <c r="A20" s="359" t="s">
        <v>6</v>
      </c>
      <c r="B20" s="361">
        <f t="shared" si="0"/>
        <v>183788</v>
      </c>
      <c r="C20" s="362">
        <f t="shared" si="1"/>
        <v>48</v>
      </c>
      <c r="D20" s="383">
        <f t="shared" si="2"/>
        <v>48.5</v>
      </c>
      <c r="E20" s="384">
        <f t="shared" si="3"/>
        <v>25000</v>
      </c>
      <c r="F20" s="365">
        <f t="shared" si="4"/>
        <v>48.1</v>
      </c>
      <c r="G20" s="366">
        <f t="shared" si="5"/>
        <v>1.7899999999999999E-2</v>
      </c>
      <c r="H20" s="385">
        <f t="shared" si="6"/>
        <v>47</v>
      </c>
      <c r="I20" s="386">
        <f t="shared" si="7"/>
        <v>48.1</v>
      </c>
      <c r="J20" s="387">
        <f t="shared" si="8"/>
        <v>46.597000000000001</v>
      </c>
      <c r="K20" s="388">
        <f t="shared" si="9"/>
        <v>47.25</v>
      </c>
      <c r="L20" s="389">
        <f t="shared" si="10"/>
        <v>644089</v>
      </c>
      <c r="M20" s="388">
        <f t="shared" si="11"/>
        <v>1362975</v>
      </c>
      <c r="N20" s="273">
        <f t="shared" si="12"/>
        <v>205</v>
      </c>
      <c r="O20" s="297">
        <f t="shared" si="13"/>
        <v>45363.697835648149</v>
      </c>
      <c r="P20" s="311">
        <v>19</v>
      </c>
      <c r="Q20" s="749"/>
      <c r="R20" s="405"/>
      <c r="S20" s="655"/>
      <c r="T20" s="649"/>
      <c r="U20" s="412">
        <v>0</v>
      </c>
      <c r="V20" s="325"/>
      <c r="W20" s="719"/>
      <c r="X20" s="720"/>
      <c r="Y20" s="665">
        <f t="shared" ref="Y20" si="20">Y19</f>
        <v>48</v>
      </c>
      <c r="Z20" s="659">
        <f>IFERROR($C20*(1-$V$1)/100*INT($Y20),"")</f>
        <v>23.04</v>
      </c>
      <c r="AA20" s="756">
        <f>IFERROR($Z20-$Z21,"")</f>
        <v>23.04</v>
      </c>
    </row>
    <row r="21" spans="1:41" ht="12.75" hidden="1" customHeight="1">
      <c r="A21" s="725" t="s">
        <v>579</v>
      </c>
      <c r="B21" s="417">
        <f t="shared" si="0"/>
        <v>0</v>
      </c>
      <c r="C21" s="418">
        <f t="shared" si="1"/>
        <v>0</v>
      </c>
      <c r="D21" s="419">
        <f t="shared" si="2"/>
        <v>0</v>
      </c>
      <c r="E21" s="420">
        <f t="shared" si="3"/>
        <v>0</v>
      </c>
      <c r="F21" s="421">
        <f t="shared" si="4"/>
        <v>0</v>
      </c>
      <c r="G21" s="422">
        <f t="shared" si="5"/>
        <v>0</v>
      </c>
      <c r="H21" s="423">
        <f t="shared" si="6"/>
        <v>0</v>
      </c>
      <c r="I21" s="424">
        <f t="shared" si="7"/>
        <v>0</v>
      </c>
      <c r="J21" s="425">
        <f t="shared" si="8"/>
        <v>0</v>
      </c>
      <c r="K21" s="426">
        <f t="shared" si="9"/>
        <v>31</v>
      </c>
      <c r="L21" s="427">
        <f t="shared" si="10"/>
        <v>0</v>
      </c>
      <c r="M21" s="426">
        <f t="shared" si="11"/>
        <v>0</v>
      </c>
      <c r="N21" s="428">
        <f t="shared" si="12"/>
        <v>0</v>
      </c>
      <c r="O21" s="441">
        <f t="shared" si="13"/>
        <v>0</v>
      </c>
      <c r="P21" s="694">
        <v>20</v>
      </c>
      <c r="Q21" s="750"/>
      <c r="R21" s="442"/>
      <c r="S21" s="620"/>
      <c r="T21" s="616"/>
      <c r="U21" s="281">
        <v>0</v>
      </c>
      <c r="V21" s="326"/>
      <c r="W21" s="676"/>
      <c r="X21" s="677"/>
      <c r="Y21" s="695">
        <f>IFERROR($Z20/($D21*(1+$V$1)/100),0)</f>
        <v>0</v>
      </c>
      <c r="Z21" s="696">
        <f>IFERROR($D21/100*INT($Y21),"")</f>
        <v>0</v>
      </c>
      <c r="AA21" s="762"/>
    </row>
    <row r="22" spans="1:41" ht="12.75" customHeight="1">
      <c r="A22" s="737" t="s">
        <v>13</v>
      </c>
      <c r="B22" s="410">
        <f t="shared" si="0"/>
        <v>231</v>
      </c>
      <c r="C22" s="336">
        <f t="shared" si="1"/>
        <v>49325</v>
      </c>
      <c r="D22" s="270">
        <f t="shared" si="2"/>
        <v>49340</v>
      </c>
      <c r="E22" s="409">
        <f t="shared" si="3"/>
        <v>5384</v>
      </c>
      <c r="F22" s="365">
        <f t="shared" si="4"/>
        <v>49340</v>
      </c>
      <c r="G22" s="366">
        <f t="shared" si="5"/>
        <v>7.0499999999999993E-2</v>
      </c>
      <c r="H22" s="367">
        <f t="shared" si="6"/>
        <v>47000</v>
      </c>
      <c r="I22" s="368">
        <f t="shared" si="7"/>
        <v>49970</v>
      </c>
      <c r="J22" s="369">
        <f t="shared" si="8"/>
        <v>46530</v>
      </c>
      <c r="K22" s="370">
        <f t="shared" si="9"/>
        <v>46090</v>
      </c>
      <c r="L22" s="371">
        <f t="shared" si="10"/>
        <v>113890108888</v>
      </c>
      <c r="M22" s="733">
        <f t="shared" si="11"/>
        <v>235885177</v>
      </c>
      <c r="N22" s="266">
        <f t="shared" si="12"/>
        <v>87056</v>
      </c>
      <c r="O22" s="300">
        <f t="shared" si="13"/>
        <v>45363.685208333336</v>
      </c>
      <c r="P22" s="311">
        <v>21</v>
      </c>
      <c r="Q22" s="745"/>
      <c r="R22" s="403"/>
      <c r="S22" s="621"/>
      <c r="T22" s="615"/>
      <c r="U22" s="280"/>
      <c r="V22" s="325">
        <v>35</v>
      </c>
      <c r="W22" s="671"/>
      <c r="X22" s="670">
        <v>492.95</v>
      </c>
      <c r="Y22" s="630">
        <v>15</v>
      </c>
      <c r="Z22" s="662">
        <f>IF(F22="","",F22*Y22/100)</f>
        <v>7401</v>
      </c>
      <c r="AA22" s="635"/>
    </row>
    <row r="23" spans="1:41" ht="12.75" customHeight="1">
      <c r="A23" s="738" t="s">
        <v>16</v>
      </c>
      <c r="B23" s="323">
        <f t="shared" si="0"/>
        <v>2999</v>
      </c>
      <c r="C23" s="700">
        <f t="shared" si="1"/>
        <v>51300</v>
      </c>
      <c r="D23" s="726">
        <f t="shared" si="2"/>
        <v>51550</v>
      </c>
      <c r="E23" s="727">
        <f t="shared" si="3"/>
        <v>100</v>
      </c>
      <c r="F23" s="376">
        <f t="shared" si="4"/>
        <v>51450</v>
      </c>
      <c r="G23" s="377">
        <f t="shared" si="5"/>
        <v>7.1800000000000003E-2</v>
      </c>
      <c r="H23" s="390">
        <f t="shared" si="6"/>
        <v>48355</v>
      </c>
      <c r="I23" s="391">
        <f t="shared" si="7"/>
        <v>52150</v>
      </c>
      <c r="J23" s="392">
        <f t="shared" si="8"/>
        <v>48355</v>
      </c>
      <c r="K23" s="393">
        <f t="shared" si="9"/>
        <v>48000</v>
      </c>
      <c r="L23" s="394">
        <f t="shared" si="10"/>
        <v>7219780390</v>
      </c>
      <c r="M23" s="735">
        <f t="shared" si="11"/>
        <v>14265645</v>
      </c>
      <c r="N23" s="244">
        <f t="shared" si="12"/>
        <v>4658</v>
      </c>
      <c r="O23" s="301">
        <f t="shared" si="13"/>
        <v>45363.684999999998</v>
      </c>
      <c r="P23" s="310">
        <v>22</v>
      </c>
      <c r="Q23" s="744"/>
      <c r="R23" s="404"/>
      <c r="S23" s="622"/>
      <c r="T23" s="617"/>
      <c r="U23" s="281"/>
      <c r="V23" s="326">
        <v>150</v>
      </c>
      <c r="W23" s="625"/>
      <c r="X23" s="672">
        <v>513.4</v>
      </c>
      <c r="Y23" s="708">
        <v>50</v>
      </c>
      <c r="Z23" s="709">
        <f t="shared" ref="Z23:Z25" si="21">IF(F23="","",F23*Y23/100)</f>
        <v>25725</v>
      </c>
      <c r="AA23" s="675"/>
    </row>
    <row r="24" spans="1:41" ht="12.75" customHeight="1">
      <c r="A24" s="737"/>
      <c r="B24" s="410" t="str">
        <f t="shared" si="0"/>
        <v/>
      </c>
      <c r="C24" s="336" t="str">
        <f t="shared" si="1"/>
        <v/>
      </c>
      <c r="D24" s="270" t="str">
        <f t="shared" si="2"/>
        <v/>
      </c>
      <c r="E24" s="409" t="str">
        <f t="shared" si="3"/>
        <v/>
      </c>
      <c r="F24" s="365" t="str">
        <f t="shared" si="4"/>
        <v/>
      </c>
      <c r="G24" s="366" t="str">
        <f t="shared" si="5"/>
        <v/>
      </c>
      <c r="H24" s="367" t="str">
        <f t="shared" si="6"/>
        <v/>
      </c>
      <c r="I24" s="368" t="str">
        <f t="shared" si="7"/>
        <v/>
      </c>
      <c r="J24" s="369" t="str">
        <f t="shared" si="8"/>
        <v/>
      </c>
      <c r="K24" s="370" t="str">
        <f t="shared" si="9"/>
        <v/>
      </c>
      <c r="L24" s="371" t="str">
        <f t="shared" si="10"/>
        <v/>
      </c>
      <c r="M24" s="734" t="str">
        <f t="shared" si="11"/>
        <v/>
      </c>
      <c r="N24" s="266" t="str">
        <f t="shared" si="12"/>
        <v/>
      </c>
      <c r="O24" s="300" t="str">
        <f t="shared" si="13"/>
        <v/>
      </c>
      <c r="P24" s="311">
        <v>23</v>
      </c>
      <c r="Q24" s="745"/>
      <c r="R24" s="403"/>
      <c r="S24" s="621"/>
      <c r="T24" s="615"/>
      <c r="U24" s="280"/>
      <c r="V24" s="325"/>
      <c r="W24" s="671"/>
      <c r="X24" s="670"/>
      <c r="Y24" s="630"/>
      <c r="Z24" s="662" t="str">
        <f t="shared" si="21"/>
        <v/>
      </c>
      <c r="AA24" s="635"/>
    </row>
    <row r="25" spans="1:41" ht="12.75" customHeight="1">
      <c r="A25" s="739" t="s">
        <v>583</v>
      </c>
      <c r="B25" s="528">
        <f t="shared" si="0"/>
        <v>56657</v>
      </c>
      <c r="C25" s="732">
        <f t="shared" si="1"/>
        <v>176.5</v>
      </c>
      <c r="D25" s="728">
        <f t="shared" si="2"/>
        <v>177.7</v>
      </c>
      <c r="E25" s="433">
        <f t="shared" si="3"/>
        <v>179937886</v>
      </c>
      <c r="F25" s="421">
        <f t="shared" si="4"/>
        <v>177.7</v>
      </c>
      <c r="G25" s="422">
        <f t="shared" si="5"/>
        <v>5.0199999999999995E-2</v>
      </c>
      <c r="H25" s="423">
        <f t="shared" si="6"/>
        <v>170</v>
      </c>
      <c r="I25" s="424">
        <f t="shared" si="7"/>
        <v>179.9</v>
      </c>
      <c r="J25" s="425">
        <f t="shared" si="8"/>
        <v>170</v>
      </c>
      <c r="K25" s="426">
        <f t="shared" si="9"/>
        <v>169.2</v>
      </c>
      <c r="L25" s="427">
        <f t="shared" si="10"/>
        <v>6165909378</v>
      </c>
      <c r="M25" s="736">
        <f t="shared" si="11"/>
        <v>3494141904</v>
      </c>
      <c r="N25" s="428">
        <f t="shared" si="12"/>
        <v>1797</v>
      </c>
      <c r="O25" s="429">
        <f t="shared" si="13"/>
        <v>45363.708541666667</v>
      </c>
      <c r="P25" s="310">
        <v>24</v>
      </c>
      <c r="Q25" s="750"/>
      <c r="R25" s="431"/>
      <c r="S25" s="620"/>
      <c r="T25" s="652"/>
      <c r="U25" s="413">
        <v>0</v>
      </c>
      <c r="V25" s="791"/>
      <c r="W25" s="676"/>
      <c r="X25" s="677"/>
      <c r="Y25" s="678">
        <v>10000</v>
      </c>
      <c r="Z25" s="679">
        <f t="shared" si="21"/>
        <v>17770</v>
      </c>
      <c r="AA25" s="710"/>
    </row>
    <row r="26" spans="1:41" ht="12.75" customHeight="1">
      <c r="A26" s="729" t="s">
        <v>13</v>
      </c>
      <c r="B26" s="410">
        <f t="shared" si="0"/>
        <v>231</v>
      </c>
      <c r="C26" s="336">
        <f t="shared" si="1"/>
        <v>49325</v>
      </c>
      <c r="D26" s="270">
        <f t="shared" si="2"/>
        <v>49340</v>
      </c>
      <c r="E26" s="409">
        <f t="shared" si="3"/>
        <v>5384</v>
      </c>
      <c r="F26" s="292">
        <f t="shared" si="4"/>
        <v>49340</v>
      </c>
      <c r="G26" s="345">
        <f t="shared" si="5"/>
        <v>7.0499999999999993E-2</v>
      </c>
      <c r="H26" s="247">
        <f t="shared" si="6"/>
        <v>47000</v>
      </c>
      <c r="I26" s="239">
        <f t="shared" si="7"/>
        <v>49970</v>
      </c>
      <c r="J26" s="306">
        <f t="shared" si="8"/>
        <v>46530</v>
      </c>
      <c r="K26" s="243">
        <f t="shared" si="9"/>
        <v>46090</v>
      </c>
      <c r="L26" s="266">
        <f t="shared" si="10"/>
        <v>113890108888</v>
      </c>
      <c r="M26" s="733">
        <f t="shared" si="11"/>
        <v>235885177</v>
      </c>
      <c r="N26" s="266">
        <f t="shared" si="12"/>
        <v>87056</v>
      </c>
      <c r="O26" s="298">
        <f t="shared" si="13"/>
        <v>45363.685208333336</v>
      </c>
      <c r="P26" s="311">
        <v>25</v>
      </c>
      <c r="Q26" s="751"/>
      <c r="R26" s="403"/>
      <c r="S26" s="619"/>
      <c r="T26" s="615"/>
      <c r="U26" s="697"/>
      <c r="V26" s="325"/>
      <c r="W26" s="671"/>
      <c r="X26" s="670"/>
      <c r="Y26" s="630">
        <v>21</v>
      </c>
      <c r="Z26" s="662" t="str">
        <f>A27</f>
        <v>GD30 - spot</v>
      </c>
      <c r="AA26" s="635">
        <f t="shared" ref="AA22:AA29" si="22">IFERROR(INT(VLOOKUP($A26,$A$60:$N$175,6,0)*$Y26/100)/(VLOOKUP($Z26,$A$60:$N$175,6,0)/100),"")</f>
        <v>20.137998056365404</v>
      </c>
      <c r="AC26" s="235"/>
    </row>
    <row r="27" spans="1:41" ht="12.75" customHeight="1">
      <c r="A27" s="730" t="s">
        <v>16</v>
      </c>
      <c r="B27" s="323">
        <f t="shared" si="0"/>
        <v>2999</v>
      </c>
      <c r="C27" s="700">
        <f t="shared" si="1"/>
        <v>51300</v>
      </c>
      <c r="D27" s="726">
        <f t="shared" si="2"/>
        <v>51550</v>
      </c>
      <c r="E27" s="727">
        <f t="shared" si="3"/>
        <v>100</v>
      </c>
      <c r="F27" s="250">
        <f t="shared" si="4"/>
        <v>51450</v>
      </c>
      <c r="G27" s="346">
        <f t="shared" si="5"/>
        <v>7.1800000000000003E-2</v>
      </c>
      <c r="H27" s="701">
        <f t="shared" si="6"/>
        <v>48355</v>
      </c>
      <c r="I27" s="702">
        <f t="shared" si="7"/>
        <v>52150</v>
      </c>
      <c r="J27" s="703">
        <f t="shared" si="8"/>
        <v>48355</v>
      </c>
      <c r="K27" s="704">
        <f t="shared" si="9"/>
        <v>48000</v>
      </c>
      <c r="L27" s="705">
        <f t="shared" si="10"/>
        <v>7219780390</v>
      </c>
      <c r="M27" s="735">
        <f t="shared" si="11"/>
        <v>14265645</v>
      </c>
      <c r="N27" s="705">
        <f t="shared" si="12"/>
        <v>4658</v>
      </c>
      <c r="O27" s="706">
        <f t="shared" si="13"/>
        <v>45363.684999999998</v>
      </c>
      <c r="P27" s="310">
        <v>26</v>
      </c>
      <c r="Q27" s="752"/>
      <c r="R27" s="707"/>
      <c r="S27" s="622"/>
      <c r="T27" s="617"/>
      <c r="U27" s="698"/>
      <c r="V27" s="326"/>
      <c r="W27" s="625"/>
      <c r="X27" s="672"/>
      <c r="Y27" s="708">
        <v>20</v>
      </c>
      <c r="Z27" s="709" t="str">
        <f>A26</f>
        <v>AL30 - spot</v>
      </c>
      <c r="AA27" s="675">
        <f t="shared" si="22"/>
        <v>20.855289825699231</v>
      </c>
    </row>
    <row r="28" spans="1:41" ht="12.75" customHeight="1">
      <c r="A28" s="729" t="s">
        <v>2</v>
      </c>
      <c r="B28" s="410">
        <f t="shared" si="0"/>
        <v>21406</v>
      </c>
      <c r="C28" s="336">
        <f t="shared" si="1"/>
        <v>49385</v>
      </c>
      <c r="D28" s="270">
        <f t="shared" si="2"/>
        <v>49440</v>
      </c>
      <c r="E28" s="409">
        <f t="shared" si="3"/>
        <v>12099</v>
      </c>
      <c r="F28" s="292">
        <f t="shared" si="4"/>
        <v>49385</v>
      </c>
      <c r="G28" s="345">
        <f t="shared" si="5"/>
        <v>7.4499999999999997E-2</v>
      </c>
      <c r="H28" s="245">
        <f t="shared" si="6"/>
        <v>46700</v>
      </c>
      <c r="I28" s="236">
        <f t="shared" si="7"/>
        <v>50130</v>
      </c>
      <c r="J28" s="236">
        <f t="shared" si="8"/>
        <v>46700</v>
      </c>
      <c r="K28" s="240">
        <f t="shared" si="9"/>
        <v>45960</v>
      </c>
      <c r="L28" s="273">
        <f t="shared" si="10"/>
        <v>76615043344</v>
      </c>
      <c r="M28" s="734">
        <f t="shared" si="11"/>
        <v>157430611</v>
      </c>
      <c r="N28" s="273">
        <f t="shared" si="12"/>
        <v>35443</v>
      </c>
      <c r="O28" s="297">
        <f t="shared" si="13"/>
        <v>45363.708495370367</v>
      </c>
      <c r="P28" s="311">
        <v>27</v>
      </c>
      <c r="Q28" s="747"/>
      <c r="R28" s="405"/>
      <c r="S28" s="621"/>
      <c r="T28" s="615"/>
      <c r="U28" s="697"/>
      <c r="V28" s="612"/>
      <c r="W28" s="671"/>
      <c r="X28" s="670"/>
      <c r="Y28" s="630">
        <v>21</v>
      </c>
      <c r="Z28" s="662" t="str">
        <f>A29</f>
        <v>GD30 - 48hs</v>
      </c>
      <c r="AA28" s="635">
        <f t="shared" si="22"/>
        <v>20.061907525633586</v>
      </c>
    </row>
    <row r="29" spans="1:41" ht="12.75" customHeight="1">
      <c r="A29" s="731" t="s">
        <v>5</v>
      </c>
      <c r="B29" s="528">
        <f t="shared" si="0"/>
        <v>20000</v>
      </c>
      <c r="C29" s="732">
        <f t="shared" si="1"/>
        <v>51670</v>
      </c>
      <c r="D29" s="728">
        <f t="shared" si="2"/>
        <v>51690</v>
      </c>
      <c r="E29" s="433">
        <f t="shared" si="3"/>
        <v>75181</v>
      </c>
      <c r="F29" s="435">
        <f t="shared" si="4"/>
        <v>51690</v>
      </c>
      <c r="G29" s="436">
        <f t="shared" si="5"/>
        <v>7.9100000000000004E-2</v>
      </c>
      <c r="H29" s="437">
        <f t="shared" si="6"/>
        <v>48060</v>
      </c>
      <c r="I29" s="438">
        <f t="shared" si="7"/>
        <v>52320</v>
      </c>
      <c r="J29" s="439">
        <f t="shared" si="8"/>
        <v>48060</v>
      </c>
      <c r="K29" s="440">
        <f t="shared" si="9"/>
        <v>47900</v>
      </c>
      <c r="L29" s="428">
        <f t="shared" si="10"/>
        <v>22368252935</v>
      </c>
      <c r="M29" s="736">
        <f t="shared" si="11"/>
        <v>44101983</v>
      </c>
      <c r="N29" s="428">
        <f t="shared" si="12"/>
        <v>5208</v>
      </c>
      <c r="O29" s="441">
        <f t="shared" si="13"/>
        <v>45363.708622685182</v>
      </c>
      <c r="P29" s="310">
        <v>28</v>
      </c>
      <c r="Q29" s="750"/>
      <c r="R29" s="442"/>
      <c r="S29" s="620"/>
      <c r="T29" s="616"/>
      <c r="U29" s="698"/>
      <c r="V29" s="613"/>
      <c r="W29" s="676"/>
      <c r="X29" s="677"/>
      <c r="Y29" s="678">
        <v>20</v>
      </c>
      <c r="Z29" s="679" t="str">
        <f>A28</f>
        <v>AL30 - 48hs</v>
      </c>
      <c r="AA29" s="710">
        <f t="shared" si="22"/>
        <v>20.933481826465524</v>
      </c>
    </row>
    <row r="30" spans="1:41" ht="12.75" hidden="1" customHeight="1">
      <c r="A30" s="602" t="s">
        <v>602</v>
      </c>
      <c r="B30" s="261">
        <v>6</v>
      </c>
      <c r="C30" s="336">
        <v>301</v>
      </c>
      <c r="D30" s="270">
        <v>313</v>
      </c>
      <c r="E30" s="261">
        <v>107</v>
      </c>
      <c r="F30" s="292">
        <v>310</v>
      </c>
      <c r="G30" s="345">
        <v>0.72299999999999998</v>
      </c>
      <c r="H30" s="247">
        <v>200</v>
      </c>
      <c r="I30" s="239">
        <v>315</v>
      </c>
      <c r="J30" s="306">
        <v>200</v>
      </c>
      <c r="K30" s="243">
        <v>179.91300000000001</v>
      </c>
      <c r="L30" s="266">
        <v>79321113</v>
      </c>
      <c r="M30" s="740">
        <v>2974</v>
      </c>
      <c r="N30" s="686">
        <v>447</v>
      </c>
      <c r="O30" s="300">
        <v>45363.708287037036</v>
      </c>
      <c r="P30" s="644">
        <v>29</v>
      </c>
      <c r="Q30" s="641"/>
      <c r="R30" s="403"/>
      <c r="S30" s="621"/>
      <c r="T30" s="615"/>
      <c r="U30" s="699"/>
      <c r="V30" s="456"/>
      <c r="W30" s="671"/>
      <c r="X30" s="690"/>
      <c r="Y30" s="631"/>
      <c r="Z30" s="636"/>
      <c r="AA30" s="235"/>
    </row>
    <row r="31" spans="1:41" ht="12.75" hidden="1" customHeight="1">
      <c r="A31" s="603" t="s">
        <v>603</v>
      </c>
      <c r="B31" s="608">
        <v>2</v>
      </c>
      <c r="C31" s="248">
        <v>242.566</v>
      </c>
      <c r="D31" s="248">
        <v>249</v>
      </c>
      <c r="E31" s="608">
        <v>2</v>
      </c>
      <c r="F31" s="597">
        <v>248</v>
      </c>
      <c r="G31" s="347">
        <v>0.75480000000000003</v>
      </c>
      <c r="H31" s="246">
        <v>151</v>
      </c>
      <c r="I31" s="237">
        <v>251</v>
      </c>
      <c r="J31" s="304">
        <v>151</v>
      </c>
      <c r="K31" s="241">
        <v>141.321</v>
      </c>
      <c r="L31" s="244">
        <v>218476827</v>
      </c>
      <c r="M31" s="244">
        <v>9890</v>
      </c>
      <c r="N31" s="687">
        <v>1282</v>
      </c>
      <c r="O31" s="301">
        <v>45363.708310185182</v>
      </c>
      <c r="P31" s="645">
        <v>30</v>
      </c>
      <c r="Q31" s="642"/>
      <c r="R31" s="404"/>
      <c r="S31" s="622"/>
      <c r="T31" s="617"/>
      <c r="U31" s="698"/>
      <c r="V31" s="516"/>
      <c r="W31" s="625"/>
      <c r="X31" s="692"/>
      <c r="Y31" s="632"/>
      <c r="Z31" s="637"/>
      <c r="AA31" s="235"/>
    </row>
    <row r="32" spans="1:41" ht="12.75" hidden="1" customHeight="1">
      <c r="A32" s="602" t="s">
        <v>604</v>
      </c>
      <c r="B32" s="261">
        <v>2</v>
      </c>
      <c r="C32" s="336">
        <v>195.166</v>
      </c>
      <c r="D32" s="270">
        <v>198</v>
      </c>
      <c r="E32" s="261">
        <v>12</v>
      </c>
      <c r="F32" s="292">
        <v>195</v>
      </c>
      <c r="G32" s="345">
        <v>0.72160000000000002</v>
      </c>
      <c r="H32" s="251">
        <v>118</v>
      </c>
      <c r="I32" s="238">
        <v>197.75</v>
      </c>
      <c r="J32" s="309">
        <v>118</v>
      </c>
      <c r="K32" s="242">
        <v>113.26300000000001</v>
      </c>
      <c r="L32" s="260">
        <v>62306027</v>
      </c>
      <c r="M32" s="260">
        <v>3507</v>
      </c>
      <c r="N32" s="688">
        <v>608</v>
      </c>
      <c r="O32" s="302">
        <v>45363.707858796297</v>
      </c>
      <c r="P32" s="644">
        <v>31</v>
      </c>
      <c r="Q32" s="643"/>
      <c r="R32" s="614"/>
      <c r="S32" s="623"/>
      <c r="T32" s="618"/>
      <c r="U32" s="699"/>
      <c r="V32" s="456"/>
      <c r="W32" s="624"/>
      <c r="X32" s="690"/>
      <c r="Y32" s="633"/>
      <c r="Z32" s="638"/>
      <c r="AA32" s="235"/>
    </row>
    <row r="33" spans="1:27" ht="12.75" hidden="1" customHeight="1">
      <c r="A33" s="603" t="s">
        <v>590</v>
      </c>
      <c r="B33" s="608">
        <v>2</v>
      </c>
      <c r="C33" s="248">
        <v>152.833</v>
      </c>
      <c r="D33" s="248">
        <v>156.999</v>
      </c>
      <c r="E33" s="608">
        <v>1</v>
      </c>
      <c r="F33" s="597">
        <v>156.166</v>
      </c>
      <c r="G33" s="347">
        <v>0.86739999999999995</v>
      </c>
      <c r="H33" s="246">
        <v>90</v>
      </c>
      <c r="I33" s="237">
        <v>157</v>
      </c>
      <c r="J33" s="304">
        <v>90</v>
      </c>
      <c r="K33" s="241">
        <v>83.626999999999995</v>
      </c>
      <c r="L33" s="244">
        <v>53018459</v>
      </c>
      <c r="M33" s="244">
        <v>3937</v>
      </c>
      <c r="N33" s="687">
        <v>533</v>
      </c>
      <c r="O33" s="301">
        <v>45363.708275462966</v>
      </c>
      <c r="P33" s="645">
        <v>32</v>
      </c>
      <c r="Q33" s="642"/>
      <c r="R33" s="404"/>
      <c r="S33" s="622"/>
      <c r="T33" s="617"/>
      <c r="U33" s="698"/>
      <c r="V33" s="516"/>
      <c r="W33" s="625"/>
      <c r="X33" s="692"/>
      <c r="Y33" s="632"/>
      <c r="Z33" s="637"/>
      <c r="AA33" s="235"/>
    </row>
    <row r="34" spans="1:27" ht="12.75" hidden="1" customHeight="1">
      <c r="A34" s="602" t="s">
        <v>591</v>
      </c>
      <c r="B34" s="261">
        <v>3</v>
      </c>
      <c r="C34" s="336">
        <v>120.001</v>
      </c>
      <c r="D34" s="270">
        <v>122.9</v>
      </c>
      <c r="E34" s="261">
        <v>2</v>
      </c>
      <c r="F34" s="292">
        <v>122.27800000000001</v>
      </c>
      <c r="G34" s="345">
        <v>0.88099999999999989</v>
      </c>
      <c r="H34" s="251">
        <v>75.05</v>
      </c>
      <c r="I34" s="238">
        <v>122.27800000000001</v>
      </c>
      <c r="J34" s="309">
        <v>72</v>
      </c>
      <c r="K34" s="242">
        <v>65.006</v>
      </c>
      <c r="L34" s="260">
        <v>51391488</v>
      </c>
      <c r="M34" s="260">
        <v>5039</v>
      </c>
      <c r="N34" s="688">
        <v>723</v>
      </c>
      <c r="O34" s="302">
        <v>45363.708287037036</v>
      </c>
      <c r="P34" s="644">
        <v>33</v>
      </c>
      <c r="Q34" s="643"/>
      <c r="R34" s="614"/>
      <c r="S34" s="623"/>
      <c r="T34" s="618"/>
      <c r="U34" s="699"/>
      <c r="V34" s="456"/>
      <c r="W34" s="624"/>
      <c r="X34" s="690"/>
      <c r="Y34" s="633"/>
      <c r="Z34" s="638"/>
      <c r="AA34" s="235"/>
    </row>
    <row r="35" spans="1:27" ht="12.75" hidden="1" customHeight="1">
      <c r="A35" s="603" t="s">
        <v>592</v>
      </c>
      <c r="B35" s="608">
        <v>2</v>
      </c>
      <c r="C35" s="248">
        <v>92.034000000000006</v>
      </c>
      <c r="D35" s="248">
        <v>95</v>
      </c>
      <c r="E35" s="608">
        <v>5</v>
      </c>
      <c r="F35" s="597">
        <v>94.004000000000005</v>
      </c>
      <c r="G35" s="347">
        <v>0.83450000000000002</v>
      </c>
      <c r="H35" s="246">
        <v>58</v>
      </c>
      <c r="I35" s="237">
        <v>95</v>
      </c>
      <c r="J35" s="304">
        <v>57</v>
      </c>
      <c r="K35" s="241">
        <v>51.24</v>
      </c>
      <c r="L35" s="244">
        <v>46978502</v>
      </c>
      <c r="M35" s="244">
        <v>5918</v>
      </c>
      <c r="N35" s="687">
        <v>763</v>
      </c>
      <c r="O35" s="301">
        <v>45363.708067129628</v>
      </c>
      <c r="P35" s="645">
        <v>34</v>
      </c>
      <c r="Q35" s="642"/>
      <c r="R35" s="404"/>
      <c r="S35" s="622"/>
      <c r="T35" s="617"/>
      <c r="U35" s="698"/>
      <c r="V35" s="516"/>
      <c r="W35" s="625"/>
      <c r="X35" s="692"/>
      <c r="Y35" s="628"/>
      <c r="Z35" s="628"/>
      <c r="AA35" s="235"/>
    </row>
    <row r="36" spans="1:27" ht="12.75" hidden="1" customHeight="1">
      <c r="A36" s="602" t="s">
        <v>593</v>
      </c>
      <c r="B36" s="261">
        <v>2</v>
      </c>
      <c r="C36" s="336">
        <v>72</v>
      </c>
      <c r="D36" s="270">
        <v>72.400000000000006</v>
      </c>
      <c r="E36" s="261">
        <v>8</v>
      </c>
      <c r="F36" s="292">
        <v>72.400000000000006</v>
      </c>
      <c r="G36" s="345">
        <v>0.87019999999999997</v>
      </c>
      <c r="H36" s="251">
        <v>43.79</v>
      </c>
      <c r="I36" s="238">
        <v>74.5</v>
      </c>
      <c r="J36" s="309">
        <v>41</v>
      </c>
      <c r="K36" s="242">
        <v>38.710999999999999</v>
      </c>
      <c r="L36" s="260">
        <v>315360690</v>
      </c>
      <c r="M36" s="260">
        <v>52630</v>
      </c>
      <c r="N36" s="688">
        <v>3207</v>
      </c>
      <c r="O36" s="302">
        <v>45363.708321759259</v>
      </c>
      <c r="P36" s="644">
        <v>35</v>
      </c>
      <c r="Q36" s="643"/>
      <c r="R36" s="614"/>
      <c r="S36" s="623"/>
      <c r="T36" s="618"/>
      <c r="U36" s="699"/>
      <c r="V36" s="456"/>
      <c r="W36" s="624"/>
      <c r="X36" s="690"/>
      <c r="Y36" s="627"/>
      <c r="Z36" s="627"/>
      <c r="AA36" s="235"/>
    </row>
    <row r="37" spans="1:27" ht="12.75" hidden="1" customHeight="1">
      <c r="A37" s="603" t="s">
        <v>594</v>
      </c>
      <c r="B37" s="608">
        <v>1</v>
      </c>
      <c r="C37" s="248">
        <v>46</v>
      </c>
      <c r="D37" s="248">
        <v>48</v>
      </c>
      <c r="E37" s="608">
        <v>30</v>
      </c>
      <c r="F37" s="597">
        <v>45.9</v>
      </c>
      <c r="G37" s="347">
        <v>0.87159999999999993</v>
      </c>
      <c r="H37" s="246">
        <v>30</v>
      </c>
      <c r="I37" s="237">
        <v>45.9</v>
      </c>
      <c r="J37" s="304">
        <v>29</v>
      </c>
      <c r="K37" s="241">
        <v>24.524000000000001</v>
      </c>
      <c r="L37" s="244">
        <v>15623672</v>
      </c>
      <c r="M37" s="244">
        <v>4325</v>
      </c>
      <c r="N37" s="687">
        <v>562</v>
      </c>
      <c r="O37" s="301">
        <v>45363.707326388889</v>
      </c>
      <c r="P37" s="645">
        <v>36</v>
      </c>
      <c r="Q37" s="642"/>
      <c r="R37" s="404"/>
      <c r="S37" s="622"/>
      <c r="T37" s="617"/>
      <c r="U37" s="698"/>
      <c r="V37" s="516"/>
      <c r="W37" s="625"/>
      <c r="X37" s="692"/>
      <c r="Y37" s="632"/>
      <c r="Z37" s="637"/>
      <c r="AA37" s="235"/>
    </row>
    <row r="38" spans="1:27" ht="12.75" hidden="1" customHeight="1">
      <c r="A38" s="602" t="s">
        <v>595</v>
      </c>
      <c r="B38" s="261">
        <v>583</v>
      </c>
      <c r="C38" s="336">
        <v>30</v>
      </c>
      <c r="D38" s="270">
        <v>30.75</v>
      </c>
      <c r="E38" s="261">
        <v>24</v>
      </c>
      <c r="F38" s="292">
        <v>30.01</v>
      </c>
      <c r="G38" s="345">
        <v>0.93510000000000004</v>
      </c>
      <c r="H38" s="251">
        <v>20</v>
      </c>
      <c r="I38" s="238">
        <v>30.01</v>
      </c>
      <c r="J38" s="309">
        <v>18</v>
      </c>
      <c r="K38" s="242">
        <v>15.507999999999999</v>
      </c>
      <c r="L38" s="260">
        <v>19223239</v>
      </c>
      <c r="M38" s="260">
        <v>7838</v>
      </c>
      <c r="N38" s="688">
        <v>680</v>
      </c>
      <c r="O38" s="302">
        <v>45363.708287037036</v>
      </c>
      <c r="P38" s="644">
        <v>37</v>
      </c>
      <c r="Q38" s="643"/>
      <c r="R38" s="614"/>
      <c r="S38" s="623"/>
      <c r="T38" s="618"/>
      <c r="U38" s="699"/>
      <c r="V38" s="456"/>
      <c r="W38" s="624"/>
      <c r="X38" s="690"/>
      <c r="Y38" s="633"/>
      <c r="Z38" s="638"/>
      <c r="AA38" s="235"/>
    </row>
    <row r="39" spans="1:27" ht="12.75" hidden="1" customHeight="1">
      <c r="A39" s="603" t="s">
        <v>596</v>
      </c>
      <c r="B39" s="608">
        <v>2</v>
      </c>
      <c r="C39" s="248">
        <v>17.5</v>
      </c>
      <c r="D39" s="248">
        <v>19.95</v>
      </c>
      <c r="E39" s="608">
        <v>1</v>
      </c>
      <c r="F39" s="597">
        <v>19</v>
      </c>
      <c r="G39" s="347">
        <v>0.72270000000000001</v>
      </c>
      <c r="H39" s="246">
        <v>16</v>
      </c>
      <c r="I39" s="237">
        <v>19</v>
      </c>
      <c r="J39" s="304">
        <v>13.5</v>
      </c>
      <c r="K39" s="241">
        <v>11.029</v>
      </c>
      <c r="L39" s="244">
        <v>2843448</v>
      </c>
      <c r="M39" s="244">
        <v>1751</v>
      </c>
      <c r="N39" s="687">
        <v>211</v>
      </c>
      <c r="O39" s="301">
        <v>45363.706944444442</v>
      </c>
      <c r="P39" s="645">
        <v>38</v>
      </c>
      <c r="Q39" s="642"/>
      <c r="R39" s="404"/>
      <c r="S39" s="622"/>
      <c r="T39" s="617"/>
      <c r="U39" s="698"/>
      <c r="V39" s="516"/>
      <c r="W39" s="625"/>
      <c r="X39" s="692"/>
      <c r="Y39" s="632"/>
      <c r="Z39" s="637"/>
      <c r="AA39" s="235"/>
    </row>
    <row r="40" spans="1:27" ht="12.75" hidden="1" customHeight="1">
      <c r="A40" s="602" t="s">
        <v>597</v>
      </c>
      <c r="B40" s="261">
        <v>47</v>
      </c>
      <c r="C40" s="336">
        <v>12.75</v>
      </c>
      <c r="D40" s="270">
        <v>14.999000000000001</v>
      </c>
      <c r="E40" s="261">
        <v>6</v>
      </c>
      <c r="F40" s="292">
        <v>14.999000000000001</v>
      </c>
      <c r="G40" s="345">
        <v>0.69209999999999994</v>
      </c>
      <c r="H40" s="251">
        <v>9.25</v>
      </c>
      <c r="I40" s="238">
        <v>15</v>
      </c>
      <c r="J40" s="309">
        <v>8.5</v>
      </c>
      <c r="K40" s="242">
        <v>8.8640000000000008</v>
      </c>
      <c r="L40" s="260">
        <v>4751609</v>
      </c>
      <c r="M40" s="260">
        <v>3878</v>
      </c>
      <c r="N40" s="688">
        <v>323</v>
      </c>
      <c r="O40" s="302">
        <v>45363.707951388889</v>
      </c>
      <c r="P40" s="644">
        <v>39</v>
      </c>
      <c r="Q40" s="643"/>
      <c r="R40" s="614"/>
      <c r="S40" s="623"/>
      <c r="T40" s="618"/>
      <c r="U40" s="699"/>
      <c r="V40" s="456"/>
      <c r="W40" s="624"/>
      <c r="X40" s="690"/>
      <c r="Y40" s="633"/>
      <c r="Z40" s="638"/>
      <c r="AA40" s="235"/>
    </row>
    <row r="41" spans="1:27" ht="12.75" hidden="1" customHeight="1">
      <c r="A41" s="603" t="s">
        <v>598</v>
      </c>
      <c r="B41" s="608">
        <v>3</v>
      </c>
      <c r="C41" s="248">
        <v>10.5</v>
      </c>
      <c r="D41" s="248">
        <v>11.9</v>
      </c>
      <c r="E41" s="608">
        <v>10</v>
      </c>
      <c r="F41" s="597">
        <v>10.5</v>
      </c>
      <c r="G41" s="347">
        <v>0.47970000000000002</v>
      </c>
      <c r="H41" s="246">
        <v>8.99</v>
      </c>
      <c r="I41" s="237">
        <v>10.5</v>
      </c>
      <c r="J41" s="304">
        <v>8.5</v>
      </c>
      <c r="K41" s="241">
        <v>7.0960000000000001</v>
      </c>
      <c r="L41" s="244">
        <v>2082993</v>
      </c>
      <c r="M41" s="244">
        <v>2114</v>
      </c>
      <c r="N41" s="687">
        <v>221</v>
      </c>
      <c r="O41" s="301">
        <v>45363.707766203705</v>
      </c>
      <c r="P41" s="645">
        <v>40</v>
      </c>
      <c r="Q41" s="642"/>
      <c r="R41" s="404"/>
      <c r="S41" s="622"/>
      <c r="T41" s="617"/>
      <c r="U41" s="698"/>
      <c r="V41" s="516"/>
      <c r="W41" s="625"/>
      <c r="X41" s="692"/>
      <c r="Y41" s="634"/>
      <c r="Z41" s="639"/>
      <c r="AA41" s="235"/>
    </row>
    <row r="42" spans="1:27" ht="12.75" hidden="1" customHeight="1">
      <c r="A42" s="604" t="s">
        <v>599</v>
      </c>
      <c r="B42" s="261">
        <v>5</v>
      </c>
      <c r="C42" s="536">
        <v>6.9249999999999998</v>
      </c>
      <c r="D42" s="536">
        <v>7.5</v>
      </c>
      <c r="E42" s="261">
        <v>1</v>
      </c>
      <c r="F42" s="598">
        <v>7.5</v>
      </c>
      <c r="G42" s="348">
        <v>0.42849999999999999</v>
      </c>
      <c r="H42" s="251">
        <v>6.5</v>
      </c>
      <c r="I42" s="238">
        <v>7.8</v>
      </c>
      <c r="J42" s="309">
        <v>4.0199999999999996</v>
      </c>
      <c r="K42" s="242">
        <v>5.25</v>
      </c>
      <c r="L42" s="260">
        <v>1410349</v>
      </c>
      <c r="M42" s="260">
        <v>1955</v>
      </c>
      <c r="N42" s="688">
        <v>375</v>
      </c>
      <c r="O42" s="302">
        <v>45363.702187499999</v>
      </c>
      <c r="P42" s="644">
        <v>41</v>
      </c>
      <c r="Q42" s="643"/>
      <c r="R42" s="614"/>
      <c r="S42" s="623"/>
      <c r="T42" s="618"/>
      <c r="U42" s="699"/>
      <c r="V42" s="516"/>
      <c r="W42" s="624"/>
      <c r="X42" s="690"/>
      <c r="Y42" s="627"/>
      <c r="Z42" s="627"/>
      <c r="AA42" s="235"/>
    </row>
    <row r="43" spans="1:27" ht="12.75" hidden="1" customHeight="1">
      <c r="A43" s="605" t="s">
        <v>600</v>
      </c>
      <c r="B43" s="608">
        <v>5</v>
      </c>
      <c r="C43" s="248">
        <v>5.7119999999999997</v>
      </c>
      <c r="D43" s="480">
        <v>6.45</v>
      </c>
      <c r="E43" s="608">
        <v>1</v>
      </c>
      <c r="F43" s="597">
        <v>6.28</v>
      </c>
      <c r="G43" s="347">
        <v>0.45909999999999995</v>
      </c>
      <c r="H43" s="246">
        <v>4.5</v>
      </c>
      <c r="I43" s="237">
        <v>6.59</v>
      </c>
      <c r="J43" s="304">
        <v>4.5</v>
      </c>
      <c r="K43" s="241">
        <v>4.3040000000000003</v>
      </c>
      <c r="L43" s="244">
        <v>347695</v>
      </c>
      <c r="M43" s="244">
        <v>574</v>
      </c>
      <c r="N43" s="687">
        <v>131</v>
      </c>
      <c r="O43" s="301">
        <v>45363.695543981485</v>
      </c>
      <c r="P43" s="645">
        <v>42</v>
      </c>
      <c r="Q43" s="642"/>
      <c r="R43" s="404"/>
      <c r="S43" s="622"/>
      <c r="T43" s="617"/>
      <c r="U43" s="698"/>
      <c r="V43" s="456"/>
      <c r="W43" s="625"/>
      <c r="X43" s="672"/>
      <c r="Y43" s="628"/>
      <c r="Z43" s="628"/>
      <c r="AA43" s="235"/>
    </row>
    <row r="44" spans="1:27" ht="12.75" hidden="1" customHeight="1">
      <c r="A44" s="606" t="s">
        <v>601</v>
      </c>
      <c r="B44" s="609">
        <v>100</v>
      </c>
      <c r="C44" s="434">
        <v>4.5549999999999997</v>
      </c>
      <c r="D44" s="434">
        <v>4.8</v>
      </c>
      <c r="E44" s="609">
        <v>28</v>
      </c>
      <c r="F44" s="599">
        <v>4.8</v>
      </c>
      <c r="G44" s="451">
        <v>0.26079999999999998</v>
      </c>
      <c r="H44" s="437">
        <v>4.25</v>
      </c>
      <c r="I44" s="438">
        <v>5.3</v>
      </c>
      <c r="J44" s="439">
        <v>4</v>
      </c>
      <c r="K44" s="440">
        <v>3.8069999999999999</v>
      </c>
      <c r="L44" s="428">
        <v>1725113</v>
      </c>
      <c r="M44" s="428">
        <v>3587</v>
      </c>
      <c r="N44" s="689">
        <v>619</v>
      </c>
      <c r="O44" s="429">
        <v>45363.708287037036</v>
      </c>
      <c r="P44" s="685">
        <v>43</v>
      </c>
      <c r="Q44" s="640"/>
      <c r="R44" s="442"/>
      <c r="S44" s="620"/>
      <c r="T44" s="616"/>
      <c r="U44" s="699"/>
      <c r="V44" s="516">
        <v>5</v>
      </c>
      <c r="W44" s="626">
        <v>2451</v>
      </c>
      <c r="X44" s="711">
        <v>490.2</v>
      </c>
      <c r="Y44" s="629"/>
      <c r="Z44" s="629"/>
      <c r="AA44" s="235"/>
    </row>
    <row r="45" spans="1:27" ht="12.75" hidden="1" customHeight="1">
      <c r="A45" s="605" t="s">
        <v>605</v>
      </c>
      <c r="B45" s="249">
        <v>200</v>
      </c>
      <c r="C45" s="248">
        <v>0.35</v>
      </c>
      <c r="D45" s="480">
        <v>0.55000000000000004</v>
      </c>
      <c r="E45" s="249">
        <v>35</v>
      </c>
      <c r="F45" s="597">
        <v>0.32</v>
      </c>
      <c r="G45" s="347">
        <v>0.10339999999999999</v>
      </c>
      <c r="H45" s="246">
        <v>0.32</v>
      </c>
      <c r="I45" s="237">
        <v>0.32</v>
      </c>
      <c r="J45" s="304">
        <v>0.32</v>
      </c>
      <c r="K45" s="241">
        <v>0.28999999999999998</v>
      </c>
      <c r="L45" s="244">
        <v>192</v>
      </c>
      <c r="M45" s="244">
        <v>6</v>
      </c>
      <c r="N45" s="244">
        <v>1</v>
      </c>
      <c r="O45" s="301">
        <v>45363.520532407405</v>
      </c>
      <c r="P45" s="645">
        <v>44</v>
      </c>
      <c r="Q45" s="680"/>
      <c r="R45" s="404"/>
      <c r="S45" s="681"/>
      <c r="T45" s="617"/>
      <c r="U45" s="698"/>
      <c r="V45" s="456"/>
      <c r="W45" s="671"/>
      <c r="X45" s="690"/>
      <c r="Y45" s="667"/>
      <c r="Z45" s="519"/>
      <c r="AA45" s="264"/>
    </row>
    <row r="46" spans="1:27" ht="12.75" hidden="1" customHeight="1">
      <c r="A46" s="604" t="s">
        <v>606</v>
      </c>
      <c r="B46" s="682">
        <v>200</v>
      </c>
      <c r="C46" s="536">
        <v>0.52</v>
      </c>
      <c r="D46" s="536">
        <v>0.7</v>
      </c>
      <c r="E46" s="682">
        <v>10</v>
      </c>
      <c r="F46" s="598">
        <v>0.7</v>
      </c>
      <c r="G46" s="348">
        <v>0.24989999999999998</v>
      </c>
      <c r="H46" s="251">
        <v>0.38100000000000001</v>
      </c>
      <c r="I46" s="238">
        <v>0.76</v>
      </c>
      <c r="J46" s="309">
        <v>0.38100000000000001</v>
      </c>
      <c r="K46" s="242">
        <v>0.56000000000000005</v>
      </c>
      <c r="L46" s="260">
        <v>11507</v>
      </c>
      <c r="M46" s="260">
        <v>169</v>
      </c>
      <c r="N46" s="260">
        <v>33</v>
      </c>
      <c r="O46" s="302">
        <v>45363.705752314818</v>
      </c>
      <c r="P46" s="683">
        <v>45</v>
      </c>
      <c r="Q46" s="666"/>
      <c r="R46" s="614"/>
      <c r="S46" s="623"/>
      <c r="T46" s="618"/>
      <c r="U46" s="699"/>
      <c r="V46" s="516"/>
      <c r="W46" s="625"/>
      <c r="X46" s="692"/>
      <c r="Y46" s="632"/>
      <c r="Z46" s="520"/>
      <c r="AA46" s="264"/>
    </row>
    <row r="47" spans="1:27" ht="12.75" hidden="1" customHeight="1">
      <c r="A47" s="605" t="s">
        <v>607</v>
      </c>
      <c r="B47" s="249">
        <v>6</v>
      </c>
      <c r="C47" s="248">
        <v>1.31</v>
      </c>
      <c r="D47" s="480">
        <v>1.55</v>
      </c>
      <c r="E47" s="249">
        <v>6</v>
      </c>
      <c r="F47" s="597">
        <v>1.579</v>
      </c>
      <c r="G47" s="347">
        <v>-0.1295</v>
      </c>
      <c r="H47" s="246">
        <v>1.1000000000000001</v>
      </c>
      <c r="I47" s="237">
        <v>2.0019999999999998</v>
      </c>
      <c r="J47" s="304">
        <v>0.75</v>
      </c>
      <c r="K47" s="241">
        <v>1.8140000000000001</v>
      </c>
      <c r="L47" s="244">
        <v>96088</v>
      </c>
      <c r="M47" s="244">
        <v>691</v>
      </c>
      <c r="N47" s="244">
        <v>271</v>
      </c>
      <c r="O47" s="301">
        <v>45363.706261574072</v>
      </c>
      <c r="P47" s="645">
        <v>46</v>
      </c>
      <c r="Q47" s="646"/>
      <c r="R47" s="404"/>
      <c r="S47" s="622"/>
      <c r="T47" s="617"/>
      <c r="U47" s="698"/>
      <c r="V47" s="456"/>
      <c r="W47" s="624"/>
      <c r="X47" s="690"/>
      <c r="Y47" s="633"/>
      <c r="Z47" s="521"/>
      <c r="AA47" s="264"/>
    </row>
    <row r="48" spans="1:27" ht="12.75" hidden="1" customHeight="1">
      <c r="A48" s="604" t="s">
        <v>608</v>
      </c>
      <c r="B48" s="682">
        <v>8</v>
      </c>
      <c r="C48" s="536">
        <v>1.74</v>
      </c>
      <c r="D48" s="536">
        <v>1.915</v>
      </c>
      <c r="E48" s="682">
        <v>4</v>
      </c>
      <c r="F48" s="598">
        <v>1.7310000000000001</v>
      </c>
      <c r="G48" s="348">
        <v>-0.38369999999999999</v>
      </c>
      <c r="H48" s="251">
        <v>2.9</v>
      </c>
      <c r="I48" s="238">
        <v>2.9</v>
      </c>
      <c r="J48" s="309">
        <v>1.45</v>
      </c>
      <c r="K48" s="242">
        <v>2.8090000000000002</v>
      </c>
      <c r="L48" s="260">
        <v>408280</v>
      </c>
      <c r="M48" s="260">
        <v>2271</v>
      </c>
      <c r="N48" s="260">
        <v>499</v>
      </c>
      <c r="O48" s="302">
        <v>45363.707719907405</v>
      </c>
      <c r="P48" s="683">
        <v>47</v>
      </c>
      <c r="Q48" s="666"/>
      <c r="R48" s="614"/>
      <c r="S48" s="623"/>
      <c r="T48" s="618"/>
      <c r="U48" s="699"/>
      <c r="V48" s="516"/>
      <c r="W48" s="625"/>
      <c r="X48" s="692"/>
      <c r="Y48" s="632"/>
      <c r="Z48" s="520"/>
      <c r="AA48" s="264"/>
    </row>
    <row r="49" spans="1:40" ht="12.75" hidden="1" customHeight="1">
      <c r="A49" s="605" t="s">
        <v>609</v>
      </c>
      <c r="B49" s="249">
        <v>10</v>
      </c>
      <c r="C49" s="248">
        <v>3.4</v>
      </c>
      <c r="D49" s="480">
        <v>3.9</v>
      </c>
      <c r="E49" s="249">
        <v>3</v>
      </c>
      <c r="F49" s="597">
        <v>3.8</v>
      </c>
      <c r="G49" s="347">
        <v>-0.32819999999999999</v>
      </c>
      <c r="H49" s="246">
        <v>4.0010000000000003</v>
      </c>
      <c r="I49" s="237">
        <v>4.99</v>
      </c>
      <c r="J49" s="304">
        <v>3</v>
      </c>
      <c r="K49" s="241">
        <v>5.657</v>
      </c>
      <c r="L49" s="244">
        <v>807662</v>
      </c>
      <c r="M49" s="244">
        <v>2148</v>
      </c>
      <c r="N49" s="244">
        <v>524</v>
      </c>
      <c r="O49" s="301">
        <v>45363.707696759258</v>
      </c>
      <c r="P49" s="645">
        <v>48</v>
      </c>
      <c r="Q49" s="646"/>
      <c r="R49" s="404"/>
      <c r="S49" s="622"/>
      <c r="T49" s="617"/>
      <c r="U49" s="698"/>
      <c r="V49" s="456"/>
      <c r="W49" s="624"/>
      <c r="X49" s="690"/>
      <c r="Y49" s="633"/>
      <c r="Z49" s="521"/>
      <c r="AA49" s="264"/>
    </row>
    <row r="50" spans="1:40" ht="12.75" hidden="1" customHeight="1">
      <c r="A50" s="604" t="s">
        <v>610</v>
      </c>
      <c r="B50" s="682">
        <v>50</v>
      </c>
      <c r="C50" s="536">
        <v>9.15</v>
      </c>
      <c r="D50" s="536">
        <v>11</v>
      </c>
      <c r="E50" s="682">
        <v>6</v>
      </c>
      <c r="F50" s="598">
        <v>10.5</v>
      </c>
      <c r="G50" s="348">
        <v>-0.48100000000000004</v>
      </c>
      <c r="H50" s="251">
        <v>15</v>
      </c>
      <c r="I50" s="238">
        <v>18.86</v>
      </c>
      <c r="J50" s="309">
        <v>8.51</v>
      </c>
      <c r="K50" s="242">
        <v>20.234000000000002</v>
      </c>
      <c r="L50" s="260">
        <v>3666707</v>
      </c>
      <c r="M50" s="260">
        <v>3167</v>
      </c>
      <c r="N50" s="260">
        <v>439</v>
      </c>
      <c r="O50" s="302">
        <v>45363.707604166666</v>
      </c>
      <c r="P50" s="683">
        <v>49</v>
      </c>
      <c r="Q50" s="666"/>
      <c r="R50" s="614"/>
      <c r="S50" s="623"/>
      <c r="T50" s="618"/>
      <c r="U50" s="699"/>
      <c r="V50" s="516"/>
      <c r="W50" s="625"/>
      <c r="X50" s="692"/>
      <c r="Y50" s="632"/>
      <c r="Z50" s="520"/>
      <c r="AA50" s="264"/>
    </row>
    <row r="51" spans="1:40" ht="12.75" hidden="1" customHeight="1">
      <c r="A51" s="605" t="s">
        <v>611</v>
      </c>
      <c r="B51" s="249">
        <v>4</v>
      </c>
      <c r="C51" s="248">
        <v>18.27</v>
      </c>
      <c r="D51" s="480">
        <v>18.28</v>
      </c>
      <c r="E51" s="249">
        <v>1</v>
      </c>
      <c r="F51" s="597">
        <v>18.28</v>
      </c>
      <c r="G51" s="347">
        <v>-0.54390000000000005</v>
      </c>
      <c r="H51" s="246">
        <v>41.51</v>
      </c>
      <c r="I51" s="237">
        <v>41.51</v>
      </c>
      <c r="J51" s="304">
        <v>15.9</v>
      </c>
      <c r="K51" s="241">
        <v>40.082999999999998</v>
      </c>
      <c r="L51" s="244">
        <v>13450525</v>
      </c>
      <c r="M51" s="244">
        <v>6559</v>
      </c>
      <c r="N51" s="244">
        <v>824</v>
      </c>
      <c r="O51" s="301">
        <v>45363.707696759258</v>
      </c>
      <c r="P51" s="645">
        <v>50</v>
      </c>
      <c r="Q51" s="646"/>
      <c r="R51" s="404"/>
      <c r="S51" s="622"/>
      <c r="T51" s="617"/>
      <c r="U51" s="698"/>
      <c r="V51" s="456"/>
      <c r="W51" s="624"/>
      <c r="X51" s="690"/>
      <c r="Y51" s="633"/>
      <c r="Z51" s="521"/>
      <c r="AA51" s="264"/>
    </row>
    <row r="52" spans="1:40" ht="12.75" hidden="1" customHeight="1">
      <c r="A52" s="604" t="s">
        <v>612</v>
      </c>
      <c r="B52" s="682">
        <v>2</v>
      </c>
      <c r="C52" s="536">
        <v>34.51</v>
      </c>
      <c r="D52" s="536">
        <v>34.950000000000003</v>
      </c>
      <c r="E52" s="682">
        <v>6</v>
      </c>
      <c r="F52" s="598">
        <v>34.1</v>
      </c>
      <c r="G52" s="348">
        <v>-0.55659999999999998</v>
      </c>
      <c r="H52" s="251">
        <v>55</v>
      </c>
      <c r="I52" s="238">
        <v>74</v>
      </c>
      <c r="J52" s="309">
        <v>32</v>
      </c>
      <c r="K52" s="242">
        <v>76.92</v>
      </c>
      <c r="L52" s="260">
        <v>40589935</v>
      </c>
      <c r="M52" s="260">
        <v>10321</v>
      </c>
      <c r="N52" s="260">
        <v>1111</v>
      </c>
      <c r="O52" s="302">
        <v>45363.70821759259</v>
      </c>
      <c r="P52" s="683">
        <v>51</v>
      </c>
      <c r="Q52" s="666"/>
      <c r="R52" s="614"/>
      <c r="S52" s="623"/>
      <c r="T52" s="618"/>
      <c r="U52" s="699"/>
      <c r="V52" s="516"/>
      <c r="W52" s="625"/>
      <c r="X52" s="692"/>
      <c r="Y52" s="628"/>
      <c r="Z52" s="540"/>
      <c r="AA52" s="264"/>
    </row>
    <row r="53" spans="1:40" ht="12.75" hidden="1" customHeight="1">
      <c r="A53" s="605" t="s">
        <v>613</v>
      </c>
      <c r="B53" s="249">
        <v>3</v>
      </c>
      <c r="C53" s="248">
        <v>55.005000000000003</v>
      </c>
      <c r="D53" s="480">
        <v>57.5</v>
      </c>
      <c r="E53" s="249">
        <v>35</v>
      </c>
      <c r="F53" s="597">
        <v>56</v>
      </c>
      <c r="G53" s="347">
        <v>-0.54210000000000003</v>
      </c>
      <c r="H53" s="246">
        <v>100.5</v>
      </c>
      <c r="I53" s="237">
        <v>110</v>
      </c>
      <c r="J53" s="304">
        <v>53</v>
      </c>
      <c r="K53" s="241">
        <v>122.30500000000001</v>
      </c>
      <c r="L53" s="244">
        <v>30170194</v>
      </c>
      <c r="M53" s="244">
        <v>4949</v>
      </c>
      <c r="N53" s="244">
        <v>763</v>
      </c>
      <c r="O53" s="301">
        <v>45363.707708333335</v>
      </c>
      <c r="P53" s="645">
        <v>52</v>
      </c>
      <c r="Q53" s="646"/>
      <c r="R53" s="404"/>
      <c r="S53" s="622"/>
      <c r="T53" s="617"/>
      <c r="U53" s="698"/>
      <c r="V53" s="456"/>
      <c r="W53" s="624"/>
      <c r="X53" s="690"/>
      <c r="Y53" s="633"/>
      <c r="Z53" s="521"/>
      <c r="AA53" s="264"/>
    </row>
    <row r="54" spans="1:40" ht="12.75" hidden="1" customHeight="1">
      <c r="A54" s="604" t="s">
        <v>614</v>
      </c>
      <c r="B54" s="682">
        <v>3</v>
      </c>
      <c r="C54" s="536">
        <v>85</v>
      </c>
      <c r="D54" s="536">
        <v>87.998999999999995</v>
      </c>
      <c r="E54" s="682">
        <v>10</v>
      </c>
      <c r="F54" s="598">
        <v>85</v>
      </c>
      <c r="G54" s="348">
        <v>-0.52129999999999999</v>
      </c>
      <c r="H54" s="251">
        <v>150</v>
      </c>
      <c r="I54" s="238">
        <v>160</v>
      </c>
      <c r="J54" s="309">
        <v>81</v>
      </c>
      <c r="K54" s="242">
        <v>177.57300000000001</v>
      </c>
      <c r="L54" s="260">
        <v>31881996</v>
      </c>
      <c r="M54" s="260">
        <v>3444</v>
      </c>
      <c r="N54" s="260">
        <v>426</v>
      </c>
      <c r="O54" s="302">
        <v>45363.708136574074</v>
      </c>
      <c r="P54" s="683">
        <v>53</v>
      </c>
      <c r="Q54" s="666"/>
      <c r="R54" s="614"/>
      <c r="S54" s="623"/>
      <c r="T54" s="618"/>
      <c r="U54" s="699"/>
      <c r="V54" s="516"/>
      <c r="W54" s="625"/>
      <c r="X54" s="692"/>
      <c r="Y54" s="632"/>
      <c r="Z54" s="520"/>
      <c r="AA54" s="264"/>
    </row>
    <row r="55" spans="1:40" ht="12.75" hidden="1" customHeight="1">
      <c r="A55" s="605" t="s">
        <v>615</v>
      </c>
      <c r="B55" s="249">
        <v>19</v>
      </c>
      <c r="C55" s="248">
        <v>127.001</v>
      </c>
      <c r="D55" s="480">
        <v>139</v>
      </c>
      <c r="E55" s="249">
        <v>2</v>
      </c>
      <c r="F55" s="597">
        <v>127.001</v>
      </c>
      <c r="G55" s="347">
        <v>-0.48159999999999997</v>
      </c>
      <c r="H55" s="246">
        <v>205</v>
      </c>
      <c r="I55" s="237">
        <v>205</v>
      </c>
      <c r="J55" s="304">
        <v>120</v>
      </c>
      <c r="K55" s="241">
        <v>245.001</v>
      </c>
      <c r="L55" s="244">
        <v>24255511</v>
      </c>
      <c r="M55" s="244">
        <v>1769</v>
      </c>
      <c r="N55" s="244">
        <v>138</v>
      </c>
      <c r="O55" s="301">
        <v>45363.707858796297</v>
      </c>
      <c r="P55" s="645">
        <v>54</v>
      </c>
      <c r="Q55" s="646"/>
      <c r="R55" s="404"/>
      <c r="S55" s="622"/>
      <c r="T55" s="617"/>
      <c r="U55" s="698"/>
      <c r="V55" s="456"/>
      <c r="W55" s="624"/>
      <c r="X55" s="690"/>
      <c r="Y55" s="633"/>
      <c r="Z55" s="521"/>
      <c r="AA55" s="264"/>
    </row>
    <row r="56" spans="1:40" ht="12.75" hidden="1" customHeight="1">
      <c r="A56" s="604" t="s">
        <v>616</v>
      </c>
      <c r="B56" s="682">
        <v>5</v>
      </c>
      <c r="C56" s="536">
        <v>180</v>
      </c>
      <c r="D56" s="536">
        <v>190</v>
      </c>
      <c r="E56" s="682">
        <v>2</v>
      </c>
      <c r="F56" s="598">
        <v>180</v>
      </c>
      <c r="G56" s="348">
        <v>-0.5</v>
      </c>
      <c r="H56" s="251">
        <v>275</v>
      </c>
      <c r="I56" s="238">
        <v>275</v>
      </c>
      <c r="J56" s="309">
        <v>180</v>
      </c>
      <c r="K56" s="242">
        <v>360</v>
      </c>
      <c r="L56" s="260">
        <v>3473905</v>
      </c>
      <c r="M56" s="260">
        <v>176</v>
      </c>
      <c r="N56" s="260">
        <v>45</v>
      </c>
      <c r="O56" s="302">
        <v>45363.683391203704</v>
      </c>
      <c r="P56" s="683">
        <v>55</v>
      </c>
      <c r="Q56" s="666"/>
      <c r="R56" s="614"/>
      <c r="S56" s="623"/>
      <c r="T56" s="618"/>
      <c r="U56" s="699"/>
      <c r="V56" s="516"/>
      <c r="W56" s="625"/>
      <c r="X56" s="692"/>
      <c r="Y56" s="634"/>
      <c r="Z56" s="538"/>
      <c r="AA56" s="264"/>
    </row>
    <row r="57" spans="1:40" ht="12.75" hidden="1" customHeight="1">
      <c r="A57" s="605" t="s">
        <v>617</v>
      </c>
      <c r="B57" s="249">
        <v>1</v>
      </c>
      <c r="C57" s="248">
        <v>242</v>
      </c>
      <c r="D57" s="248">
        <v>259</v>
      </c>
      <c r="E57" s="249">
        <v>8</v>
      </c>
      <c r="F57" s="597">
        <v>250</v>
      </c>
      <c r="G57" s="347">
        <v>-0.43740000000000001</v>
      </c>
      <c r="H57" s="246">
        <v>335</v>
      </c>
      <c r="I57" s="237">
        <v>335</v>
      </c>
      <c r="J57" s="304">
        <v>237.5</v>
      </c>
      <c r="K57" s="241">
        <v>444.423</v>
      </c>
      <c r="L57" s="244">
        <v>3735248</v>
      </c>
      <c r="M57" s="244">
        <v>148</v>
      </c>
      <c r="N57" s="244">
        <v>23</v>
      </c>
      <c r="O57" s="301">
        <v>45363.689467592594</v>
      </c>
      <c r="P57" s="645">
        <v>56</v>
      </c>
      <c r="Q57" s="646"/>
      <c r="R57" s="404"/>
      <c r="S57" s="622"/>
      <c r="T57" s="617"/>
      <c r="U57" s="698"/>
      <c r="V57" s="516"/>
      <c r="W57" s="624"/>
      <c r="X57" s="690"/>
      <c r="Y57" s="668"/>
      <c r="Z57" s="537"/>
      <c r="AA57" s="264"/>
    </row>
    <row r="58" spans="1:40" ht="12.75" hidden="1" customHeight="1">
      <c r="A58" s="604" t="s">
        <v>618</v>
      </c>
      <c r="B58" s="682">
        <v>1</v>
      </c>
      <c r="C58" s="536">
        <v>425</v>
      </c>
      <c r="D58" s="684">
        <v>700</v>
      </c>
      <c r="E58" s="682">
        <v>2</v>
      </c>
      <c r="F58" s="598">
        <v>425.00099999999998</v>
      </c>
      <c r="G58" s="348">
        <v>-0.34610000000000002</v>
      </c>
      <c r="H58" s="251">
        <v>408.46600000000001</v>
      </c>
      <c r="I58" s="238">
        <v>498</v>
      </c>
      <c r="J58" s="309">
        <v>408.46600000000001</v>
      </c>
      <c r="K58" s="242">
        <v>650</v>
      </c>
      <c r="L58" s="260">
        <v>3351748</v>
      </c>
      <c r="M58" s="260">
        <v>75</v>
      </c>
      <c r="N58" s="260">
        <v>13</v>
      </c>
      <c r="O58" s="302">
        <v>45363.654594907406</v>
      </c>
      <c r="P58" s="683">
        <v>57</v>
      </c>
      <c r="Q58" s="666"/>
      <c r="R58" s="614"/>
      <c r="S58" s="623"/>
      <c r="T58" s="618"/>
      <c r="U58" s="699"/>
      <c r="V58" s="456"/>
      <c r="W58" s="625"/>
      <c r="X58" s="672"/>
      <c r="Y58" s="634"/>
      <c r="Z58" s="538"/>
      <c r="AA58" s="264"/>
    </row>
    <row r="59" spans="1:40" ht="12.75" hidden="1" customHeight="1">
      <c r="A59" s="606" t="s">
        <v>619</v>
      </c>
      <c r="B59" s="444">
        <v>2</v>
      </c>
      <c r="C59" s="434">
        <v>480</v>
      </c>
      <c r="D59" s="434">
        <v>560</v>
      </c>
      <c r="E59" s="444">
        <v>2</v>
      </c>
      <c r="F59" s="599">
        <v>540</v>
      </c>
      <c r="G59" s="451">
        <v>-4.4600000000000001E-2</v>
      </c>
      <c r="H59" s="437">
        <v>530</v>
      </c>
      <c r="I59" s="438">
        <v>550</v>
      </c>
      <c r="J59" s="439">
        <v>530</v>
      </c>
      <c r="K59" s="440">
        <v>565.25800000000004</v>
      </c>
      <c r="L59" s="428">
        <v>482000</v>
      </c>
      <c r="M59" s="428">
        <v>9</v>
      </c>
      <c r="N59" s="428">
        <v>7</v>
      </c>
      <c r="O59" s="429">
        <v>45363.648553240739</v>
      </c>
      <c r="P59" s="645">
        <v>58</v>
      </c>
      <c r="Q59" s="647"/>
      <c r="R59" s="442"/>
      <c r="S59" s="620"/>
      <c r="T59" s="616"/>
      <c r="U59" s="698"/>
      <c r="V59" s="516"/>
      <c r="W59" s="626"/>
      <c r="X59" s="711"/>
      <c r="Y59" s="669"/>
      <c r="Z59" s="539"/>
      <c r="AA59" s="264"/>
    </row>
    <row r="60" spans="1:40" ht="12.75" customHeight="1">
      <c r="A60" s="285" t="s">
        <v>335</v>
      </c>
      <c r="B60" s="261">
        <v>295</v>
      </c>
      <c r="C60" s="336">
        <v>2415</v>
      </c>
      <c r="D60" s="270">
        <v>2458</v>
      </c>
      <c r="E60" s="261">
        <v>10000</v>
      </c>
      <c r="F60" s="292">
        <v>2423.65</v>
      </c>
      <c r="G60" s="345">
        <v>9.2899999999999996E-2</v>
      </c>
      <c r="H60" s="247">
        <v>2250.4</v>
      </c>
      <c r="I60" s="239">
        <v>2477.65</v>
      </c>
      <c r="J60" s="306">
        <v>2250.1</v>
      </c>
      <c r="K60" s="243">
        <v>2217.6</v>
      </c>
      <c r="L60" s="266">
        <v>198877122</v>
      </c>
      <c r="M60" s="243">
        <v>82594</v>
      </c>
      <c r="N60" s="266">
        <v>912</v>
      </c>
      <c r="O60" s="300">
        <v>45363.683645833335</v>
      </c>
      <c r="P60" s="311">
        <v>59</v>
      </c>
      <c r="Q60" s="279">
        <v>0</v>
      </c>
      <c r="R60" s="286">
        <v>0</v>
      </c>
      <c r="S60" s="290">
        <v>0</v>
      </c>
      <c r="T60" s="259">
        <v>0</v>
      </c>
      <c r="U60" s="699"/>
      <c r="V60" s="283">
        <v>0</v>
      </c>
      <c r="W60" s="527">
        <v>0</v>
      </c>
      <c r="X60" s="517">
        <v>0</v>
      </c>
      <c r="Y60" s="504">
        <f>IF(D60&lt;&gt;0,($C61*(1-$V$1))-$D60,0)</f>
        <v>-19</v>
      </c>
      <c r="Z60" s="489">
        <v>20.49</v>
      </c>
      <c r="AA60" s="759" t="str">
        <f>MID($A60,1,5)</f>
        <v xml:space="preserve">GGAL </v>
      </c>
    </row>
    <row r="61" spans="1:40" ht="12.75" customHeight="1">
      <c r="A61" s="484" t="s">
        <v>336</v>
      </c>
      <c r="B61" s="450">
        <v>9734</v>
      </c>
      <c r="C61" s="434">
        <v>2439</v>
      </c>
      <c r="D61" s="479">
        <v>2440</v>
      </c>
      <c r="E61" s="444">
        <v>667</v>
      </c>
      <c r="F61" s="599">
        <v>2439</v>
      </c>
      <c r="G61" s="451">
        <v>9.7699999999999995E-2</v>
      </c>
      <c r="H61" s="437">
        <v>2292.65</v>
      </c>
      <c r="I61" s="438">
        <v>2475</v>
      </c>
      <c r="J61" s="439">
        <v>2263.4</v>
      </c>
      <c r="K61" s="440">
        <v>2221.75</v>
      </c>
      <c r="L61" s="428">
        <v>5092961459</v>
      </c>
      <c r="M61" s="440">
        <v>2101293</v>
      </c>
      <c r="N61" s="428">
        <v>5593</v>
      </c>
      <c r="O61" s="429">
        <v>45363.708229166667</v>
      </c>
      <c r="P61" s="310">
        <v>60</v>
      </c>
      <c r="Q61" s="430">
        <v>0</v>
      </c>
      <c r="R61" s="452">
        <v>0</v>
      </c>
      <c r="S61" s="432">
        <v>0</v>
      </c>
      <c r="T61" s="443">
        <v>0</v>
      </c>
      <c r="U61" s="698"/>
      <c r="V61" s="282">
        <v>0</v>
      </c>
      <c r="W61" s="526">
        <v>0</v>
      </c>
      <c r="X61" s="518">
        <v>0</v>
      </c>
      <c r="Y61" s="717">
        <f>IFERROR(INT($Y$1/(F60/100)),"")</f>
        <v>4262</v>
      </c>
      <c r="Z61" s="498">
        <f>Z60*F61</f>
        <v>49975.109999999993</v>
      </c>
      <c r="AA61" s="760"/>
    </row>
    <row r="62" spans="1:40" ht="12.75" hidden="1" customHeight="1">
      <c r="A62" s="285" t="s">
        <v>574</v>
      </c>
      <c r="B62" s="262">
        <v>415</v>
      </c>
      <c r="C62" s="495">
        <v>1710</v>
      </c>
      <c r="D62" s="496">
        <v>1715</v>
      </c>
      <c r="E62" s="262">
        <v>234</v>
      </c>
      <c r="F62" s="292">
        <v>1710</v>
      </c>
      <c r="G62" s="345">
        <v>6.9800000000000001E-2</v>
      </c>
      <c r="H62" s="247">
        <v>1634.5</v>
      </c>
      <c r="I62" s="239">
        <v>1737.45</v>
      </c>
      <c r="J62" s="306">
        <v>1560</v>
      </c>
      <c r="K62" s="243">
        <v>1598.3</v>
      </c>
      <c r="L62" s="266">
        <v>108748784</v>
      </c>
      <c r="M62" s="243">
        <v>64235</v>
      </c>
      <c r="N62" s="266">
        <v>1147</v>
      </c>
      <c r="O62" s="300">
        <v>45363.685011574074</v>
      </c>
      <c r="P62" s="311">
        <v>61</v>
      </c>
      <c r="Q62" s="279">
        <v>0</v>
      </c>
      <c r="R62" s="286">
        <v>0</v>
      </c>
      <c r="S62" s="290">
        <v>0</v>
      </c>
      <c r="T62" s="259">
        <v>0</v>
      </c>
      <c r="U62" s="699"/>
      <c r="V62" s="283">
        <v>0</v>
      </c>
      <c r="W62" s="490">
        <v>0</v>
      </c>
      <c r="X62" s="507">
        <v>0</v>
      </c>
      <c r="Y62" s="504">
        <f>IF(D62&lt;&gt;0,($C63*(1-$V$1))-$D62,0)</f>
        <v>-14</v>
      </c>
      <c r="Z62" s="489">
        <f>$F63*($AE$1*$AD$1)</f>
        <v>6.4277260273972603</v>
      </c>
      <c r="AA62" s="757" t="str">
        <f>MID($A62,1,5)</f>
        <v xml:space="preserve">PAMP </v>
      </c>
    </row>
    <row r="63" spans="1:40" ht="12.75" hidden="1" customHeight="1">
      <c r="A63" s="484" t="s">
        <v>575</v>
      </c>
      <c r="B63" s="485">
        <v>17</v>
      </c>
      <c r="C63" s="497">
        <v>1701</v>
      </c>
      <c r="D63" s="497">
        <v>1710</v>
      </c>
      <c r="E63" s="485">
        <v>7</v>
      </c>
      <c r="F63" s="600">
        <v>1710</v>
      </c>
      <c r="G63" s="451">
        <v>6.59E-2</v>
      </c>
      <c r="H63" s="437">
        <v>1609</v>
      </c>
      <c r="I63" s="438">
        <v>1739.95</v>
      </c>
      <c r="J63" s="439">
        <v>1609</v>
      </c>
      <c r="K63" s="440">
        <v>1604.15</v>
      </c>
      <c r="L63" s="428">
        <v>3238902262</v>
      </c>
      <c r="M63" s="440">
        <v>1903752</v>
      </c>
      <c r="N63" s="428">
        <v>7677</v>
      </c>
      <c r="O63" s="486">
        <v>45363.708298611113</v>
      </c>
      <c r="P63" s="310">
        <v>62</v>
      </c>
      <c r="Q63" s="430">
        <v>0</v>
      </c>
      <c r="R63" s="452">
        <v>0</v>
      </c>
      <c r="S63" s="432">
        <v>0</v>
      </c>
      <c r="T63" s="443">
        <v>0</v>
      </c>
      <c r="U63" s="698"/>
      <c r="V63" s="447">
        <v>0</v>
      </c>
      <c r="W63" s="491">
        <v>0</v>
      </c>
      <c r="X63" s="506">
        <v>0</v>
      </c>
      <c r="Y63" s="505">
        <f>IFERROR(IF($Y$1&lt;&gt;"",INT($Y$1/(D62)),100),100)</f>
        <v>60</v>
      </c>
      <c r="Z63" s="488"/>
      <c r="AA63" s="758"/>
    </row>
    <row r="64" spans="1:40" ht="12.75" customHeight="1">
      <c r="A64" s="285" t="s">
        <v>13</v>
      </c>
      <c r="B64" s="409">
        <v>231</v>
      </c>
      <c r="C64" s="336">
        <v>49325</v>
      </c>
      <c r="D64" s="270">
        <v>49340</v>
      </c>
      <c r="E64" s="409">
        <v>5384</v>
      </c>
      <c r="F64" s="292">
        <v>49340</v>
      </c>
      <c r="G64" s="345">
        <v>7.0499999999999993E-2</v>
      </c>
      <c r="H64" s="247">
        <v>47000</v>
      </c>
      <c r="I64" s="239">
        <v>49970</v>
      </c>
      <c r="J64" s="306">
        <v>46530</v>
      </c>
      <c r="K64" s="243">
        <v>46090</v>
      </c>
      <c r="L64" s="266">
        <v>113890108888</v>
      </c>
      <c r="M64" s="243">
        <v>235885177</v>
      </c>
      <c r="N64" s="266">
        <v>87056</v>
      </c>
      <c r="O64" s="300">
        <v>45363.685208333336</v>
      </c>
      <c r="P64" s="311">
        <v>63</v>
      </c>
      <c r="Q64" s="279">
        <v>0</v>
      </c>
      <c r="R64" s="286">
        <v>0</v>
      </c>
      <c r="S64" s="290">
        <v>0</v>
      </c>
      <c r="T64" s="259">
        <v>0</v>
      </c>
      <c r="U64" s="699"/>
      <c r="V64" s="459">
        <v>325</v>
      </c>
      <c r="W64" s="795">
        <f t="shared" ref="W64:W68" si="23">(V64*X64)</f>
        <v>151498.75</v>
      </c>
      <c r="X64" s="690">
        <v>466.15</v>
      </c>
      <c r="Y64" s="504">
        <f>IF(D64&lt;&gt;0,($C65*(1-$V$1))-$D64,0)</f>
        <v>45</v>
      </c>
      <c r="Z64" s="487"/>
      <c r="AA64" s="350"/>
      <c r="AB64" s="38"/>
      <c r="AC64" s="466">
        <v>108</v>
      </c>
      <c r="AE64" s="47">
        <v>0.41599999999999998</v>
      </c>
      <c r="AF64" s="47">
        <f>AC64*AE64</f>
        <v>44.927999999999997</v>
      </c>
      <c r="AN64" s="482"/>
    </row>
    <row r="65" spans="1:40" ht="12.75" customHeight="1">
      <c r="A65" s="477" t="s">
        <v>2</v>
      </c>
      <c r="B65" s="323">
        <v>21406</v>
      </c>
      <c r="C65" s="248">
        <v>49385</v>
      </c>
      <c r="D65" s="480">
        <v>49440</v>
      </c>
      <c r="E65" s="529">
        <v>12099</v>
      </c>
      <c r="F65" s="250">
        <v>49385</v>
      </c>
      <c r="G65" s="347">
        <v>7.4499999999999997E-2</v>
      </c>
      <c r="H65" s="246">
        <v>46700</v>
      </c>
      <c r="I65" s="237">
        <v>50130</v>
      </c>
      <c r="J65" s="304">
        <v>46700</v>
      </c>
      <c r="K65" s="241">
        <v>45960</v>
      </c>
      <c r="L65" s="244">
        <v>76615043344</v>
      </c>
      <c r="M65" s="241">
        <v>157430611</v>
      </c>
      <c r="N65" s="244">
        <v>35443</v>
      </c>
      <c r="O65" s="301">
        <v>45363.708495370367</v>
      </c>
      <c r="P65" s="310">
        <v>64</v>
      </c>
      <c r="Q65" s="277">
        <v>0</v>
      </c>
      <c r="R65" s="287">
        <v>0</v>
      </c>
      <c r="S65" s="289">
        <v>0</v>
      </c>
      <c r="T65" s="258">
        <v>0</v>
      </c>
      <c r="U65" s="698"/>
      <c r="V65" s="458">
        <v>0</v>
      </c>
      <c r="W65" s="794">
        <f>V64*(C64/100)</f>
        <v>160306.25</v>
      </c>
      <c r="X65" s="692"/>
      <c r="Y65" s="712">
        <f>IFERROR(INT($Y$1/(F64/100)),"")</f>
        <v>209</v>
      </c>
      <c r="Z65" s="411"/>
      <c r="AA65" s="351"/>
      <c r="AB65" s="38"/>
      <c r="AC65" s="466">
        <v>111</v>
      </c>
      <c r="AE65" s="47">
        <v>0.41034999999999999</v>
      </c>
      <c r="AF65" s="47">
        <f t="shared" ref="AF65:AF67" si="24">AC65*AE65</f>
        <v>45.548850000000002</v>
      </c>
      <c r="AN65" s="482"/>
    </row>
    <row r="66" spans="1:40" ht="12.75" customHeight="1">
      <c r="A66" s="252" t="s">
        <v>15</v>
      </c>
      <c r="B66" s="409">
        <v>90533</v>
      </c>
      <c r="C66" s="336">
        <v>45.55</v>
      </c>
      <c r="D66" s="270">
        <v>46</v>
      </c>
      <c r="E66" s="409">
        <v>142614</v>
      </c>
      <c r="F66" s="601">
        <v>46</v>
      </c>
      <c r="G66" s="348">
        <v>1.55E-2</v>
      </c>
      <c r="H66" s="251">
        <v>45.4</v>
      </c>
      <c r="I66" s="238">
        <v>46</v>
      </c>
      <c r="J66" s="309">
        <v>44.8</v>
      </c>
      <c r="K66" s="242">
        <v>45.295000000000002</v>
      </c>
      <c r="L66" s="260">
        <v>22334567</v>
      </c>
      <c r="M66" s="242">
        <v>49503063</v>
      </c>
      <c r="N66" s="260">
        <v>10292</v>
      </c>
      <c r="O66" s="302">
        <v>45363.685034722221</v>
      </c>
      <c r="P66" s="311">
        <v>65</v>
      </c>
      <c r="Q66" s="278">
        <v>0</v>
      </c>
      <c r="R66" s="288">
        <v>0</v>
      </c>
      <c r="S66" s="291">
        <v>0</v>
      </c>
      <c r="T66" s="257">
        <v>0</v>
      </c>
      <c r="U66" s="699"/>
      <c r="V66" s="328">
        <v>0</v>
      </c>
      <c r="W66" s="796">
        <f t="shared" si="23"/>
        <v>0</v>
      </c>
      <c r="X66" s="690"/>
      <c r="Y66" s="713">
        <f>IF(D66&lt;&gt;0,($C67*(1-$V$1))-$D66,0)</f>
        <v>0</v>
      </c>
      <c r="Z66" s="334">
        <f>IFERROR(IF(C66&lt;&gt;"",$Y$1/(D64/100)*(C66/100),""),"")</f>
        <v>95.379797850454466</v>
      </c>
      <c r="AA66" s="400">
        <f>IFERROR($AA$1/(D66/100)*(C64/100),"")</f>
        <v>107228.2608695652</v>
      </c>
      <c r="AB66" s="38"/>
      <c r="AC66" s="467"/>
      <c r="AF66" s="47">
        <f t="shared" si="24"/>
        <v>0</v>
      </c>
      <c r="AN66" s="482"/>
    </row>
    <row r="67" spans="1:40" ht="12.75" customHeight="1">
      <c r="A67" s="312" t="s">
        <v>3</v>
      </c>
      <c r="B67" s="323">
        <v>100000</v>
      </c>
      <c r="C67" s="248">
        <v>46</v>
      </c>
      <c r="D67" s="480">
        <v>46.25</v>
      </c>
      <c r="E67" s="529">
        <v>7831</v>
      </c>
      <c r="F67" s="250">
        <v>46.1</v>
      </c>
      <c r="G67" s="347">
        <v>2.6699999999999998E-2</v>
      </c>
      <c r="H67" s="246">
        <v>45.5</v>
      </c>
      <c r="I67" s="237">
        <v>46.25</v>
      </c>
      <c r="J67" s="304">
        <v>44.85</v>
      </c>
      <c r="K67" s="241">
        <v>44.9</v>
      </c>
      <c r="L67" s="244">
        <v>2581550</v>
      </c>
      <c r="M67" s="241">
        <v>5713068</v>
      </c>
      <c r="N67" s="244">
        <v>861</v>
      </c>
      <c r="O67" s="301">
        <v>45363.701192129629</v>
      </c>
      <c r="P67" s="310">
        <v>66</v>
      </c>
      <c r="Q67" s="277">
        <v>0</v>
      </c>
      <c r="R67" s="287">
        <v>0</v>
      </c>
      <c r="S67" s="289">
        <v>0</v>
      </c>
      <c r="T67" s="258">
        <v>0</v>
      </c>
      <c r="U67" s="698"/>
      <c r="V67" s="327">
        <v>0</v>
      </c>
      <c r="W67" s="797">
        <f>V66*(F66/100)</f>
        <v>0</v>
      </c>
      <c r="X67" s="692"/>
      <c r="Y67" s="714">
        <f>IFERROR(INT($AA$1/(F66/100)),"")</f>
        <v>217</v>
      </c>
      <c r="Z67" s="333">
        <f>IFERROR(IF(C67&lt;&gt;"",$Y$1/(D65/100)*(C67/100),""),"")</f>
        <v>96.127252846948608</v>
      </c>
      <c r="AA67" s="402">
        <f>IFERROR($AA$1/(D67/100)*(C65/100),"")</f>
        <v>106778.37837837837</v>
      </c>
      <c r="AB67" s="38"/>
      <c r="AC67" s="468"/>
      <c r="AD67" s="465"/>
      <c r="AE67" s="465"/>
      <c r="AF67" s="465">
        <f t="shared" si="24"/>
        <v>0</v>
      </c>
      <c r="AN67" s="482"/>
    </row>
    <row r="68" spans="1:40" ht="12.75" customHeight="1">
      <c r="A68" s="416" t="s">
        <v>14</v>
      </c>
      <c r="B68" s="409">
        <v>4991</v>
      </c>
      <c r="C68" s="336">
        <v>47.45</v>
      </c>
      <c r="D68" s="270">
        <v>47.62</v>
      </c>
      <c r="E68" s="409">
        <v>1000</v>
      </c>
      <c r="F68" s="601">
        <v>47.65</v>
      </c>
      <c r="G68" s="348">
        <v>1.2699999999999999E-2</v>
      </c>
      <c r="H68" s="251">
        <v>46.75</v>
      </c>
      <c r="I68" s="238">
        <v>47.75</v>
      </c>
      <c r="J68" s="309">
        <v>46.35</v>
      </c>
      <c r="K68" s="242">
        <v>47.05</v>
      </c>
      <c r="L68" s="260">
        <v>75163082</v>
      </c>
      <c r="M68" s="242">
        <v>160561786</v>
      </c>
      <c r="N68" s="260">
        <v>72335</v>
      </c>
      <c r="O68" s="302">
        <v>45363.685150462959</v>
      </c>
      <c r="P68" s="311">
        <v>67</v>
      </c>
      <c r="Q68" s="278">
        <v>0</v>
      </c>
      <c r="R68" s="288">
        <v>0</v>
      </c>
      <c r="S68" s="291">
        <v>0</v>
      </c>
      <c r="T68" s="257">
        <v>0</v>
      </c>
      <c r="U68" s="699"/>
      <c r="V68" s="456">
        <v>325</v>
      </c>
      <c r="W68" s="798">
        <f t="shared" si="23"/>
        <v>155.54500000000002</v>
      </c>
      <c r="X68" s="693">
        <v>0.47860000000000003</v>
      </c>
      <c r="Y68" s="715">
        <f>IF(D68&lt;&gt;0,($C69*(1-$V$1))-$D68,0)</f>
        <v>3.0000000000001137E-2</v>
      </c>
      <c r="Z68" s="332">
        <f>IFERROR(IF(C68&lt;&gt;"",$Y$1/(D64/100)*(C68/100),""),"")</f>
        <v>99.358318507224254</v>
      </c>
      <c r="AA68" s="401">
        <f>IFERROR($Z$1/(D68/100)*(C64/100),"")</f>
        <v>103580.42839143219</v>
      </c>
      <c r="AB68" s="38"/>
      <c r="AC68" s="469">
        <f>SUM(AC64:AC67)</f>
        <v>219</v>
      </c>
      <c r="AD68" s="470"/>
      <c r="AE68" s="470"/>
      <c r="AF68" s="470">
        <f>SUM(AF64:AF67)</f>
        <v>90.476849999999999</v>
      </c>
    </row>
    <row r="69" spans="1:40" ht="12.75" customHeight="1">
      <c r="A69" s="449" t="s">
        <v>4</v>
      </c>
      <c r="B69" s="528">
        <v>311700</v>
      </c>
      <c r="C69" s="434">
        <v>47.65</v>
      </c>
      <c r="D69" s="479">
        <v>47.8</v>
      </c>
      <c r="E69" s="530">
        <v>1500</v>
      </c>
      <c r="F69" s="600">
        <v>47.66</v>
      </c>
      <c r="G69" s="451">
        <v>1.72E-2</v>
      </c>
      <c r="H69" s="437">
        <v>46.75</v>
      </c>
      <c r="I69" s="438">
        <v>47.901000000000003</v>
      </c>
      <c r="J69" s="439">
        <v>46.5</v>
      </c>
      <c r="K69" s="440">
        <v>46.850999999999999</v>
      </c>
      <c r="L69" s="428">
        <v>16421068</v>
      </c>
      <c r="M69" s="440">
        <v>34987829</v>
      </c>
      <c r="N69" s="428">
        <v>18850</v>
      </c>
      <c r="O69" s="429">
        <v>45363.708425925928</v>
      </c>
      <c r="P69" s="310">
        <v>68</v>
      </c>
      <c r="Q69" s="430">
        <v>0</v>
      </c>
      <c r="R69" s="452">
        <v>0</v>
      </c>
      <c r="S69" s="432">
        <v>0</v>
      </c>
      <c r="T69" s="443">
        <v>0</v>
      </c>
      <c r="U69" s="698"/>
      <c r="V69" s="499">
        <v>0</v>
      </c>
      <c r="W69" s="799">
        <f>V68*(C68/100)</f>
        <v>154.21250000000001</v>
      </c>
      <c r="X69" s="691"/>
      <c r="Y69" s="716">
        <f>IFERROR(INT($Z$1/(F68/100)),"")</f>
        <v>209</v>
      </c>
      <c r="Z69" s="446">
        <f>IFERROR(IF(C69&lt;&gt;"",$Y$1/(D65/100)*(C69/100),""),"")</f>
        <v>99.575295612110892</v>
      </c>
      <c r="AA69" s="453">
        <f>IFERROR($Z$1/(D69/100)*(C65/100),"")</f>
        <v>103315.89958158997</v>
      </c>
      <c r="AB69" s="38"/>
      <c r="AC69" s="753">
        <f>AF68/AC68</f>
        <v>0.41313630136986301</v>
      </c>
      <c r="AD69" s="753"/>
      <c r="AE69" s="753"/>
      <c r="AF69" s="753"/>
    </row>
    <row r="70" spans="1:40" ht="12.75" customHeight="1">
      <c r="A70" s="285" t="s">
        <v>16</v>
      </c>
      <c r="B70" s="409">
        <v>2999</v>
      </c>
      <c r="C70" s="336">
        <v>51300</v>
      </c>
      <c r="D70" s="270">
        <v>51550</v>
      </c>
      <c r="E70" s="409">
        <v>100</v>
      </c>
      <c r="F70" s="292">
        <v>51450</v>
      </c>
      <c r="G70" s="345">
        <v>7.1800000000000003E-2</v>
      </c>
      <c r="H70" s="247">
        <v>48355</v>
      </c>
      <c r="I70" s="239">
        <v>52150</v>
      </c>
      <c r="J70" s="306">
        <v>48355</v>
      </c>
      <c r="K70" s="243">
        <v>48000</v>
      </c>
      <c r="L70" s="266">
        <v>7219780390</v>
      </c>
      <c r="M70" s="243">
        <v>14265645</v>
      </c>
      <c r="N70" s="266">
        <v>4658</v>
      </c>
      <c r="O70" s="300">
        <v>45363.684999999998</v>
      </c>
      <c r="P70" s="311">
        <v>69</v>
      </c>
      <c r="Q70" s="279"/>
      <c r="R70" s="286">
        <v>0</v>
      </c>
      <c r="S70" s="290">
        <v>0</v>
      </c>
      <c r="T70" s="259">
        <v>0</v>
      </c>
      <c r="U70" s="699"/>
      <c r="V70" s="325">
        <v>150</v>
      </c>
      <c r="W70" s="795">
        <f t="shared" ref="W70:W82" si="25">(V70*X70)</f>
        <v>77010</v>
      </c>
      <c r="X70" s="690">
        <v>513.4</v>
      </c>
      <c r="Y70" s="504">
        <f t="shared" ref="Y70" si="26">IF(D70&lt;&gt;0,($C71*(1-$V$1))-$D70,0)</f>
        <v>120</v>
      </c>
      <c r="Z70" s="478"/>
      <c r="AA70" s="350"/>
      <c r="AB70" s="38"/>
      <c r="AC70" s="455">
        <v>506</v>
      </c>
      <c r="AE70" s="47">
        <v>0.48499999999999999</v>
      </c>
      <c r="AF70" s="47">
        <f>AC70*AE70</f>
        <v>245.41</v>
      </c>
    </row>
    <row r="71" spans="1:40" ht="12.75" customHeight="1">
      <c r="A71" s="477" t="s">
        <v>5</v>
      </c>
      <c r="B71" s="323">
        <v>20000</v>
      </c>
      <c r="C71" s="248">
        <v>51670</v>
      </c>
      <c r="D71" s="480">
        <v>51690</v>
      </c>
      <c r="E71" s="529">
        <v>75181</v>
      </c>
      <c r="F71" s="250">
        <v>51690</v>
      </c>
      <c r="G71" s="347">
        <v>7.9100000000000004E-2</v>
      </c>
      <c r="H71" s="246">
        <v>48060</v>
      </c>
      <c r="I71" s="237">
        <v>52320</v>
      </c>
      <c r="J71" s="304">
        <v>48060</v>
      </c>
      <c r="K71" s="241">
        <v>47900</v>
      </c>
      <c r="L71" s="244">
        <v>22368252935</v>
      </c>
      <c r="M71" s="241">
        <v>44101983</v>
      </c>
      <c r="N71" s="244">
        <v>5208</v>
      </c>
      <c r="O71" s="301">
        <v>45363.708622685182</v>
      </c>
      <c r="P71" s="310">
        <v>70</v>
      </c>
      <c r="Q71" s="277">
        <v>0</v>
      </c>
      <c r="R71" s="287">
        <v>0</v>
      </c>
      <c r="S71" s="289">
        <v>0</v>
      </c>
      <c r="T71" s="258">
        <v>0</v>
      </c>
      <c r="U71" s="698"/>
      <c r="V71" s="458">
        <v>0</v>
      </c>
      <c r="W71" s="793">
        <f>V70*(F71/100)</f>
        <v>77535</v>
      </c>
      <c r="X71" s="692"/>
      <c r="Y71" s="712">
        <f t="shared" ref="Y71" si="27">IFERROR(INT($Y$1/(F70/100)),"")</f>
        <v>200</v>
      </c>
      <c r="Z71" s="411"/>
      <c r="AA71" s="351"/>
      <c r="AB71" s="38"/>
      <c r="AC71" s="455">
        <v>350</v>
      </c>
      <c r="AE71" s="47">
        <v>0.47600999999999999</v>
      </c>
      <c r="AF71" s="47">
        <f t="shared" ref="AF71:AF73" si="28">AC71*AE71</f>
        <v>166.6035</v>
      </c>
    </row>
    <row r="72" spans="1:40" ht="12.75" hidden="1" customHeight="1">
      <c r="A72" s="252" t="s">
        <v>17</v>
      </c>
      <c r="B72" s="409">
        <v>250000</v>
      </c>
      <c r="C72" s="336">
        <v>47.5</v>
      </c>
      <c r="D72" s="270">
        <v>48.2</v>
      </c>
      <c r="E72" s="409">
        <v>100000</v>
      </c>
      <c r="F72" s="601">
        <v>48.05</v>
      </c>
      <c r="G72" s="348">
        <v>1.5800000000000002E-2</v>
      </c>
      <c r="H72" s="251">
        <v>48</v>
      </c>
      <c r="I72" s="238">
        <v>48.05</v>
      </c>
      <c r="J72" s="309">
        <v>46.673999999999999</v>
      </c>
      <c r="K72" s="242">
        <v>47.298999999999999</v>
      </c>
      <c r="L72" s="260">
        <v>1947497</v>
      </c>
      <c r="M72" s="242">
        <v>4129797</v>
      </c>
      <c r="N72" s="260">
        <v>1158</v>
      </c>
      <c r="O72" s="302">
        <v>45363.68240740741</v>
      </c>
      <c r="P72" s="311">
        <v>71</v>
      </c>
      <c r="Q72" s="278">
        <v>0</v>
      </c>
      <c r="R72" s="288">
        <v>0</v>
      </c>
      <c r="S72" s="291">
        <v>0</v>
      </c>
      <c r="T72" s="257">
        <v>0</v>
      </c>
      <c r="U72" s="699"/>
      <c r="V72" s="328">
        <v>0</v>
      </c>
      <c r="W72" s="796">
        <f t="shared" ref="W72" si="29">(V72*X72)</f>
        <v>0</v>
      </c>
      <c r="X72" s="690"/>
      <c r="Y72" s="713">
        <f t="shared" ref="Y72" si="30">IF(D72&lt;&gt;0,($C73*(1-$V$1))-$D72,0)</f>
        <v>-0.20000000000000284</v>
      </c>
      <c r="Z72" s="334">
        <f>IFERROR(IF(C72&lt;&gt;"",$Y$1/(D70/100)*(C72/100),""),"")</f>
        <v>95.198937538807442</v>
      </c>
      <c r="AA72" s="400">
        <f>IFERROR($AA$1/(D72/100)*(C70/100),"")</f>
        <v>106431.53526970954</v>
      </c>
      <c r="AB72" s="38"/>
      <c r="AC72" s="455"/>
      <c r="AF72" s="47">
        <f t="shared" si="28"/>
        <v>0</v>
      </c>
    </row>
    <row r="73" spans="1:40" ht="12.75" hidden="1" customHeight="1">
      <c r="A73" s="312" t="s">
        <v>6</v>
      </c>
      <c r="B73" s="323">
        <v>183788</v>
      </c>
      <c r="C73" s="248">
        <v>48</v>
      </c>
      <c r="D73" s="480">
        <v>48.5</v>
      </c>
      <c r="E73" s="529">
        <v>25000</v>
      </c>
      <c r="F73" s="250">
        <v>48.1</v>
      </c>
      <c r="G73" s="347">
        <v>1.7899999999999999E-2</v>
      </c>
      <c r="H73" s="246">
        <v>47</v>
      </c>
      <c r="I73" s="237">
        <v>48.1</v>
      </c>
      <c r="J73" s="304">
        <v>46.597000000000001</v>
      </c>
      <c r="K73" s="241">
        <v>47.25</v>
      </c>
      <c r="L73" s="244">
        <v>644089</v>
      </c>
      <c r="M73" s="241">
        <v>1362975</v>
      </c>
      <c r="N73" s="244">
        <v>205</v>
      </c>
      <c r="O73" s="301">
        <v>45363.697835648149</v>
      </c>
      <c r="P73" s="310">
        <v>72</v>
      </c>
      <c r="Q73" s="277">
        <v>0</v>
      </c>
      <c r="R73" s="287">
        <v>0</v>
      </c>
      <c r="S73" s="289">
        <v>0</v>
      </c>
      <c r="T73" s="258">
        <v>0</v>
      </c>
      <c r="U73" s="698"/>
      <c r="V73" s="327">
        <v>0</v>
      </c>
      <c r="W73" s="797">
        <f>V72*(F72/100)</f>
        <v>0</v>
      </c>
      <c r="X73" s="692"/>
      <c r="Y73" s="714">
        <f t="shared" ref="Y73" si="31">IFERROR(INT($AA$1/(F72/100)),"")</f>
        <v>208</v>
      </c>
      <c r="Z73" s="333">
        <f>IFERROR(IF(C73&lt;&gt;"",$Y$1/(D71/100)*(C73/100),""),"")</f>
        <v>95.940475525562363</v>
      </c>
      <c r="AA73" s="402">
        <f>IFERROR($AA$1/(D73/100)*(C71/100),"")</f>
        <v>106536.08247422682</v>
      </c>
      <c r="AB73" s="38"/>
      <c r="AC73" s="465"/>
      <c r="AD73" s="465"/>
      <c r="AE73" s="465"/>
      <c r="AF73" s="465">
        <f t="shared" si="28"/>
        <v>0</v>
      </c>
    </row>
    <row r="74" spans="1:40" ht="12.75" customHeight="1">
      <c r="A74" s="416" t="s">
        <v>18</v>
      </c>
      <c r="B74" s="409">
        <v>1212</v>
      </c>
      <c r="C74" s="336">
        <v>49.25</v>
      </c>
      <c r="D74" s="270">
        <v>49.69</v>
      </c>
      <c r="E74" s="409">
        <v>376</v>
      </c>
      <c r="F74" s="601">
        <v>49.69</v>
      </c>
      <c r="G74" s="348">
        <v>1.34E-2</v>
      </c>
      <c r="H74" s="251">
        <v>48.600999999999999</v>
      </c>
      <c r="I74" s="238">
        <v>49.95</v>
      </c>
      <c r="J74" s="309">
        <v>48.569000000000003</v>
      </c>
      <c r="K74" s="242">
        <v>49.03</v>
      </c>
      <c r="L74" s="260">
        <v>3095437</v>
      </c>
      <c r="M74" s="242">
        <v>6310814</v>
      </c>
      <c r="N74" s="260">
        <v>2547</v>
      </c>
      <c r="O74" s="302">
        <v>45363.685023148151</v>
      </c>
      <c r="P74" s="311">
        <v>73</v>
      </c>
      <c r="Q74" s="278">
        <v>0</v>
      </c>
      <c r="R74" s="288">
        <v>0</v>
      </c>
      <c r="S74" s="291">
        <v>0</v>
      </c>
      <c r="T74" s="257">
        <v>0</v>
      </c>
      <c r="U74" s="699"/>
      <c r="V74" s="456">
        <v>0</v>
      </c>
      <c r="W74" s="798">
        <f t="shared" si="25"/>
        <v>0</v>
      </c>
      <c r="X74" s="693"/>
      <c r="Y74" s="715">
        <f t="shared" ref="Y74" si="32">IF(D74&lt;&gt;0,($C75*(1-$V$1))-$D74,0)</f>
        <v>0.51000000000000512</v>
      </c>
      <c r="Z74" s="332">
        <f>IFERROR(IF(C74&lt;&gt;"",$Y$1/(D70/100)*(C74/100),""),"")</f>
        <v>98.706266816552983</v>
      </c>
      <c r="AA74" s="401">
        <f>IFERROR($Z$1/(D74/100)*(C70/100),"")</f>
        <v>103240.08854900383</v>
      </c>
      <c r="AB74" s="38"/>
      <c r="AC74" s="469">
        <f>SUM(AC70:AC73)</f>
        <v>856</v>
      </c>
      <c r="AD74" s="470"/>
      <c r="AE74" s="470" t="s">
        <v>588</v>
      </c>
      <c r="AF74" s="470">
        <f>SUM(AF70:AF73)</f>
        <v>412.01350000000002</v>
      </c>
    </row>
    <row r="75" spans="1:40" ht="12.75" customHeight="1">
      <c r="A75" s="449" t="s">
        <v>7</v>
      </c>
      <c r="B75" s="528">
        <v>11576</v>
      </c>
      <c r="C75" s="434">
        <v>50.2</v>
      </c>
      <c r="D75" s="479">
        <v>50.23</v>
      </c>
      <c r="E75" s="530">
        <v>999</v>
      </c>
      <c r="F75" s="600">
        <v>50.23</v>
      </c>
      <c r="G75" s="451">
        <v>2.5099999999999997E-2</v>
      </c>
      <c r="H75" s="437">
        <v>48.6</v>
      </c>
      <c r="I75" s="438">
        <v>50.23</v>
      </c>
      <c r="J75" s="439">
        <v>48.55</v>
      </c>
      <c r="K75" s="440">
        <v>49</v>
      </c>
      <c r="L75" s="445">
        <v>1493246</v>
      </c>
      <c r="M75" s="440">
        <v>3028936</v>
      </c>
      <c r="N75" s="428">
        <v>1277</v>
      </c>
      <c r="O75" s="429">
        <v>45363.708437499998</v>
      </c>
      <c r="P75" s="310">
        <v>74</v>
      </c>
      <c r="Q75" s="430">
        <v>0</v>
      </c>
      <c r="R75" s="452">
        <v>0</v>
      </c>
      <c r="S75" s="432">
        <v>0</v>
      </c>
      <c r="T75" s="443">
        <v>0</v>
      </c>
      <c r="U75" s="698"/>
      <c r="V75" s="457">
        <v>0</v>
      </c>
      <c r="W75" s="799">
        <f>V74*(F74/100)</f>
        <v>0</v>
      </c>
      <c r="X75" s="691"/>
      <c r="Y75" s="716">
        <f t="shared" ref="Y75" si="33">IFERROR(INT($Z$1/(F74/100)),"")</f>
        <v>201</v>
      </c>
      <c r="Z75" s="446">
        <f>IFERROR(IF(C75&lt;&gt;"",$Y$1/(D71/100)*(C75/100),""),"")</f>
        <v>100.33774732048398</v>
      </c>
      <c r="AA75" s="453">
        <f>IFERROR($Z$1/(D75/100)*(C71/100),"")</f>
        <v>102866.81266175593</v>
      </c>
      <c r="AB75" s="38"/>
      <c r="AC75" s="753">
        <f>AF74/AC74</f>
        <v>0.48132418224299067</v>
      </c>
      <c r="AD75" s="753"/>
      <c r="AE75" s="753"/>
      <c r="AF75" s="753"/>
    </row>
    <row r="76" spans="1:40" ht="12.75" customHeight="1">
      <c r="A76" s="285" t="s">
        <v>582</v>
      </c>
      <c r="B76" s="261">
        <v>17416082</v>
      </c>
      <c r="C76" s="336">
        <v>179</v>
      </c>
      <c r="D76" s="270">
        <v>179.4</v>
      </c>
      <c r="E76" s="261">
        <v>7468215</v>
      </c>
      <c r="F76" s="292">
        <v>179</v>
      </c>
      <c r="G76" s="345">
        <v>5.91E-2</v>
      </c>
      <c r="H76" s="247">
        <v>169.05099999999999</v>
      </c>
      <c r="I76" s="239">
        <v>180</v>
      </c>
      <c r="J76" s="306">
        <v>169.05099999999999</v>
      </c>
      <c r="K76" s="243">
        <v>169</v>
      </c>
      <c r="L76" s="266">
        <v>20779508975</v>
      </c>
      <c r="M76" s="243">
        <v>11731227491</v>
      </c>
      <c r="N76" s="266">
        <v>2384</v>
      </c>
      <c r="O76" s="300">
        <v>45363.68478009259</v>
      </c>
      <c r="P76" s="311">
        <v>75</v>
      </c>
      <c r="Q76" s="279">
        <v>0</v>
      </c>
      <c r="R76" s="286">
        <v>0</v>
      </c>
      <c r="S76" s="290">
        <v>0</v>
      </c>
      <c r="T76" s="259">
        <v>0</v>
      </c>
      <c r="U76" s="699"/>
      <c r="V76" s="474">
        <v>0</v>
      </c>
      <c r="W76" s="513">
        <f>V76*X76</f>
        <v>0</v>
      </c>
      <c r="X76" s="690"/>
      <c r="Y76" s="504">
        <f t="shared" ref="Y76" si="34">IF(D76&lt;&gt;0,($C77*(1-$V$1))-$D76,0)</f>
        <v>-2.9000000000000057</v>
      </c>
      <c r="Z76" s="478"/>
      <c r="AA76" s="350"/>
      <c r="AB76" s="38"/>
    </row>
    <row r="77" spans="1:40" ht="12.75" customHeight="1">
      <c r="A77" s="477" t="s">
        <v>583</v>
      </c>
      <c r="B77" s="249">
        <v>56657</v>
      </c>
      <c r="C77" s="248">
        <v>176.5</v>
      </c>
      <c r="D77" s="480">
        <v>177.7</v>
      </c>
      <c r="E77" s="481">
        <v>179937886</v>
      </c>
      <c r="F77" s="250">
        <v>177.7</v>
      </c>
      <c r="G77" s="347">
        <v>5.0199999999999995E-2</v>
      </c>
      <c r="H77" s="246">
        <v>170</v>
      </c>
      <c r="I77" s="237">
        <v>179.9</v>
      </c>
      <c r="J77" s="304">
        <v>170</v>
      </c>
      <c r="K77" s="241">
        <v>169.2</v>
      </c>
      <c r="L77" s="244">
        <v>6165909378</v>
      </c>
      <c r="M77" s="241">
        <v>3494141904</v>
      </c>
      <c r="N77" s="244">
        <v>1797</v>
      </c>
      <c r="O77" s="301">
        <v>45363.708541666667</v>
      </c>
      <c r="P77" s="310">
        <v>76</v>
      </c>
      <c r="Q77" s="277">
        <v>0</v>
      </c>
      <c r="R77" s="287">
        <v>0</v>
      </c>
      <c r="S77" s="289">
        <v>0</v>
      </c>
      <c r="T77" s="258">
        <v>0</v>
      </c>
      <c r="U77" s="698"/>
      <c r="V77" s="471">
        <v>0</v>
      </c>
      <c r="W77" s="508">
        <f>V76*(F76/100)</f>
        <v>0</v>
      </c>
      <c r="X77" s="692"/>
      <c r="Y77" s="712">
        <f t="shared" ref="Y77" si="35">IFERROR(INT($Y$1/(F76/100)),"")</f>
        <v>57718</v>
      </c>
      <c r="Z77" s="411"/>
      <c r="AA77" s="351"/>
      <c r="AB77" s="38"/>
    </row>
    <row r="78" spans="1:40" ht="12.75" hidden="1" customHeight="1">
      <c r="A78" s="252" t="s">
        <v>584</v>
      </c>
      <c r="B78" s="261">
        <v>99910191</v>
      </c>
      <c r="C78" s="336">
        <v>0.16500000000000001</v>
      </c>
      <c r="D78" s="270">
        <v>0.17</v>
      </c>
      <c r="E78" s="261">
        <v>25000000</v>
      </c>
      <c r="F78" s="601">
        <v>0.16600000000000001</v>
      </c>
      <c r="G78" s="348"/>
      <c r="H78" s="251">
        <v>0.16600000000000001</v>
      </c>
      <c r="I78" s="238">
        <v>0.16700000000000001</v>
      </c>
      <c r="J78" s="309">
        <v>0.16300000000000001</v>
      </c>
      <c r="K78" s="242">
        <v>0.16600000000000001</v>
      </c>
      <c r="L78" s="260">
        <v>5456250</v>
      </c>
      <c r="M78" s="242">
        <v>3303731524</v>
      </c>
      <c r="N78" s="260">
        <v>672</v>
      </c>
      <c r="O78" s="302">
        <v>45363.681712962964</v>
      </c>
      <c r="P78" s="311">
        <v>77</v>
      </c>
      <c r="Q78" s="278">
        <v>0</v>
      </c>
      <c r="R78" s="288">
        <v>0</v>
      </c>
      <c r="S78" s="291">
        <v>0</v>
      </c>
      <c r="T78" s="257">
        <v>0</v>
      </c>
      <c r="U78" s="699"/>
      <c r="V78" s="475">
        <v>0</v>
      </c>
      <c r="W78" s="509">
        <f t="shared" ref="W78" si="36">(V78*X78)</f>
        <v>0</v>
      </c>
      <c r="X78" s="690"/>
      <c r="Y78" s="713">
        <f t="shared" ref="Y78" si="37">IF(D78&lt;&gt;0,($C79*(1-$V$1))-$D78,0)</f>
        <v>-7.0000000000000007E-2</v>
      </c>
      <c r="Z78" s="334">
        <f>IFERROR(IF(C78&lt;&gt;"",$Y$1/(D76/100)*(C78/100),""),"")</f>
        <v>95.022984565007491</v>
      </c>
      <c r="AA78" s="400">
        <f>IFERROR($AA$1/(D78/100)*(C76/100),"")</f>
        <v>105294.11764705881</v>
      </c>
      <c r="AB78" s="38"/>
    </row>
    <row r="79" spans="1:40" ht="12.75" hidden="1" customHeight="1">
      <c r="A79" s="312" t="s">
        <v>585</v>
      </c>
      <c r="B79" s="249">
        <v>100</v>
      </c>
      <c r="C79" s="248">
        <v>0.1</v>
      </c>
      <c r="D79" s="480"/>
      <c r="E79" s="481"/>
      <c r="F79" s="250"/>
      <c r="G79" s="347"/>
      <c r="H79" s="246"/>
      <c r="I79" s="237"/>
      <c r="J79" s="304"/>
      <c r="K79" s="241">
        <v>0.16300000000000001</v>
      </c>
      <c r="L79" s="244"/>
      <c r="M79" s="241"/>
      <c r="N79" s="244"/>
      <c r="O79" s="301"/>
      <c r="P79" s="310">
        <v>78</v>
      </c>
      <c r="Q79" s="277">
        <v>0</v>
      </c>
      <c r="R79" s="287">
        <v>0</v>
      </c>
      <c r="S79" s="289">
        <v>0</v>
      </c>
      <c r="T79" s="258">
        <v>0</v>
      </c>
      <c r="U79" s="698"/>
      <c r="V79" s="472">
        <v>0</v>
      </c>
      <c r="W79" s="510">
        <f>V78*(F78/100)</f>
        <v>0</v>
      </c>
      <c r="X79" s="692"/>
      <c r="Y79" s="714">
        <f t="shared" ref="Y79" si="38">IFERROR(INT($AA$1/(F78/100)),"")</f>
        <v>60240</v>
      </c>
      <c r="Z79" s="333">
        <f>IFERROR(IF(C79&lt;&gt;"",$Y$1/(D77/100)*(C79/100),""),"")</f>
        <v>58.140630040286993</v>
      </c>
      <c r="AA79" s="402" t="str">
        <f>IFERROR($AA$1/(D79/100)*(C77/100),"")</f>
        <v/>
      </c>
      <c r="AB79" s="38"/>
    </row>
    <row r="80" spans="1:40" ht="12.75" customHeight="1">
      <c r="A80" s="416" t="s">
        <v>586</v>
      </c>
      <c r="B80" s="261">
        <v>6609405</v>
      </c>
      <c r="C80" s="495">
        <v>0.17199999999999999</v>
      </c>
      <c r="D80" s="496">
        <v>0.17599999999999999</v>
      </c>
      <c r="E80" s="261">
        <v>52795216</v>
      </c>
      <c r="F80" s="601">
        <v>0.17199999999999999</v>
      </c>
      <c r="G80" s="348"/>
      <c r="H80" s="251">
        <v>0.17100000000000001</v>
      </c>
      <c r="I80" s="238">
        <v>0.17299999999999999</v>
      </c>
      <c r="J80" s="309">
        <v>0.16900000000000001</v>
      </c>
      <c r="K80" s="242">
        <v>0.17199999999999999</v>
      </c>
      <c r="L80" s="260">
        <v>3497255</v>
      </c>
      <c r="M80" s="242">
        <v>2041244093</v>
      </c>
      <c r="N80" s="260">
        <v>842</v>
      </c>
      <c r="O80" s="302">
        <v>45363.68513888889</v>
      </c>
      <c r="P80" s="311">
        <v>79</v>
      </c>
      <c r="Q80" s="278">
        <v>0</v>
      </c>
      <c r="R80" s="288">
        <v>0</v>
      </c>
      <c r="S80" s="291">
        <v>0</v>
      </c>
      <c r="T80" s="257">
        <v>0</v>
      </c>
      <c r="U80" s="699"/>
      <c r="V80" s="476">
        <v>0</v>
      </c>
      <c r="W80" s="511">
        <f t="shared" si="25"/>
        <v>0</v>
      </c>
      <c r="X80" s="693"/>
      <c r="Y80" s="715">
        <f t="shared" ref="Y80" si="39">IF(D80&lt;&gt;0,($C81*(1-$V$1))-$D80,0)</f>
        <v>-6.9999999999999785E-3</v>
      </c>
      <c r="Z80" s="332">
        <f>IFERROR(IF(C80&lt;&gt;"",$Y$1/(D76/100)*(C80/100),""),"")</f>
        <v>99.054262698068413</v>
      </c>
      <c r="AA80" s="401">
        <f>IFERROR($Z$1/(D80/100)*(C76/100),"")</f>
        <v>101704.54545454547</v>
      </c>
      <c r="AB80" s="38"/>
      <c r="AC80"/>
    </row>
    <row r="81" spans="1:29" ht="12.75" customHeight="1">
      <c r="A81" s="449" t="s">
        <v>587</v>
      </c>
      <c r="B81" s="450">
        <v>569911</v>
      </c>
      <c r="C81" s="434">
        <v>0.16900000000000001</v>
      </c>
      <c r="D81" s="479">
        <v>0.17</v>
      </c>
      <c r="E81" s="444">
        <v>1</v>
      </c>
      <c r="F81" s="600">
        <v>0.17</v>
      </c>
      <c r="G81" s="451">
        <v>-1.7299999999999999E-2</v>
      </c>
      <c r="H81" s="437">
        <v>0.17100000000000001</v>
      </c>
      <c r="I81" s="438">
        <v>0.17199999999999999</v>
      </c>
      <c r="J81" s="439">
        <v>0.16900000000000001</v>
      </c>
      <c r="K81" s="440">
        <v>0.17299999999999999</v>
      </c>
      <c r="L81" s="428">
        <v>12124</v>
      </c>
      <c r="M81" s="440">
        <v>7128339</v>
      </c>
      <c r="N81" s="428">
        <v>304</v>
      </c>
      <c r="O81" s="429">
        <v>45363.70107638889</v>
      </c>
      <c r="P81" s="310">
        <v>80</v>
      </c>
      <c r="Q81" s="430">
        <v>0</v>
      </c>
      <c r="R81" s="452">
        <v>0</v>
      </c>
      <c r="S81" s="432">
        <v>0</v>
      </c>
      <c r="T81" s="443">
        <v>0</v>
      </c>
      <c r="U81" s="698"/>
      <c r="V81" s="473">
        <v>0</v>
      </c>
      <c r="W81" s="512">
        <f>V80*(F80/100)</f>
        <v>0</v>
      </c>
      <c r="X81" s="691"/>
      <c r="Y81" s="716">
        <f t="shared" ref="Y81" si="40">IFERROR(INT($Z$1/(F80/100)),"")</f>
        <v>58139</v>
      </c>
      <c r="Z81" s="446">
        <f>IFERROR(IF(C81&lt;&gt;"",$Y$1/(D77/100)*(C81/100),""),"")</f>
        <v>98.257664768085021</v>
      </c>
      <c r="AA81" s="453">
        <f>IFERROR($Z$1/(D81/100)*(C77/100),"")</f>
        <v>103823.52941176468</v>
      </c>
      <c r="AB81" s="38"/>
      <c r="AC81"/>
    </row>
    <row r="82" spans="1:29" ht="12.75" customHeight="1">
      <c r="A82" s="285" t="s">
        <v>621</v>
      </c>
      <c r="B82" s="261"/>
      <c r="C82" s="336"/>
      <c r="D82" s="270"/>
      <c r="E82" s="261"/>
      <c r="F82" s="292"/>
      <c r="G82" s="345"/>
      <c r="H82" s="247"/>
      <c r="I82" s="239"/>
      <c r="J82" s="306"/>
      <c r="K82" s="243"/>
      <c r="L82" s="266"/>
      <c r="M82" s="243"/>
      <c r="N82" s="266"/>
      <c r="O82" s="300"/>
      <c r="P82" s="311">
        <v>81</v>
      </c>
      <c r="Q82" s="279">
        <v>0</v>
      </c>
      <c r="R82" s="286">
        <v>0</v>
      </c>
      <c r="S82" s="290">
        <v>0</v>
      </c>
      <c r="T82" s="259">
        <v>0</v>
      </c>
      <c r="U82" s="699"/>
      <c r="V82" s="459">
        <v>522</v>
      </c>
      <c r="W82" s="513">
        <f t="shared" si="25"/>
        <v>545490</v>
      </c>
      <c r="X82" s="690">
        <v>1045</v>
      </c>
      <c r="Y82" s="504">
        <f t="shared" ref="Y82" si="41">IF(D82&lt;&gt;0,($C83*(1-$V$1))-$D82,0)</f>
        <v>0</v>
      </c>
      <c r="Z82" s="478"/>
      <c r="AA82" s="350"/>
      <c r="AB82" s="38"/>
      <c r="AC82"/>
    </row>
    <row r="83" spans="1:29" ht="12.75" customHeight="1">
      <c r="A83" s="284" t="s">
        <v>622</v>
      </c>
      <c r="B83" s="249"/>
      <c r="C83" s="248"/>
      <c r="D83" s="480">
        <v>114900</v>
      </c>
      <c r="E83" s="481">
        <v>239</v>
      </c>
      <c r="F83" s="250">
        <v>103000</v>
      </c>
      <c r="G83" s="347">
        <v>6.1799999999999994E-2</v>
      </c>
      <c r="H83" s="246">
        <v>103000</v>
      </c>
      <c r="I83" s="237">
        <v>103000</v>
      </c>
      <c r="J83" s="304">
        <v>103000</v>
      </c>
      <c r="K83" s="241">
        <v>97000</v>
      </c>
      <c r="L83" s="244">
        <v>6383940</v>
      </c>
      <c r="M83" s="241">
        <v>6198</v>
      </c>
      <c r="N83" s="244">
        <v>5</v>
      </c>
      <c r="O83" s="301">
        <v>45363.640983796293</v>
      </c>
      <c r="P83" s="310">
        <v>82</v>
      </c>
      <c r="Q83" s="277">
        <v>0</v>
      </c>
      <c r="R83" s="287">
        <v>0</v>
      </c>
      <c r="S83" s="289">
        <v>0</v>
      </c>
      <c r="T83" s="258">
        <v>0</v>
      </c>
      <c r="U83" s="698"/>
      <c r="V83" s="458"/>
      <c r="W83" s="508">
        <f>V82*(C83/100)</f>
        <v>0</v>
      </c>
      <c r="X83" s="692"/>
      <c r="Y83" s="712" t="str">
        <f t="shared" ref="Y83" si="42">IFERROR(INT($Y$1/(F82/100)),"")</f>
        <v/>
      </c>
      <c r="Z83" s="411"/>
      <c r="AA83" s="351"/>
      <c r="AB83" s="38"/>
      <c r="AC83"/>
    </row>
    <row r="84" spans="1:29" ht="12.75" hidden="1" customHeight="1">
      <c r="A84" s="252" t="s">
        <v>623</v>
      </c>
      <c r="B84" s="261"/>
      <c r="C84" s="336"/>
      <c r="D84" s="270"/>
      <c r="E84" s="261"/>
      <c r="F84" s="601"/>
      <c r="G84" s="348"/>
      <c r="H84" s="251"/>
      <c r="I84" s="238"/>
      <c r="J84" s="309"/>
      <c r="K84" s="242"/>
      <c r="L84" s="260"/>
      <c r="M84" s="242"/>
      <c r="N84" s="260"/>
      <c r="O84" s="302"/>
      <c r="P84" s="311">
        <v>83</v>
      </c>
      <c r="Q84" s="278">
        <v>0</v>
      </c>
      <c r="R84" s="288">
        <v>0</v>
      </c>
      <c r="S84" s="291">
        <v>0</v>
      </c>
      <c r="T84" s="257">
        <v>0</v>
      </c>
      <c r="U84" s="699"/>
      <c r="V84" s="328"/>
      <c r="W84" s="509">
        <f t="shared" ref="W84" si="43">(V84*X84)</f>
        <v>0</v>
      </c>
      <c r="X84" s="690"/>
      <c r="Y84" s="713">
        <f t="shared" ref="Y84" si="44">IF(D84&lt;&gt;0,($C85*(1-$V$1))-$D84,0)</f>
        <v>0</v>
      </c>
      <c r="Z84" s="334" t="str">
        <f>IFERROR(IF(C84&lt;&gt;"",$Y$1/(D82/100)*(C84/100),""),"")</f>
        <v/>
      </c>
      <c r="AA84" s="400" t="str">
        <f>IFERROR($AA$1/(D84/100)*(C82/100),"")</f>
        <v/>
      </c>
      <c r="AB84" s="38"/>
      <c r="AC84"/>
    </row>
    <row r="85" spans="1:29" ht="12.75" hidden="1" customHeight="1">
      <c r="A85" s="312" t="s">
        <v>624</v>
      </c>
      <c r="B85" s="249"/>
      <c r="C85" s="248"/>
      <c r="D85" s="480">
        <v>100.6</v>
      </c>
      <c r="E85" s="481">
        <v>4467</v>
      </c>
      <c r="F85" s="250"/>
      <c r="G85" s="347"/>
      <c r="H85" s="246"/>
      <c r="I85" s="237"/>
      <c r="J85" s="304"/>
      <c r="K85" s="241"/>
      <c r="L85" s="244"/>
      <c r="M85" s="241"/>
      <c r="N85" s="244"/>
      <c r="O85" s="301"/>
      <c r="P85" s="310">
        <v>84</v>
      </c>
      <c r="Q85" s="277">
        <v>0</v>
      </c>
      <c r="R85" s="287">
        <v>0</v>
      </c>
      <c r="S85" s="289">
        <v>0</v>
      </c>
      <c r="T85" s="258">
        <v>0</v>
      </c>
      <c r="U85" s="698"/>
      <c r="V85" s="327">
        <v>0</v>
      </c>
      <c r="W85" s="510">
        <f>V84*(F84/100)</f>
        <v>0</v>
      </c>
      <c r="X85" s="692"/>
      <c r="Y85" s="714" t="str">
        <f t="shared" ref="Y85" si="45">IFERROR(INT($AA$1/(F84/100)),"")</f>
        <v/>
      </c>
      <c r="Z85" s="333" t="str">
        <f>IFERROR(IF(C85&lt;&gt;"",$Y$1/(D83/100)*(C85/100),""),"")</f>
        <v/>
      </c>
      <c r="AA85" s="402">
        <f>IFERROR($AA$1/(D85/100)*(C83/100),"")</f>
        <v>0</v>
      </c>
      <c r="AB85" s="38"/>
      <c r="AC85"/>
    </row>
    <row r="86" spans="1:29" ht="12.75" customHeight="1">
      <c r="A86" s="416" t="s">
        <v>625</v>
      </c>
      <c r="B86" s="261"/>
      <c r="C86" s="336"/>
      <c r="D86" s="270"/>
      <c r="E86" s="261"/>
      <c r="F86" s="601"/>
      <c r="G86" s="348"/>
      <c r="H86" s="251"/>
      <c r="I86" s="238"/>
      <c r="J86" s="309"/>
      <c r="K86" s="242"/>
      <c r="L86" s="260"/>
      <c r="M86" s="242"/>
      <c r="N86" s="260"/>
      <c r="O86" s="302"/>
      <c r="P86" s="311">
        <v>85</v>
      </c>
      <c r="Q86" s="278">
        <v>0</v>
      </c>
      <c r="R86" s="288">
        <v>0</v>
      </c>
      <c r="S86" s="291">
        <v>0</v>
      </c>
      <c r="T86" s="257">
        <v>0</v>
      </c>
      <c r="U86" s="699"/>
      <c r="V86" s="456">
        <v>0</v>
      </c>
      <c r="W86" s="511">
        <f t="shared" ref="W86" si="46">(V86*X86)</f>
        <v>0</v>
      </c>
      <c r="X86" s="693"/>
      <c r="Y86" s="715">
        <f t="shared" ref="Y86" si="47">IF(D86&lt;&gt;0,($C87*(1-$V$1))-$D86,0)</f>
        <v>0</v>
      </c>
      <c r="Z86" s="332" t="str">
        <f>IFERROR(IF(C86&lt;&gt;"",$Y$1/(D82/100)*(C86/100),""),"")</f>
        <v/>
      </c>
      <c r="AA86" s="401" t="str">
        <f>IFERROR($Z$1/(D86/100)*(C82/100),"")</f>
        <v/>
      </c>
      <c r="AB86" s="38"/>
      <c r="AC86"/>
    </row>
    <row r="87" spans="1:29" ht="12.75" customHeight="1">
      <c r="A87" s="449" t="s">
        <v>626</v>
      </c>
      <c r="B87" s="450"/>
      <c r="C87" s="434"/>
      <c r="D87" s="479"/>
      <c r="E87" s="444"/>
      <c r="F87" s="600"/>
      <c r="G87" s="451"/>
      <c r="H87" s="437"/>
      <c r="I87" s="438"/>
      <c r="J87" s="439"/>
      <c r="K87" s="440"/>
      <c r="L87" s="428"/>
      <c r="M87" s="440"/>
      <c r="N87" s="428"/>
      <c r="O87" s="429"/>
      <c r="P87" s="310">
        <v>86</v>
      </c>
      <c r="Q87" s="430">
        <v>0</v>
      </c>
      <c r="R87" s="452">
        <v>0</v>
      </c>
      <c r="S87" s="432">
        <v>0</v>
      </c>
      <c r="T87" s="443">
        <v>0</v>
      </c>
      <c r="U87" s="698"/>
      <c r="V87" s="457">
        <v>0</v>
      </c>
      <c r="W87" s="514">
        <f>V86*(F86/100)</f>
        <v>0</v>
      </c>
      <c r="X87" s="691"/>
      <c r="Y87" s="716" t="str">
        <f t="shared" ref="Y87" si="48">IFERROR(INT($Z$1/(F86/100)),"")</f>
        <v/>
      </c>
      <c r="Z87" s="446" t="str">
        <f>IFERROR(IF(C87&lt;&gt;"",$Y$1/(D83/100)*(C87/100),""),"")</f>
        <v/>
      </c>
      <c r="AA87" s="453" t="str">
        <f>IFERROR($Z$1/(D87/100)*(C83/100),"")</f>
        <v/>
      </c>
      <c r="AB87" s="38"/>
      <c r="AC87"/>
    </row>
    <row r="88" spans="1:29" ht="12.75" customHeight="1">
      <c r="A88" s="285" t="s">
        <v>568</v>
      </c>
      <c r="B88" s="261">
        <v>894</v>
      </c>
      <c r="C88" s="336">
        <v>86180</v>
      </c>
      <c r="D88" s="270">
        <v>87490</v>
      </c>
      <c r="E88" s="261">
        <v>1012</v>
      </c>
      <c r="F88" s="292">
        <v>86400</v>
      </c>
      <c r="G88" s="345">
        <v>6.0700000000000004E-2</v>
      </c>
      <c r="H88" s="247">
        <v>82200</v>
      </c>
      <c r="I88" s="239">
        <v>89040</v>
      </c>
      <c r="J88" s="306">
        <v>82200</v>
      </c>
      <c r="K88" s="243">
        <v>81450</v>
      </c>
      <c r="L88" s="266">
        <v>54029873</v>
      </c>
      <c r="M88" s="243">
        <v>63509</v>
      </c>
      <c r="N88" s="266">
        <v>268</v>
      </c>
      <c r="O88" s="300">
        <v>45363.683553240742</v>
      </c>
      <c r="P88" s="311">
        <v>87</v>
      </c>
      <c r="Q88" s="279">
        <v>0</v>
      </c>
      <c r="R88" s="286">
        <v>0</v>
      </c>
      <c r="S88" s="290">
        <v>0</v>
      </c>
      <c r="T88" s="259">
        <v>0</v>
      </c>
      <c r="U88" s="699"/>
      <c r="V88" s="459"/>
      <c r="W88" s="513">
        <f t="shared" ref="W88" si="49">(V88*X88)</f>
        <v>0</v>
      </c>
      <c r="X88" s="690"/>
      <c r="Y88" s="504">
        <f t="shared" ref="Y88" si="50">IF(D88&lt;&gt;0,($C89*(1-$V$1))-$D88,0)</f>
        <v>-1490</v>
      </c>
      <c r="Z88" s="478"/>
      <c r="AA88" s="350"/>
      <c r="AB88" s="38"/>
      <c r="AC88"/>
    </row>
    <row r="89" spans="1:29" ht="12.75" customHeight="1">
      <c r="A89" s="284" t="s">
        <v>569</v>
      </c>
      <c r="B89" s="249">
        <v>4095</v>
      </c>
      <c r="C89" s="248">
        <v>86000</v>
      </c>
      <c r="D89" s="480">
        <v>86450</v>
      </c>
      <c r="E89" s="481">
        <v>2085</v>
      </c>
      <c r="F89" s="250">
        <v>86000</v>
      </c>
      <c r="G89" s="347">
        <v>5.62E-2</v>
      </c>
      <c r="H89" s="246">
        <v>81540</v>
      </c>
      <c r="I89" s="237">
        <v>88790</v>
      </c>
      <c r="J89" s="304">
        <v>81540</v>
      </c>
      <c r="K89" s="241">
        <v>81420</v>
      </c>
      <c r="L89" s="244">
        <v>530872346</v>
      </c>
      <c r="M89" s="241">
        <v>618286</v>
      </c>
      <c r="N89" s="244">
        <v>1432</v>
      </c>
      <c r="O89" s="301">
        <v>45363.708587962959</v>
      </c>
      <c r="P89" s="310">
        <v>88</v>
      </c>
      <c r="Q89" s="277">
        <v>0</v>
      </c>
      <c r="R89" s="287">
        <v>0</v>
      </c>
      <c r="S89" s="289">
        <v>0</v>
      </c>
      <c r="T89" s="258">
        <v>0</v>
      </c>
      <c r="U89" s="698"/>
      <c r="V89" s="458">
        <v>0</v>
      </c>
      <c r="W89" s="508">
        <f>V88*(F88/100)</f>
        <v>0</v>
      </c>
      <c r="X89" s="692"/>
      <c r="Y89" s="712">
        <f t="shared" ref="Y89" si="51">IFERROR(INT($Y$1/(F88/100)),"")</f>
        <v>119</v>
      </c>
      <c r="Z89" s="411"/>
      <c r="AA89" s="351"/>
      <c r="AB89" s="38"/>
      <c r="AC89"/>
    </row>
    <row r="90" spans="1:29" ht="12.75" hidden="1" customHeight="1">
      <c r="A90" s="252" t="s">
        <v>570</v>
      </c>
      <c r="B90" s="261"/>
      <c r="C90" s="336"/>
      <c r="D90" s="270"/>
      <c r="E90" s="261"/>
      <c r="F90" s="601"/>
      <c r="G90" s="348"/>
      <c r="H90" s="251"/>
      <c r="I90" s="238"/>
      <c r="J90" s="238"/>
      <c r="K90" s="275">
        <v>80.599999999999994</v>
      </c>
      <c r="L90" s="260"/>
      <c r="M90" s="242"/>
      <c r="N90" s="260"/>
      <c r="O90" s="302"/>
      <c r="P90" s="311">
        <v>89</v>
      </c>
      <c r="Q90" s="278">
        <v>0</v>
      </c>
      <c r="R90" s="288">
        <v>0</v>
      </c>
      <c r="S90" s="291">
        <v>0</v>
      </c>
      <c r="T90" s="257">
        <v>0</v>
      </c>
      <c r="U90" s="699"/>
      <c r="V90" s="328"/>
      <c r="W90" s="509">
        <f t="shared" ref="W90" si="52">(V90*X90)</f>
        <v>0</v>
      </c>
      <c r="X90" s="690"/>
      <c r="Y90" s="713">
        <f t="shared" ref="Y90" si="53">IF(D90&lt;&gt;0,($C91*(1-$V$1))-$D90,0)</f>
        <v>0</v>
      </c>
      <c r="Z90" s="334" t="str">
        <f>IFERROR(IF(C90&lt;&gt;"",$Y$1/(D88/100)*(C90/100),""),"")</f>
        <v/>
      </c>
      <c r="AA90" s="400" t="str">
        <f>IFERROR($AA$1/(D90/100)*(C88/100),"")</f>
        <v/>
      </c>
      <c r="AB90" s="38"/>
      <c r="AC90"/>
    </row>
    <row r="91" spans="1:29" ht="12.75" hidden="1" customHeight="1">
      <c r="A91" s="312" t="s">
        <v>571</v>
      </c>
      <c r="B91" s="249"/>
      <c r="C91" s="248"/>
      <c r="D91" s="480"/>
      <c r="E91" s="481"/>
      <c r="F91" s="250"/>
      <c r="G91" s="347"/>
      <c r="H91" s="246"/>
      <c r="I91" s="237"/>
      <c r="J91" s="237"/>
      <c r="K91" s="272"/>
      <c r="L91" s="244"/>
      <c r="M91" s="241"/>
      <c r="N91" s="244"/>
      <c r="O91" s="301"/>
      <c r="P91" s="310">
        <v>90</v>
      </c>
      <c r="Q91" s="277">
        <v>0</v>
      </c>
      <c r="R91" s="287">
        <v>0</v>
      </c>
      <c r="S91" s="289">
        <v>0</v>
      </c>
      <c r="T91" s="258">
        <v>0</v>
      </c>
      <c r="U91" s="698"/>
      <c r="V91" s="327">
        <v>0</v>
      </c>
      <c r="W91" s="510">
        <f>V90*(F90/100)</f>
        <v>0</v>
      </c>
      <c r="X91" s="692"/>
      <c r="Y91" s="714" t="str">
        <f t="shared" ref="Y91" si="54">IFERROR(INT($AA$1/(F90/100)),"")</f>
        <v/>
      </c>
      <c r="Z91" s="333" t="str">
        <f>IFERROR(IF(C91&lt;&gt;"",$Y$1/(D89/100)*(C91/100),""),"")</f>
        <v/>
      </c>
      <c r="AA91" s="402" t="str">
        <f>IFERROR($AA$1/(D91/100)*(C89/100),"")</f>
        <v/>
      </c>
      <c r="AB91" s="38"/>
      <c r="AC91"/>
    </row>
    <row r="92" spans="1:29" ht="12.75" customHeight="1">
      <c r="A92" s="416" t="s">
        <v>572</v>
      </c>
      <c r="B92" s="261">
        <v>1495</v>
      </c>
      <c r="C92" s="336">
        <v>83.1</v>
      </c>
      <c r="D92" s="270">
        <v>83.87</v>
      </c>
      <c r="E92" s="261">
        <v>100</v>
      </c>
      <c r="F92" s="601">
        <v>83.5</v>
      </c>
      <c r="G92" s="348">
        <v>2.5000000000000001E-3</v>
      </c>
      <c r="H92" s="251">
        <v>83.6</v>
      </c>
      <c r="I92" s="238">
        <v>83.99</v>
      </c>
      <c r="J92" s="238">
        <v>82.5</v>
      </c>
      <c r="K92" s="275">
        <v>83.29</v>
      </c>
      <c r="L92" s="260">
        <v>28518</v>
      </c>
      <c r="M92" s="242">
        <v>34166</v>
      </c>
      <c r="N92" s="260">
        <v>66</v>
      </c>
      <c r="O92" s="302">
        <v>45363.663564814815</v>
      </c>
      <c r="P92" s="311">
        <v>91</v>
      </c>
      <c r="Q92" s="278">
        <v>0</v>
      </c>
      <c r="R92" s="288">
        <v>0</v>
      </c>
      <c r="S92" s="291">
        <v>0</v>
      </c>
      <c r="T92" s="257">
        <v>0</v>
      </c>
      <c r="U92" s="699"/>
      <c r="V92" s="456">
        <v>0</v>
      </c>
      <c r="W92" s="511">
        <f t="shared" ref="W92" si="55">(V92*X92)</f>
        <v>0</v>
      </c>
      <c r="X92" s="693"/>
      <c r="Y92" s="715">
        <f t="shared" ref="Y92" si="56">IF(D92&lt;&gt;0,($C93*(1-$V$1))-$D92,0)</f>
        <v>-0.57000000000000739</v>
      </c>
      <c r="Z92" s="332">
        <f>IFERROR(IF(C92&lt;&gt;"",$Y$1/(D88/100)*(C92/100),""),"")</f>
        <v>98.131800837011383</v>
      </c>
      <c r="AA92" s="401">
        <f>IFERROR($Z$1/(D92/100)*(C88/100),"")</f>
        <v>102754.26254918326</v>
      </c>
      <c r="AB92" s="38"/>
      <c r="AC92"/>
    </row>
    <row r="93" spans="1:29" ht="12.75" customHeight="1">
      <c r="A93" s="449" t="s">
        <v>573</v>
      </c>
      <c r="B93" s="450">
        <v>1176</v>
      </c>
      <c r="C93" s="434">
        <v>83.3</v>
      </c>
      <c r="D93" s="479">
        <v>83.44</v>
      </c>
      <c r="E93" s="444">
        <v>1643</v>
      </c>
      <c r="F93" s="600">
        <v>83.44</v>
      </c>
      <c r="G93" s="451">
        <v>2.5000000000000001E-3</v>
      </c>
      <c r="H93" s="437">
        <v>83.84</v>
      </c>
      <c r="I93" s="438">
        <v>83.85</v>
      </c>
      <c r="J93" s="438">
        <v>82.51</v>
      </c>
      <c r="K93" s="454">
        <v>83.23</v>
      </c>
      <c r="L93" s="428">
        <v>290501</v>
      </c>
      <c r="M93" s="440">
        <v>348612</v>
      </c>
      <c r="N93" s="428">
        <v>497</v>
      </c>
      <c r="O93" s="429">
        <v>45363.708506944444</v>
      </c>
      <c r="P93" s="310">
        <v>92</v>
      </c>
      <c r="Q93" s="430">
        <v>0</v>
      </c>
      <c r="R93" s="452">
        <v>0</v>
      </c>
      <c r="S93" s="432">
        <v>0</v>
      </c>
      <c r="T93" s="443">
        <v>0</v>
      </c>
      <c r="U93" s="698"/>
      <c r="V93" s="457">
        <v>0</v>
      </c>
      <c r="W93" s="514">
        <f>V92*(F92/100)</f>
        <v>0</v>
      </c>
      <c r="X93" s="691"/>
      <c r="Y93" s="716">
        <f t="shared" ref="Y93" si="57">IFERROR(INT($Z$1/(F92/100)),"")</f>
        <v>119</v>
      </c>
      <c r="Z93" s="446">
        <f>IFERROR(IF(C93&lt;&gt;"",$Y$1/(D89/100)*(C93/100),""),"")</f>
        <v>99.551352633272913</v>
      </c>
      <c r="AA93" s="453">
        <f>IFERROR($Z$1/(D93/100)*(C89/100),"")</f>
        <v>103068.07286673058</v>
      </c>
      <c r="AB93" s="38"/>
      <c r="AC93"/>
    </row>
    <row r="94" spans="1:29" ht="12.75" customHeight="1">
      <c r="A94" s="285" t="s">
        <v>535</v>
      </c>
      <c r="B94" s="261">
        <v>55</v>
      </c>
      <c r="C94" s="336">
        <v>39450</v>
      </c>
      <c r="D94" s="270">
        <v>39900</v>
      </c>
      <c r="E94" s="261">
        <v>6182</v>
      </c>
      <c r="F94" s="292">
        <v>39900</v>
      </c>
      <c r="G94" s="345">
        <v>3.6299999999999999E-2</v>
      </c>
      <c r="H94" s="247">
        <v>37830</v>
      </c>
      <c r="I94" s="239">
        <v>41700</v>
      </c>
      <c r="J94" s="239">
        <v>37755</v>
      </c>
      <c r="K94" s="274">
        <v>38500</v>
      </c>
      <c r="L94" s="266">
        <v>46339991</v>
      </c>
      <c r="M94" s="243">
        <v>115618</v>
      </c>
      <c r="N94" s="266">
        <v>177</v>
      </c>
      <c r="O94" s="300">
        <v>45363.685185185182</v>
      </c>
      <c r="P94" s="311">
        <v>93</v>
      </c>
      <c r="Q94" s="279">
        <v>0</v>
      </c>
      <c r="R94" s="286">
        <v>0</v>
      </c>
      <c r="S94" s="290">
        <v>0</v>
      </c>
      <c r="T94" s="259">
        <v>0</v>
      </c>
      <c r="U94" s="699"/>
      <c r="V94" s="459">
        <v>0</v>
      </c>
      <c r="W94" s="513">
        <f t="shared" ref="W94" si="58">(V94*X94)</f>
        <v>0</v>
      </c>
      <c r="X94" s="690"/>
      <c r="Y94" s="504">
        <f t="shared" ref="Y94" si="59">IF(D94&lt;&gt;0,($C95*(1-$V$1))-$D94,0)</f>
        <v>1200</v>
      </c>
      <c r="Z94" s="478"/>
      <c r="AA94" s="350"/>
      <c r="AB94" s="38"/>
      <c r="AC94"/>
    </row>
    <row r="95" spans="1:29" ht="12.75" customHeight="1">
      <c r="A95" s="284" t="s">
        <v>536</v>
      </c>
      <c r="B95" s="249">
        <v>214</v>
      </c>
      <c r="C95" s="248">
        <v>41100</v>
      </c>
      <c r="D95" s="480">
        <v>41500</v>
      </c>
      <c r="E95" s="481">
        <v>4712</v>
      </c>
      <c r="F95" s="250">
        <v>41500</v>
      </c>
      <c r="G95" s="347">
        <v>9.9299999999999999E-2</v>
      </c>
      <c r="H95" s="246">
        <v>38700</v>
      </c>
      <c r="I95" s="237">
        <v>41880</v>
      </c>
      <c r="J95" s="237">
        <v>38000</v>
      </c>
      <c r="K95" s="272">
        <v>37750</v>
      </c>
      <c r="L95" s="244">
        <v>467362168</v>
      </c>
      <c r="M95" s="241">
        <v>1143292</v>
      </c>
      <c r="N95" s="244">
        <v>679</v>
      </c>
      <c r="O95" s="301">
        <v>45363.708518518521</v>
      </c>
      <c r="P95" s="310">
        <v>94</v>
      </c>
      <c r="Q95" s="277">
        <v>0</v>
      </c>
      <c r="R95" s="287">
        <v>0</v>
      </c>
      <c r="S95" s="289">
        <v>0</v>
      </c>
      <c r="T95" s="258">
        <v>0</v>
      </c>
      <c r="U95" s="698"/>
      <c r="V95" s="458">
        <v>0</v>
      </c>
      <c r="W95" s="508">
        <f>V94*(F94/100)</f>
        <v>0</v>
      </c>
      <c r="X95" s="692"/>
      <c r="Y95" s="712">
        <f t="shared" ref="Y95" si="60">IFERROR(INT($Y$1/(F94/100)),"")</f>
        <v>258</v>
      </c>
      <c r="Z95" s="411"/>
      <c r="AA95" s="351"/>
      <c r="AB95" s="38"/>
      <c r="AC95"/>
    </row>
    <row r="96" spans="1:29" ht="12.75" hidden="1" customHeight="1">
      <c r="A96" s="252" t="s">
        <v>537</v>
      </c>
      <c r="B96" s="261"/>
      <c r="C96" s="336"/>
      <c r="D96" s="270"/>
      <c r="E96" s="261"/>
      <c r="F96" s="601">
        <v>38.42</v>
      </c>
      <c r="G96" s="348">
        <v>8.8000000000000005E-3</v>
      </c>
      <c r="H96" s="251">
        <v>38.42</v>
      </c>
      <c r="I96" s="238">
        <v>38.42</v>
      </c>
      <c r="J96" s="238">
        <v>38.42</v>
      </c>
      <c r="K96" s="275">
        <v>38.082999999999998</v>
      </c>
      <c r="L96" s="260">
        <v>2985</v>
      </c>
      <c r="M96" s="242">
        <v>7770</v>
      </c>
      <c r="N96" s="260">
        <v>1</v>
      </c>
      <c r="O96" s="302">
        <v>45363.592673611114</v>
      </c>
      <c r="P96" s="311">
        <v>95</v>
      </c>
      <c r="Q96" s="278">
        <v>0</v>
      </c>
      <c r="R96" s="288">
        <v>0</v>
      </c>
      <c r="S96" s="291">
        <v>0</v>
      </c>
      <c r="T96" s="257">
        <v>0</v>
      </c>
      <c r="U96" s="699"/>
      <c r="V96" s="328"/>
      <c r="W96" s="509">
        <f t="shared" ref="W96" si="61">(V96*X96)</f>
        <v>0</v>
      </c>
      <c r="X96" s="690"/>
      <c r="Y96" s="713">
        <f t="shared" ref="Y96" si="62">IF(D96&lt;&gt;0,($C97*(1-$V$1))-$D96,0)</f>
        <v>0</v>
      </c>
      <c r="Z96" s="334" t="str">
        <f>IFERROR(IF(C96&lt;&gt;"",$Y$1/(D94/100)*(C96/100),""),"")</f>
        <v/>
      </c>
      <c r="AA96" s="400" t="str">
        <f>IFERROR($AA$1/(D96/100)*(C94/100),"")</f>
        <v/>
      </c>
      <c r="AB96" s="38"/>
      <c r="AC96"/>
    </row>
    <row r="97" spans="1:29" ht="12.75" hidden="1" customHeight="1">
      <c r="A97" s="312" t="s">
        <v>538</v>
      </c>
      <c r="B97" s="249"/>
      <c r="C97" s="248"/>
      <c r="D97" s="480"/>
      <c r="E97" s="481"/>
      <c r="F97" s="250"/>
      <c r="G97" s="347"/>
      <c r="H97" s="246"/>
      <c r="I97" s="237"/>
      <c r="J97" s="237"/>
      <c r="K97" s="272">
        <v>38.011000000000003</v>
      </c>
      <c r="L97" s="244"/>
      <c r="M97" s="241"/>
      <c r="N97" s="244"/>
      <c r="O97" s="301"/>
      <c r="P97" s="310">
        <v>96</v>
      </c>
      <c r="Q97" s="277">
        <v>0</v>
      </c>
      <c r="R97" s="287">
        <v>0</v>
      </c>
      <c r="S97" s="289">
        <v>0</v>
      </c>
      <c r="T97" s="258">
        <v>0</v>
      </c>
      <c r="U97" s="698"/>
      <c r="V97" s="327">
        <v>0</v>
      </c>
      <c r="W97" s="510">
        <f>V96*(F96/100)</f>
        <v>0</v>
      </c>
      <c r="X97" s="692"/>
      <c r="Y97" s="714">
        <f t="shared" ref="Y97" si="63">IFERROR(INT($AA$1/(F96/100)),"")</f>
        <v>260</v>
      </c>
      <c r="Z97" s="333" t="str">
        <f>IFERROR(IF(C97&lt;&gt;"",$Y$1/(D95/100)*(C97/100),""),"")</f>
        <v/>
      </c>
      <c r="AA97" s="402" t="str">
        <f>IFERROR($AA$1/(D97/100)*(C95/100),"")</f>
        <v/>
      </c>
      <c r="AB97" s="38"/>
    </row>
    <row r="98" spans="1:29" ht="12.75" customHeight="1">
      <c r="A98" s="416" t="s">
        <v>539</v>
      </c>
      <c r="B98" s="261">
        <v>1911</v>
      </c>
      <c r="C98" s="336">
        <v>39.6</v>
      </c>
      <c r="D98" s="270">
        <v>40</v>
      </c>
      <c r="E98" s="261">
        <v>938</v>
      </c>
      <c r="F98" s="601">
        <v>39.6</v>
      </c>
      <c r="G98" s="348">
        <v>2.5000000000000001E-3</v>
      </c>
      <c r="H98" s="251">
        <v>39</v>
      </c>
      <c r="I98" s="238">
        <v>40.398000000000003</v>
      </c>
      <c r="J98" s="238">
        <v>39</v>
      </c>
      <c r="K98" s="275">
        <v>39.497999999999998</v>
      </c>
      <c r="L98" s="260">
        <v>6854</v>
      </c>
      <c r="M98" s="242">
        <v>17318</v>
      </c>
      <c r="N98" s="260">
        <v>22</v>
      </c>
      <c r="O98" s="302">
        <v>45363.654456018521</v>
      </c>
      <c r="P98" s="311">
        <v>97</v>
      </c>
      <c r="Q98" s="278">
        <v>0</v>
      </c>
      <c r="R98" s="288">
        <v>0</v>
      </c>
      <c r="S98" s="291">
        <v>0</v>
      </c>
      <c r="T98" s="257">
        <v>0</v>
      </c>
      <c r="U98" s="699"/>
      <c r="V98" s="456">
        <v>0</v>
      </c>
      <c r="W98" s="511">
        <f t="shared" ref="W98" si="64">(V98*X98)</f>
        <v>0</v>
      </c>
      <c r="X98" s="693"/>
      <c r="Y98" s="715">
        <f t="shared" ref="Y98" si="65">IF(D98&lt;&gt;0,($C99*(1-$V$1))-$D98,0)</f>
        <v>-0.59799999999999898</v>
      </c>
      <c r="Z98" s="332">
        <f>IFERROR(IF(C98&lt;&gt;"",$Y$1/(D94/100)*(C98/100),""),"")</f>
        <v>102.53908830654042</v>
      </c>
      <c r="AA98" s="401">
        <f>IFERROR($Z$1/(D98/100)*(C94/100),"")</f>
        <v>98625</v>
      </c>
      <c r="AB98" s="38"/>
      <c r="AC98" s="11"/>
    </row>
    <row r="99" spans="1:29" ht="12.75" customHeight="1">
      <c r="A99" s="449" t="s">
        <v>540</v>
      </c>
      <c r="B99" s="450">
        <v>300</v>
      </c>
      <c r="C99" s="434">
        <v>39.402000000000001</v>
      </c>
      <c r="D99" s="479">
        <v>39.799999999999997</v>
      </c>
      <c r="E99" s="444">
        <v>2892</v>
      </c>
      <c r="F99" s="600">
        <v>39.799999999999997</v>
      </c>
      <c r="G99" s="451">
        <v>2.0499999999999997E-2</v>
      </c>
      <c r="H99" s="437">
        <v>39</v>
      </c>
      <c r="I99" s="438">
        <v>40.488999999999997</v>
      </c>
      <c r="J99" s="438">
        <v>39</v>
      </c>
      <c r="K99" s="454">
        <v>39</v>
      </c>
      <c r="L99" s="428">
        <v>41664</v>
      </c>
      <c r="M99" s="440">
        <v>104839</v>
      </c>
      <c r="N99" s="428">
        <v>147</v>
      </c>
      <c r="O99" s="429">
        <v>45363.705081018517</v>
      </c>
      <c r="P99" s="310">
        <v>98</v>
      </c>
      <c r="Q99" s="430">
        <v>0</v>
      </c>
      <c r="R99" s="452">
        <v>0</v>
      </c>
      <c r="S99" s="432">
        <v>0</v>
      </c>
      <c r="T99" s="443">
        <v>0</v>
      </c>
      <c r="U99" s="698"/>
      <c r="V99" s="457">
        <v>0</v>
      </c>
      <c r="W99" s="514">
        <f>V98*(F98/100)</f>
        <v>0</v>
      </c>
      <c r="X99" s="691"/>
      <c r="Y99" s="716">
        <f t="shared" ref="Y99" si="66">IFERROR(INT($Z$1/(F98/100)),"")</f>
        <v>252</v>
      </c>
      <c r="Z99" s="446">
        <f>IFERROR(IF(C99&lt;&gt;"",$Y$1/(D95/100)*(C99/100),""),"")</f>
        <v>98.092845188284542</v>
      </c>
      <c r="AA99" s="453">
        <f>IFERROR($Z$1/(D99/100)*(C95/100),"")</f>
        <v>103266.33165829147</v>
      </c>
      <c r="AB99" s="38"/>
      <c r="AC99" s="11"/>
    </row>
    <row r="100" spans="1:29" ht="12.75" customHeight="1">
      <c r="A100" s="285" t="s">
        <v>576</v>
      </c>
      <c r="B100" s="261">
        <v>100</v>
      </c>
      <c r="C100" s="336">
        <v>24200</v>
      </c>
      <c r="D100" s="270">
        <v>24995</v>
      </c>
      <c r="E100" s="261">
        <v>1000</v>
      </c>
      <c r="F100" s="292">
        <v>24200</v>
      </c>
      <c r="G100" s="345">
        <v>3.39E-2</v>
      </c>
      <c r="H100" s="247">
        <v>23600</v>
      </c>
      <c r="I100" s="239">
        <v>24200</v>
      </c>
      <c r="J100" s="239">
        <v>23600</v>
      </c>
      <c r="K100" s="274">
        <v>23405</v>
      </c>
      <c r="L100" s="266">
        <v>1115672</v>
      </c>
      <c r="M100" s="243">
        <v>4615</v>
      </c>
      <c r="N100" s="266">
        <v>9</v>
      </c>
      <c r="O100" s="300">
        <v>45363.646736111114</v>
      </c>
      <c r="P100" s="311">
        <v>99</v>
      </c>
      <c r="Q100" s="279">
        <v>0</v>
      </c>
      <c r="R100" s="286">
        <v>0</v>
      </c>
      <c r="S100" s="290">
        <v>0</v>
      </c>
      <c r="T100" s="259">
        <v>0</v>
      </c>
      <c r="U100" s="699"/>
      <c r="V100" s="459">
        <v>0</v>
      </c>
      <c r="W100" s="513">
        <f t="shared" ref="W100" si="67">(V100*X100)</f>
        <v>0</v>
      </c>
      <c r="X100" s="690"/>
      <c r="Y100" s="504">
        <f t="shared" ref="Y100" si="68">IF(D100&lt;&gt;0,($C101*(1-$V$1))-$D100,0)</f>
        <v>-780</v>
      </c>
      <c r="Z100" s="478"/>
      <c r="AA100" s="350"/>
      <c r="AB100" s="38"/>
      <c r="AC100" s="11"/>
    </row>
    <row r="101" spans="1:29" ht="12.75" customHeight="1">
      <c r="A101" s="284" t="s">
        <v>577</v>
      </c>
      <c r="B101" s="249">
        <v>410</v>
      </c>
      <c r="C101" s="248">
        <v>24215</v>
      </c>
      <c r="D101" s="480">
        <v>24500</v>
      </c>
      <c r="E101" s="481">
        <v>2612</v>
      </c>
      <c r="F101" s="250">
        <v>24500</v>
      </c>
      <c r="G101" s="347">
        <v>4.2500000000000003E-2</v>
      </c>
      <c r="H101" s="246">
        <v>24500</v>
      </c>
      <c r="I101" s="237">
        <v>24880</v>
      </c>
      <c r="J101" s="237">
        <v>24000</v>
      </c>
      <c r="K101" s="272">
        <v>23500</v>
      </c>
      <c r="L101" s="244">
        <v>13409856</v>
      </c>
      <c r="M101" s="241">
        <v>54859</v>
      </c>
      <c r="N101" s="244">
        <v>101</v>
      </c>
      <c r="O101" s="301">
        <v>45363.703020833331</v>
      </c>
      <c r="P101" s="310">
        <v>100</v>
      </c>
      <c r="Q101" s="277">
        <v>0</v>
      </c>
      <c r="R101" s="287">
        <v>0</v>
      </c>
      <c r="S101" s="289">
        <v>0</v>
      </c>
      <c r="T101" s="258">
        <v>0</v>
      </c>
      <c r="U101" s="698"/>
      <c r="V101" s="458">
        <v>0</v>
      </c>
      <c r="W101" s="508">
        <f>V100*(F100/100)</f>
        <v>0</v>
      </c>
      <c r="X101" s="692"/>
      <c r="Y101" s="712">
        <f t="shared" ref="Y101" si="69">IFERROR(INT($Y$1/(F100/100)),"")</f>
        <v>426</v>
      </c>
      <c r="Z101" s="411"/>
      <c r="AA101" s="351"/>
      <c r="AB101" s="38"/>
      <c r="AC101" s="11"/>
    </row>
    <row r="102" spans="1:29" ht="12.75" hidden="1" customHeight="1">
      <c r="A102" s="252" t="s">
        <v>578</v>
      </c>
      <c r="B102" s="261"/>
      <c r="C102" s="336"/>
      <c r="D102" s="270"/>
      <c r="E102" s="261"/>
      <c r="F102" s="601"/>
      <c r="G102" s="348"/>
      <c r="H102" s="251"/>
      <c r="I102" s="238"/>
      <c r="J102" s="238"/>
      <c r="K102" s="275"/>
      <c r="L102" s="260"/>
      <c r="M102" s="242"/>
      <c r="N102" s="260"/>
      <c r="O102" s="302"/>
      <c r="P102" s="311">
        <v>101</v>
      </c>
      <c r="Q102" s="278">
        <v>0</v>
      </c>
      <c r="R102" s="288">
        <v>0</v>
      </c>
      <c r="S102" s="291">
        <v>0</v>
      </c>
      <c r="T102" s="257">
        <v>0</v>
      </c>
      <c r="U102" s="699"/>
      <c r="V102" s="328"/>
      <c r="W102" s="509">
        <f t="shared" ref="W102" si="70">(V102*X102)</f>
        <v>0</v>
      </c>
      <c r="X102" s="690"/>
      <c r="Y102" s="713">
        <f t="shared" ref="Y102" si="71">IF(D102&lt;&gt;0,($C103*(1-$V$1))-$D102,0)</f>
        <v>0</v>
      </c>
      <c r="Z102" s="334" t="str">
        <f>IFERROR(IF(C102&lt;&gt;"",$Y$1/(D100/100)*(C102/100),""),"")</f>
        <v/>
      </c>
      <c r="AA102" s="400" t="str">
        <f>IFERROR($AA$1/(D102/100)*(C100/100),"")</f>
        <v/>
      </c>
      <c r="AB102" s="38"/>
      <c r="AC102" s="11"/>
    </row>
    <row r="103" spans="1:29" ht="12.75" hidden="1" customHeight="1">
      <c r="A103" s="312" t="s">
        <v>579</v>
      </c>
      <c r="B103" s="249"/>
      <c r="C103" s="248"/>
      <c r="D103" s="480"/>
      <c r="E103" s="481"/>
      <c r="F103" s="250"/>
      <c r="G103" s="347"/>
      <c r="H103" s="246"/>
      <c r="I103" s="237"/>
      <c r="J103" s="237"/>
      <c r="K103" s="272">
        <v>31</v>
      </c>
      <c r="L103" s="244"/>
      <c r="M103" s="241"/>
      <c r="N103" s="244"/>
      <c r="O103" s="301"/>
      <c r="P103" s="310">
        <v>102</v>
      </c>
      <c r="Q103" s="277">
        <v>0</v>
      </c>
      <c r="R103" s="287">
        <v>0</v>
      </c>
      <c r="S103" s="289">
        <v>0</v>
      </c>
      <c r="T103" s="258">
        <v>0</v>
      </c>
      <c r="U103" s="698"/>
      <c r="V103" s="327">
        <v>0</v>
      </c>
      <c r="W103" s="510">
        <f>V102*(F102/100)</f>
        <v>0</v>
      </c>
      <c r="X103" s="692"/>
      <c r="Y103" s="714" t="str">
        <f t="shared" ref="Y103" si="72">IFERROR(INT($AA$1/(F102/100)),"")</f>
        <v/>
      </c>
      <c r="Z103" s="333" t="str">
        <f>IFERROR(IF(C103&lt;&gt;"",$Y$1/(D101/100)*(C103/100),""),"")</f>
        <v/>
      </c>
      <c r="AA103" s="402" t="str">
        <f>IFERROR($AA$1/(D103/100)*(C101/100),"")</f>
        <v/>
      </c>
      <c r="AB103" s="38"/>
      <c r="AC103" s="11"/>
    </row>
    <row r="104" spans="1:29" ht="12.75" customHeight="1">
      <c r="A104" s="416" t="s">
        <v>580</v>
      </c>
      <c r="B104" s="261">
        <v>2799</v>
      </c>
      <c r="C104" s="336">
        <v>23.501000000000001</v>
      </c>
      <c r="D104" s="270">
        <v>24.59</v>
      </c>
      <c r="E104" s="261">
        <v>1000</v>
      </c>
      <c r="F104" s="601">
        <v>24.001000000000001</v>
      </c>
      <c r="G104" s="348">
        <v>-2.0299999999999999E-2</v>
      </c>
      <c r="H104" s="251">
        <v>24.004999999999999</v>
      </c>
      <c r="I104" s="238">
        <v>24.004999999999999</v>
      </c>
      <c r="J104" s="238">
        <v>24.001000000000001</v>
      </c>
      <c r="K104" s="275">
        <v>24.5</v>
      </c>
      <c r="L104" s="260">
        <v>1836</v>
      </c>
      <c r="M104" s="242">
        <v>7648</v>
      </c>
      <c r="N104" s="260">
        <v>4</v>
      </c>
      <c r="O104" s="302">
        <v>45363.589560185188</v>
      </c>
      <c r="P104" s="311">
        <v>103</v>
      </c>
      <c r="Q104" s="278">
        <v>0</v>
      </c>
      <c r="R104" s="288">
        <v>0</v>
      </c>
      <c r="S104" s="291">
        <v>0</v>
      </c>
      <c r="T104" s="257">
        <v>0</v>
      </c>
      <c r="U104" s="699"/>
      <c r="V104" s="456">
        <v>0</v>
      </c>
      <c r="W104" s="511">
        <f t="shared" ref="W104" si="73">(V104*X104)</f>
        <v>0</v>
      </c>
      <c r="X104" s="693"/>
      <c r="Y104" s="715">
        <f t="shared" ref="Y104" si="74">IF(D104&lt;&gt;0,($C105*(1-$V$1))-$D104,0)</f>
        <v>-0.5</v>
      </c>
      <c r="Z104" s="332">
        <f>IFERROR(IF(C104&lt;&gt;"",$Y$1/(D100/100)*(C104/100),""),"")</f>
        <v>97.14050634394664</v>
      </c>
      <c r="AA104" s="401">
        <f>IFERROR($Z$1/(D104/100)*(C100/100),"")</f>
        <v>98413.989426596178</v>
      </c>
      <c r="AB104" s="38"/>
      <c r="AC104" s="11"/>
    </row>
    <row r="105" spans="1:29" ht="12.75" customHeight="1">
      <c r="A105" s="449" t="s">
        <v>581</v>
      </c>
      <c r="B105" s="450">
        <v>2000</v>
      </c>
      <c r="C105" s="434">
        <v>24.09</v>
      </c>
      <c r="D105" s="479">
        <v>24.4</v>
      </c>
      <c r="E105" s="444">
        <v>103</v>
      </c>
      <c r="F105" s="600">
        <v>24.4</v>
      </c>
      <c r="G105" s="451">
        <v>7.8000000000000005E-3</v>
      </c>
      <c r="H105" s="437">
        <v>24.22</v>
      </c>
      <c r="I105" s="438">
        <v>24.5</v>
      </c>
      <c r="J105" s="438">
        <v>23.7</v>
      </c>
      <c r="K105" s="454">
        <v>24.21</v>
      </c>
      <c r="L105" s="428">
        <v>11887</v>
      </c>
      <c r="M105" s="440">
        <v>49194</v>
      </c>
      <c r="N105" s="428">
        <v>64</v>
      </c>
      <c r="O105" s="429">
        <v>45363.700902777775</v>
      </c>
      <c r="P105" s="310">
        <v>104</v>
      </c>
      <c r="Q105" s="430">
        <v>0</v>
      </c>
      <c r="R105" s="452">
        <v>0</v>
      </c>
      <c r="S105" s="432">
        <v>0</v>
      </c>
      <c r="T105" s="443">
        <v>0</v>
      </c>
      <c r="U105" s="698"/>
      <c r="V105" s="457">
        <v>0</v>
      </c>
      <c r="W105" s="514">
        <f>V104*(F104/100)</f>
        <v>0</v>
      </c>
      <c r="X105" s="691"/>
      <c r="Y105" s="716">
        <f t="shared" ref="Y105" si="75">IFERROR(INT($Z$1/(F104/100)),"")</f>
        <v>416</v>
      </c>
      <c r="Z105" s="446">
        <f>IFERROR(IF(C105&lt;&gt;"",$Y$1/(D101/100)*(C105/100),""),"")</f>
        <v>101.58693962940826</v>
      </c>
      <c r="AA105" s="453">
        <f>IFERROR($Z$1/(D105/100)*(C101/100),"")</f>
        <v>99241.803278688531</v>
      </c>
      <c r="AB105" s="38"/>
    </row>
    <row r="106" spans="1:29" ht="12.75" customHeight="1">
      <c r="A106" s="285" t="s">
        <v>627</v>
      </c>
      <c r="B106" s="261">
        <v>6400</v>
      </c>
      <c r="C106" s="336">
        <v>91270</v>
      </c>
      <c r="D106" s="270">
        <v>91400</v>
      </c>
      <c r="E106" s="261">
        <v>22</v>
      </c>
      <c r="F106" s="292">
        <v>91720</v>
      </c>
      <c r="G106" s="345">
        <v>7.0800000000000002E-2</v>
      </c>
      <c r="H106" s="247">
        <v>87000</v>
      </c>
      <c r="I106" s="239">
        <v>92200</v>
      </c>
      <c r="J106" s="239">
        <v>86630</v>
      </c>
      <c r="K106" s="274">
        <v>85650</v>
      </c>
      <c r="L106" s="266">
        <v>595917480</v>
      </c>
      <c r="M106" s="243">
        <v>663118</v>
      </c>
      <c r="N106" s="266">
        <v>158</v>
      </c>
      <c r="O106" s="300">
        <v>45363.682060185187</v>
      </c>
      <c r="P106" s="311">
        <v>105</v>
      </c>
      <c r="Q106" s="279">
        <v>0</v>
      </c>
      <c r="R106" s="286">
        <v>0</v>
      </c>
      <c r="S106" s="290">
        <v>0</v>
      </c>
      <c r="T106" s="259">
        <v>0</v>
      </c>
      <c r="U106" s="699"/>
      <c r="V106" s="459"/>
      <c r="W106" s="513">
        <f t="shared" ref="W106" si="76">(V106*X106)</f>
        <v>0</v>
      </c>
      <c r="X106" s="690"/>
      <c r="Y106" s="504">
        <f t="shared" ref="Y106" si="77">IF(D106&lt;&gt;0,($C107*(1-$V$1))-$D106,0)</f>
        <v>-690</v>
      </c>
      <c r="Z106" s="478"/>
      <c r="AA106" s="350"/>
      <c r="AB106" s="38"/>
    </row>
    <row r="107" spans="1:29" ht="12.75" customHeight="1">
      <c r="A107" s="284" t="s">
        <v>628</v>
      </c>
      <c r="B107" s="249">
        <v>660</v>
      </c>
      <c r="C107" s="248">
        <v>90710</v>
      </c>
      <c r="D107" s="480">
        <v>90980</v>
      </c>
      <c r="E107" s="481">
        <v>8553</v>
      </c>
      <c r="F107" s="250">
        <v>90700</v>
      </c>
      <c r="G107" s="347">
        <v>4.4600000000000001E-2</v>
      </c>
      <c r="H107" s="246">
        <v>89000</v>
      </c>
      <c r="I107" s="237">
        <v>92860</v>
      </c>
      <c r="J107" s="237">
        <v>87020</v>
      </c>
      <c r="K107" s="272">
        <v>86820</v>
      </c>
      <c r="L107" s="244">
        <v>7476109251</v>
      </c>
      <c r="M107" s="241">
        <v>8225940</v>
      </c>
      <c r="N107" s="244">
        <v>1112</v>
      </c>
      <c r="O107" s="301">
        <v>45363.704108796293</v>
      </c>
      <c r="P107" s="310">
        <v>106</v>
      </c>
      <c r="Q107" s="277">
        <v>0</v>
      </c>
      <c r="R107" s="287">
        <v>0</v>
      </c>
      <c r="S107" s="289">
        <v>0</v>
      </c>
      <c r="T107" s="258">
        <v>0</v>
      </c>
      <c r="U107" s="698"/>
      <c r="V107" s="458">
        <v>0</v>
      </c>
      <c r="W107" s="508">
        <f>V106*(F106/100)</f>
        <v>0</v>
      </c>
      <c r="X107" s="692"/>
      <c r="Y107" s="712">
        <f t="shared" ref="Y107" si="78">IFERROR(INT($Y$1/(F106/100)),"")</f>
        <v>112</v>
      </c>
      <c r="Z107" s="411"/>
      <c r="AA107" s="351"/>
      <c r="AB107" s="38"/>
    </row>
    <row r="108" spans="1:29" ht="12.75" hidden="1" customHeight="1">
      <c r="A108" s="252" t="s">
        <v>629</v>
      </c>
      <c r="B108" s="261"/>
      <c r="C108" s="336"/>
      <c r="D108" s="270"/>
      <c r="E108" s="261"/>
      <c r="F108" s="601">
        <v>83.85</v>
      </c>
      <c r="G108" s="348">
        <v>1.1000000000000001E-3</v>
      </c>
      <c r="H108" s="251">
        <v>83.9</v>
      </c>
      <c r="I108" s="238">
        <v>84.3</v>
      </c>
      <c r="J108" s="238">
        <v>83.85</v>
      </c>
      <c r="K108" s="275">
        <v>83.75</v>
      </c>
      <c r="L108" s="260">
        <v>393039</v>
      </c>
      <c r="M108" s="242">
        <v>468101</v>
      </c>
      <c r="N108" s="260">
        <v>11</v>
      </c>
      <c r="O108" s="302">
        <v>45363.654872685183</v>
      </c>
      <c r="P108" s="311">
        <v>107</v>
      </c>
      <c r="Q108" s="278">
        <v>0</v>
      </c>
      <c r="R108" s="288">
        <v>0</v>
      </c>
      <c r="S108" s="291">
        <v>0</v>
      </c>
      <c r="T108" s="257">
        <v>0</v>
      </c>
      <c r="U108" s="699"/>
      <c r="V108" s="328"/>
      <c r="W108" s="509">
        <f t="shared" ref="W108" si="79">(V108*X108)</f>
        <v>0</v>
      </c>
      <c r="X108" s="690"/>
      <c r="Y108" s="713">
        <f t="shared" ref="Y108" si="80">IF(D108&lt;&gt;0,($C109*(1-$V$1))-$D108,0)</f>
        <v>0</v>
      </c>
      <c r="Z108" s="334" t="str">
        <f>IFERROR(IF(C108&lt;&gt;"",$Y$1/(D106/100)*(C108/100),""),"")</f>
        <v/>
      </c>
      <c r="AA108" s="400" t="str">
        <f>IFERROR($AA$1/(D108/100)*(C106/100),"")</f>
        <v/>
      </c>
      <c r="AB108" s="38"/>
    </row>
    <row r="109" spans="1:29" ht="12.75" hidden="1" customHeight="1">
      <c r="A109" s="312" t="s">
        <v>630</v>
      </c>
      <c r="B109" s="249">
        <v>8880</v>
      </c>
      <c r="C109" s="248">
        <v>84.35</v>
      </c>
      <c r="D109" s="480">
        <v>84.8</v>
      </c>
      <c r="E109" s="481">
        <v>100000</v>
      </c>
      <c r="F109" s="250">
        <v>85</v>
      </c>
      <c r="G109" s="347">
        <v>5.8999999999999999E-3</v>
      </c>
      <c r="H109" s="246">
        <v>84</v>
      </c>
      <c r="I109" s="237">
        <v>86.15</v>
      </c>
      <c r="J109" s="237">
        <v>83.75</v>
      </c>
      <c r="K109" s="272">
        <v>84.5</v>
      </c>
      <c r="L109" s="244">
        <v>6033855</v>
      </c>
      <c r="M109" s="241">
        <v>7167357</v>
      </c>
      <c r="N109" s="244">
        <v>487</v>
      </c>
      <c r="O109" s="301">
        <v>45363.703530092593</v>
      </c>
      <c r="P109" s="310">
        <v>108</v>
      </c>
      <c r="Q109" s="277">
        <v>0</v>
      </c>
      <c r="R109" s="287">
        <v>0</v>
      </c>
      <c r="S109" s="289">
        <v>0</v>
      </c>
      <c r="T109" s="258">
        <v>0</v>
      </c>
      <c r="U109" s="698"/>
      <c r="V109" s="327">
        <v>0</v>
      </c>
      <c r="W109" s="510">
        <f>V108*(F108/100)</f>
        <v>0</v>
      </c>
      <c r="X109" s="692"/>
      <c r="Y109" s="714">
        <f t="shared" ref="Y109" si="81">IFERROR(INT($AA$1/(F108/100)),"")</f>
        <v>119</v>
      </c>
      <c r="Z109" s="333">
        <f>IFERROR(IF(C109&lt;&gt;"",$Y$1/(D107/100)*(C109/100),""),"")</f>
        <v>95.786943610761853</v>
      </c>
      <c r="AA109" s="402">
        <f>IFERROR($AA$1/(D109/100)*(C107/100),"")</f>
        <v>106969.33962264152</v>
      </c>
      <c r="AB109" s="38"/>
    </row>
    <row r="110" spans="1:29" ht="12.75" customHeight="1">
      <c r="A110" s="416" t="s">
        <v>631</v>
      </c>
      <c r="B110" s="261">
        <v>500</v>
      </c>
      <c r="C110" s="336">
        <v>87.27</v>
      </c>
      <c r="D110" s="270">
        <v>89</v>
      </c>
      <c r="E110" s="261">
        <v>49487</v>
      </c>
      <c r="F110" s="601">
        <v>88</v>
      </c>
      <c r="G110" s="348">
        <v>1.1299999999999999E-2</v>
      </c>
      <c r="H110" s="251">
        <v>89</v>
      </c>
      <c r="I110" s="238">
        <v>89</v>
      </c>
      <c r="J110" s="238">
        <v>87.1</v>
      </c>
      <c r="K110" s="275">
        <v>87.01</v>
      </c>
      <c r="L110" s="260">
        <v>24226</v>
      </c>
      <c r="M110" s="242">
        <v>27588</v>
      </c>
      <c r="N110" s="260">
        <v>28</v>
      </c>
      <c r="O110" s="302">
        <v>45363.681527777779</v>
      </c>
      <c r="P110" s="311">
        <v>109</v>
      </c>
      <c r="Q110" s="278">
        <v>0</v>
      </c>
      <c r="R110" s="288">
        <v>0</v>
      </c>
      <c r="S110" s="291">
        <v>0</v>
      </c>
      <c r="T110" s="257">
        <v>0</v>
      </c>
      <c r="U110" s="699"/>
      <c r="V110" s="456">
        <v>0</v>
      </c>
      <c r="W110" s="511">
        <f t="shared" ref="W110" si="82">(V110*X110)</f>
        <v>0</v>
      </c>
      <c r="X110" s="693"/>
      <c r="Y110" s="715">
        <f t="shared" ref="Y110" si="83">IF(D110&lt;&gt;0,($C111*(1-$V$1))-$D110,0)</f>
        <v>-1.2999999999999972</v>
      </c>
      <c r="Z110" s="332">
        <f>IFERROR(IF(C110&lt;&gt;"",$Y$1/(D106/100)*(C110/100),""),"")</f>
        <v>98.647467795244594</v>
      </c>
      <c r="AA110" s="401">
        <f>IFERROR($Z$1/(D110/100)*(C106/100),"")</f>
        <v>102550.5617977528</v>
      </c>
      <c r="AB110" s="38"/>
    </row>
    <row r="111" spans="1:29" ht="12.75" customHeight="1">
      <c r="A111" s="449" t="s">
        <v>632</v>
      </c>
      <c r="B111" s="450">
        <v>12631</v>
      </c>
      <c r="C111" s="434">
        <v>87.7</v>
      </c>
      <c r="D111" s="479">
        <v>88.5</v>
      </c>
      <c r="E111" s="444">
        <v>100974</v>
      </c>
      <c r="F111" s="600">
        <v>88.5</v>
      </c>
      <c r="G111" s="451">
        <v>5.6000000000000008E-3</v>
      </c>
      <c r="H111" s="437">
        <v>88</v>
      </c>
      <c r="I111" s="438">
        <v>89.49</v>
      </c>
      <c r="J111" s="438">
        <v>86</v>
      </c>
      <c r="K111" s="454">
        <v>88</v>
      </c>
      <c r="L111" s="428">
        <v>604870</v>
      </c>
      <c r="M111" s="440">
        <v>689074</v>
      </c>
      <c r="N111" s="428">
        <v>139</v>
      </c>
      <c r="O111" s="429">
        <v>45363.706030092595</v>
      </c>
      <c r="P111" s="310">
        <v>110</v>
      </c>
      <c r="Q111" s="430">
        <v>0</v>
      </c>
      <c r="R111" s="452">
        <v>0</v>
      </c>
      <c r="S111" s="432">
        <v>0</v>
      </c>
      <c r="T111" s="443">
        <v>0</v>
      </c>
      <c r="U111" s="698"/>
      <c r="V111" s="457">
        <v>0</v>
      </c>
      <c r="W111" s="514">
        <f>V110*(F110/100)</f>
        <v>0</v>
      </c>
      <c r="X111" s="691"/>
      <c r="Y111" s="716">
        <f t="shared" ref="Y111" si="84">IFERROR(INT($Z$1/(F110/100)),"")</f>
        <v>113</v>
      </c>
      <c r="Z111" s="446">
        <f>IFERROR(IF(C111&lt;&gt;"",$Y$1/(D107/100)*(C111/100),""),"")</f>
        <v>99.591167215931421</v>
      </c>
      <c r="AA111" s="453">
        <f>IFERROR($Z$1/(D111/100)*(C107/100),"")</f>
        <v>102497.17514124293</v>
      </c>
      <c r="AB111" s="38"/>
    </row>
    <row r="112" spans="1:29" ht="12.75" customHeight="1">
      <c r="A112" s="285" t="s">
        <v>547</v>
      </c>
      <c r="B112" s="261">
        <v>120</v>
      </c>
      <c r="C112" s="336">
        <v>42920</v>
      </c>
      <c r="D112" s="270">
        <v>43090</v>
      </c>
      <c r="E112" s="261">
        <v>5000</v>
      </c>
      <c r="F112" s="292">
        <v>42935</v>
      </c>
      <c r="G112" s="345">
        <v>7.2900000000000006E-2</v>
      </c>
      <c r="H112" s="247">
        <v>41650</v>
      </c>
      <c r="I112" s="239">
        <v>43145</v>
      </c>
      <c r="J112" s="239">
        <v>41100</v>
      </c>
      <c r="K112" s="274">
        <v>40015</v>
      </c>
      <c r="L112" s="266">
        <v>389284698</v>
      </c>
      <c r="M112" s="243">
        <v>915963</v>
      </c>
      <c r="N112" s="266">
        <v>1457</v>
      </c>
      <c r="O112" s="300">
        <v>45363.683796296296</v>
      </c>
      <c r="P112" s="311">
        <v>111</v>
      </c>
      <c r="Q112" s="279">
        <v>0</v>
      </c>
      <c r="R112" s="286">
        <v>0</v>
      </c>
      <c r="S112" s="290">
        <v>0</v>
      </c>
      <c r="T112" s="259">
        <v>0</v>
      </c>
      <c r="U112" s="699"/>
      <c r="V112" s="459"/>
      <c r="W112" s="513">
        <f t="shared" ref="W112" si="85">(V112*X112)</f>
        <v>0</v>
      </c>
      <c r="X112" s="690"/>
      <c r="Y112" s="504">
        <f t="shared" ref="Y112" si="86">IF(D112&lt;&gt;0,($C113*(1-$V$1))-$D112,0)</f>
        <v>110</v>
      </c>
      <c r="Z112" s="478"/>
      <c r="AA112" s="350"/>
      <c r="AB112" s="38"/>
    </row>
    <row r="113" spans="1:28" ht="12.75" customHeight="1">
      <c r="A113" s="284" t="s">
        <v>183</v>
      </c>
      <c r="B113" s="249">
        <v>1700</v>
      </c>
      <c r="C113" s="248">
        <v>43200</v>
      </c>
      <c r="D113" s="480">
        <v>43300</v>
      </c>
      <c r="E113" s="481">
        <v>3500</v>
      </c>
      <c r="F113" s="250">
        <v>43300</v>
      </c>
      <c r="G113" s="347">
        <v>6.5099999999999991E-2</v>
      </c>
      <c r="H113" s="246">
        <v>41295</v>
      </c>
      <c r="I113" s="237">
        <v>43490</v>
      </c>
      <c r="J113" s="237">
        <v>41295</v>
      </c>
      <c r="K113" s="272">
        <v>40650</v>
      </c>
      <c r="L113" s="244">
        <v>4264436729</v>
      </c>
      <c r="M113" s="241">
        <v>9903910</v>
      </c>
      <c r="N113" s="244">
        <v>2435</v>
      </c>
      <c r="O113" s="301">
        <v>45363.708344907405</v>
      </c>
      <c r="P113" s="310">
        <v>112</v>
      </c>
      <c r="Q113" s="277">
        <v>0</v>
      </c>
      <c r="R113" s="287">
        <v>0</v>
      </c>
      <c r="S113" s="289">
        <v>0</v>
      </c>
      <c r="T113" s="258">
        <v>0</v>
      </c>
      <c r="U113" s="698"/>
      <c r="V113" s="458">
        <v>0</v>
      </c>
      <c r="W113" s="508">
        <f>V112*(F112/100)</f>
        <v>0</v>
      </c>
      <c r="X113" s="692"/>
      <c r="Y113" s="712">
        <f t="shared" ref="Y113" si="87">IFERROR(INT($Y$1/(F112/100)),"")</f>
        <v>240</v>
      </c>
      <c r="Z113" s="411"/>
      <c r="AA113" s="351"/>
      <c r="AB113" s="38"/>
    </row>
    <row r="114" spans="1:28" ht="12.75" hidden="1" customHeight="1">
      <c r="A114" s="252" t="s">
        <v>548</v>
      </c>
      <c r="B114" s="261"/>
      <c r="C114" s="336"/>
      <c r="D114" s="270"/>
      <c r="E114" s="261"/>
      <c r="F114" s="601"/>
      <c r="G114" s="348"/>
      <c r="H114" s="251"/>
      <c r="I114" s="238"/>
      <c r="J114" s="238"/>
      <c r="K114" s="275">
        <v>38</v>
      </c>
      <c r="L114" s="260"/>
      <c r="M114" s="242"/>
      <c r="N114" s="260"/>
      <c r="O114" s="302"/>
      <c r="P114" s="311">
        <v>113</v>
      </c>
      <c r="Q114" s="278">
        <v>0</v>
      </c>
      <c r="R114" s="288">
        <v>0</v>
      </c>
      <c r="S114" s="291">
        <v>0</v>
      </c>
      <c r="T114" s="257">
        <v>0</v>
      </c>
      <c r="U114" s="699"/>
      <c r="V114" s="328"/>
      <c r="W114" s="509">
        <f t="shared" ref="W114" si="88">(V114*X114)</f>
        <v>0</v>
      </c>
      <c r="X114" s="690"/>
      <c r="Y114" s="713">
        <f t="shared" ref="Y114" si="89">IF(D114&lt;&gt;0,($C115*(1-$V$1))-$D114,0)</f>
        <v>0</v>
      </c>
      <c r="Z114" s="334" t="str">
        <f>IFERROR(IF(C114&lt;&gt;"",$Y$1/(D112/100)*(C114/100),""),"")</f>
        <v/>
      </c>
      <c r="AA114" s="400" t="str">
        <f>IFERROR($AA$1/(D114/100)*(C112/100),"")</f>
        <v/>
      </c>
      <c r="AB114" s="38"/>
    </row>
    <row r="115" spans="1:28" ht="12.75" hidden="1" customHeight="1">
      <c r="A115" s="312" t="s">
        <v>230</v>
      </c>
      <c r="B115" s="249"/>
      <c r="C115" s="248"/>
      <c r="D115" s="480"/>
      <c r="E115" s="481"/>
      <c r="F115" s="250"/>
      <c r="G115" s="347"/>
      <c r="H115" s="246"/>
      <c r="I115" s="237"/>
      <c r="J115" s="237"/>
      <c r="K115" s="272">
        <v>35.875</v>
      </c>
      <c r="L115" s="244"/>
      <c r="M115" s="241"/>
      <c r="N115" s="244"/>
      <c r="O115" s="301"/>
      <c r="P115" s="310">
        <v>114</v>
      </c>
      <c r="Q115" s="277">
        <v>0</v>
      </c>
      <c r="R115" s="287">
        <v>0</v>
      </c>
      <c r="S115" s="289">
        <v>0</v>
      </c>
      <c r="T115" s="258">
        <v>0</v>
      </c>
      <c r="U115" s="698"/>
      <c r="V115" s="327">
        <v>0</v>
      </c>
      <c r="W115" s="510">
        <f>V114*(F114/100)</f>
        <v>0</v>
      </c>
      <c r="X115" s="692"/>
      <c r="Y115" s="714" t="str">
        <f t="shared" ref="Y115" si="90">IFERROR(INT($AA$1/(F114/100)),"")</f>
        <v/>
      </c>
      <c r="Z115" s="333" t="str">
        <f>IFERROR(IF(C115&lt;&gt;"",$Y$1/(D113/100)*(C115/100),""),"")</f>
        <v/>
      </c>
      <c r="AA115" s="402" t="str">
        <f>IFERROR($AA$1/(D115/100)*(C113/100),"")</f>
        <v/>
      </c>
      <c r="AB115" s="38"/>
    </row>
    <row r="116" spans="1:28" ht="12.75" customHeight="1">
      <c r="A116" s="416" t="s">
        <v>549</v>
      </c>
      <c r="B116" s="261">
        <v>1352</v>
      </c>
      <c r="C116" s="336">
        <v>41.298000000000002</v>
      </c>
      <c r="D116" s="270">
        <v>41.5</v>
      </c>
      <c r="E116" s="261">
        <v>72618</v>
      </c>
      <c r="F116" s="601">
        <v>41.499000000000002</v>
      </c>
      <c r="G116" s="348">
        <v>1.29E-2</v>
      </c>
      <c r="H116" s="251">
        <v>41.5</v>
      </c>
      <c r="I116" s="238">
        <v>42.49</v>
      </c>
      <c r="J116" s="238">
        <v>40.551000000000002</v>
      </c>
      <c r="K116" s="275">
        <v>40.97</v>
      </c>
      <c r="L116" s="260">
        <v>160380</v>
      </c>
      <c r="M116" s="242">
        <v>387991</v>
      </c>
      <c r="N116" s="260">
        <v>353</v>
      </c>
      <c r="O116" s="302">
        <v>45363.683796296296</v>
      </c>
      <c r="P116" s="311">
        <v>115</v>
      </c>
      <c r="Q116" s="278">
        <v>0</v>
      </c>
      <c r="R116" s="288">
        <v>0</v>
      </c>
      <c r="S116" s="291">
        <v>0</v>
      </c>
      <c r="T116" s="257">
        <v>0</v>
      </c>
      <c r="U116" s="699"/>
      <c r="V116" s="456">
        <v>0</v>
      </c>
      <c r="W116" s="511">
        <f t="shared" ref="W116" si="91">(V116*X116)</f>
        <v>0</v>
      </c>
      <c r="X116" s="693"/>
      <c r="Y116" s="715">
        <f t="shared" ref="Y116" si="92">IF(D116&lt;&gt;0,($C117*(1-$V$1))-$D116,0)</f>
        <v>-0.14999999999999858</v>
      </c>
      <c r="Z116" s="332">
        <f>IFERROR(IF(C116&lt;&gt;"",$Y$1/(D112/100)*(C116/100),""),"")</f>
        <v>99.019262495254182</v>
      </c>
      <c r="AA116" s="401">
        <f>IFERROR($Z$1/(D116/100)*(C112/100),"")</f>
        <v>103421.68674698795</v>
      </c>
      <c r="AB116" s="38"/>
    </row>
    <row r="117" spans="1:28" ht="12.75" customHeight="1">
      <c r="A117" s="449" t="s">
        <v>231</v>
      </c>
      <c r="B117" s="450">
        <v>2212</v>
      </c>
      <c r="C117" s="434">
        <v>41.35</v>
      </c>
      <c r="D117" s="479">
        <v>41.95</v>
      </c>
      <c r="E117" s="444">
        <v>2000</v>
      </c>
      <c r="F117" s="600">
        <v>42</v>
      </c>
      <c r="G117" s="451">
        <v>2.4300000000000002E-2</v>
      </c>
      <c r="H117" s="437">
        <v>42.02</v>
      </c>
      <c r="I117" s="438">
        <v>42.02</v>
      </c>
      <c r="J117" s="438">
        <v>40.61</v>
      </c>
      <c r="K117" s="454">
        <v>41</v>
      </c>
      <c r="L117" s="428">
        <v>517485</v>
      </c>
      <c r="M117" s="440">
        <v>1248779</v>
      </c>
      <c r="N117" s="428">
        <v>470</v>
      </c>
      <c r="O117" s="429">
        <v>45363.705150462964</v>
      </c>
      <c r="P117" s="310">
        <v>116</v>
      </c>
      <c r="Q117" s="430">
        <v>0</v>
      </c>
      <c r="R117" s="452">
        <v>0</v>
      </c>
      <c r="S117" s="432">
        <v>0</v>
      </c>
      <c r="T117" s="443">
        <v>0</v>
      </c>
      <c r="U117" s="698"/>
      <c r="V117" s="457">
        <v>0</v>
      </c>
      <c r="W117" s="514">
        <f>V116*(F116/100)</f>
        <v>0</v>
      </c>
      <c r="X117" s="691"/>
      <c r="Y117" s="716">
        <f t="shared" ref="Y117" si="93">IFERROR(INT($Z$1/(F116/100)),"")</f>
        <v>240</v>
      </c>
      <c r="Z117" s="446">
        <f>IFERROR(IF(C117&lt;&gt;"",$Y$1/(D113/100)*(C117/100),""),"")</f>
        <v>98.663105027684665</v>
      </c>
      <c r="AA117" s="453">
        <f>IFERROR($Z$1/(D117/100)*(C113/100),"")</f>
        <v>102979.73778307508</v>
      </c>
      <c r="AB117" s="38"/>
    </row>
    <row r="118" spans="1:28" ht="12.75" customHeight="1">
      <c r="A118" s="285" t="s">
        <v>541</v>
      </c>
      <c r="B118" s="261">
        <v>1052</v>
      </c>
      <c r="C118" s="336">
        <v>50320</v>
      </c>
      <c r="D118" s="270">
        <v>50450</v>
      </c>
      <c r="E118" s="261">
        <v>1108</v>
      </c>
      <c r="F118" s="292">
        <v>50320</v>
      </c>
      <c r="G118" s="345">
        <v>6.3799999999999996E-2</v>
      </c>
      <c r="H118" s="247">
        <v>48200</v>
      </c>
      <c r="I118" s="239">
        <v>50750</v>
      </c>
      <c r="J118" s="239">
        <v>47315</v>
      </c>
      <c r="K118" s="274">
        <v>47300</v>
      </c>
      <c r="L118" s="266">
        <v>113274121</v>
      </c>
      <c r="M118" s="243">
        <v>229842</v>
      </c>
      <c r="N118" s="266">
        <v>424</v>
      </c>
      <c r="O118" s="300">
        <v>45363.683796296296</v>
      </c>
      <c r="P118" s="311">
        <v>117</v>
      </c>
      <c r="Q118" s="279">
        <v>0</v>
      </c>
      <c r="R118" s="286">
        <v>0</v>
      </c>
      <c r="S118" s="290">
        <v>0</v>
      </c>
      <c r="T118" s="259">
        <v>0</v>
      </c>
      <c r="U118" s="699"/>
      <c r="V118" s="459"/>
      <c r="W118" s="513">
        <f t="shared" ref="W118" si="94">(V118*X118)</f>
        <v>0</v>
      </c>
      <c r="X118" s="690"/>
      <c r="Y118" s="504">
        <f t="shared" ref="Y118" si="95">IF(D118&lt;&gt;0,($C119*(1-$V$1))-$D118,0)</f>
        <v>80</v>
      </c>
      <c r="Z118" s="478"/>
      <c r="AA118" s="350"/>
      <c r="AB118" s="38"/>
    </row>
    <row r="119" spans="1:28" ht="12.75" customHeight="1">
      <c r="A119" s="284" t="s">
        <v>186</v>
      </c>
      <c r="B119" s="249">
        <v>3038</v>
      </c>
      <c r="C119" s="248">
        <v>50530</v>
      </c>
      <c r="D119" s="480">
        <v>50600</v>
      </c>
      <c r="E119" s="481">
        <v>982</v>
      </c>
      <c r="F119" s="250">
        <v>50600</v>
      </c>
      <c r="G119" s="347">
        <v>6.9699999999999998E-2</v>
      </c>
      <c r="H119" s="246">
        <v>47680</v>
      </c>
      <c r="I119" s="237">
        <v>50990</v>
      </c>
      <c r="J119" s="237">
        <v>47475</v>
      </c>
      <c r="K119" s="272">
        <v>47300</v>
      </c>
      <c r="L119" s="244">
        <v>557458132</v>
      </c>
      <c r="M119" s="241">
        <v>1121615</v>
      </c>
      <c r="N119" s="244">
        <v>1036</v>
      </c>
      <c r="O119" s="301">
        <v>45363.708622685182</v>
      </c>
      <c r="P119" s="310">
        <v>118</v>
      </c>
      <c r="Q119" s="277">
        <v>0</v>
      </c>
      <c r="R119" s="287">
        <v>0</v>
      </c>
      <c r="S119" s="289">
        <v>0</v>
      </c>
      <c r="T119" s="258">
        <v>0</v>
      </c>
      <c r="U119" s="698"/>
      <c r="V119" s="458">
        <v>0</v>
      </c>
      <c r="W119" s="508">
        <f>V118*(F118/100)</f>
        <v>0</v>
      </c>
      <c r="X119" s="692"/>
      <c r="Y119" s="712">
        <f t="shared" ref="Y119" si="96">IFERROR(INT($Y$1/(F118/100)),"")</f>
        <v>205</v>
      </c>
      <c r="Z119" s="411"/>
      <c r="AA119" s="351"/>
      <c r="AB119" s="38"/>
    </row>
    <row r="120" spans="1:28" ht="12.75" hidden="1" customHeight="1">
      <c r="A120" s="252" t="s">
        <v>542</v>
      </c>
      <c r="B120" s="261"/>
      <c r="C120" s="336"/>
      <c r="D120" s="270"/>
      <c r="E120" s="261"/>
      <c r="F120" s="601"/>
      <c r="G120" s="348"/>
      <c r="H120" s="251"/>
      <c r="I120" s="238"/>
      <c r="J120" s="238"/>
      <c r="K120" s="275"/>
      <c r="L120" s="260"/>
      <c r="M120" s="242"/>
      <c r="N120" s="260"/>
      <c r="O120" s="302"/>
      <c r="P120" s="311">
        <v>119</v>
      </c>
      <c r="Q120" s="278">
        <v>0</v>
      </c>
      <c r="R120" s="288">
        <v>0</v>
      </c>
      <c r="S120" s="291">
        <v>0</v>
      </c>
      <c r="T120" s="257">
        <v>0</v>
      </c>
      <c r="U120" s="699"/>
      <c r="V120" s="328"/>
      <c r="W120" s="509">
        <f t="shared" ref="W120" si="97">(V120*X120)</f>
        <v>0</v>
      </c>
      <c r="X120" s="690"/>
      <c r="Y120" s="713">
        <f t="shared" ref="Y120" si="98">IF(D120&lt;&gt;0,($C121*(1-$V$1))-$D120,0)</f>
        <v>0</v>
      </c>
      <c r="Z120" s="334" t="str">
        <f>IFERROR(IF(C120&lt;&gt;"",$Y$1/(D118/100)*(C120/100),""),"")</f>
        <v/>
      </c>
      <c r="AA120" s="400" t="str">
        <f>IFERROR($AA$1/(D120/100)*(C118/100),"")</f>
        <v/>
      </c>
      <c r="AB120" s="38"/>
    </row>
    <row r="121" spans="1:28" ht="12.75" hidden="1" customHeight="1">
      <c r="A121" s="312" t="s">
        <v>238</v>
      </c>
      <c r="B121" s="249"/>
      <c r="C121" s="248"/>
      <c r="D121" s="480"/>
      <c r="E121" s="481"/>
      <c r="F121" s="250"/>
      <c r="G121" s="347"/>
      <c r="H121" s="246"/>
      <c r="I121" s="237"/>
      <c r="J121" s="237"/>
      <c r="K121" s="272">
        <v>46.3</v>
      </c>
      <c r="L121" s="244"/>
      <c r="M121" s="241"/>
      <c r="N121" s="244"/>
      <c r="O121" s="301"/>
      <c r="P121" s="310">
        <v>120</v>
      </c>
      <c r="Q121" s="277">
        <v>0</v>
      </c>
      <c r="R121" s="287">
        <v>0</v>
      </c>
      <c r="S121" s="289">
        <v>0</v>
      </c>
      <c r="T121" s="258">
        <v>0</v>
      </c>
      <c r="U121" s="698"/>
      <c r="V121" s="327">
        <v>0</v>
      </c>
      <c r="W121" s="510">
        <f>V120*(F120/100)</f>
        <v>0</v>
      </c>
      <c r="X121" s="692"/>
      <c r="Y121" s="714" t="str">
        <f t="shared" ref="Y121" si="99">IFERROR(INT($AA$1/(F120/100)),"")</f>
        <v/>
      </c>
      <c r="Z121" s="333" t="str">
        <f>IFERROR(IF(C121&lt;&gt;"",$Y$1/(D119/100)*(C121/100),""),"")</f>
        <v/>
      </c>
      <c r="AA121" s="402" t="str">
        <f>IFERROR($AA$1/(D121/100)*(C119/100),"")</f>
        <v/>
      </c>
      <c r="AB121" s="38"/>
    </row>
    <row r="122" spans="1:28" ht="12.75" customHeight="1">
      <c r="A122" s="416" t="s">
        <v>543</v>
      </c>
      <c r="B122" s="261">
        <v>50</v>
      </c>
      <c r="C122" s="336">
        <v>48.2</v>
      </c>
      <c r="D122" s="270">
        <v>48.7</v>
      </c>
      <c r="E122" s="261">
        <v>98</v>
      </c>
      <c r="F122" s="601">
        <v>48.6</v>
      </c>
      <c r="G122" s="348">
        <v>1.2500000000000001E-2</v>
      </c>
      <c r="H122" s="251">
        <v>48.164999999999999</v>
      </c>
      <c r="I122" s="238">
        <v>48.6</v>
      </c>
      <c r="J122" s="238">
        <v>47.45</v>
      </c>
      <c r="K122" s="275">
        <v>48</v>
      </c>
      <c r="L122" s="260">
        <v>43040</v>
      </c>
      <c r="M122" s="242">
        <v>89976</v>
      </c>
      <c r="N122" s="260">
        <v>187</v>
      </c>
      <c r="O122" s="302">
        <v>45363.683796296296</v>
      </c>
      <c r="P122" s="311">
        <v>121</v>
      </c>
      <c r="Q122" s="278">
        <v>0</v>
      </c>
      <c r="R122" s="288">
        <v>0</v>
      </c>
      <c r="S122" s="291">
        <v>0</v>
      </c>
      <c r="T122" s="257">
        <v>0</v>
      </c>
      <c r="U122" s="699"/>
      <c r="V122" s="456"/>
      <c r="W122" s="511">
        <f t="shared" ref="W122" si="100">(V122*X122)</f>
        <v>0</v>
      </c>
      <c r="X122" s="693"/>
      <c r="Y122" s="715">
        <f t="shared" ref="Y122" si="101">IF(D122&lt;&gt;0,($C123*(1-$V$1))-$D122,0)</f>
        <v>-5.0000000000004263E-2</v>
      </c>
      <c r="Z122" s="332">
        <f>IFERROR(IF(C122&lt;&gt;"",$Y$1/(D118/100)*(C122/100),""),"")</f>
        <v>98.708153812341664</v>
      </c>
      <c r="AA122" s="401">
        <f>IFERROR($Z$1/(D122/100)*(C118/100),"")</f>
        <v>103326.48870636549</v>
      </c>
      <c r="AB122" s="38"/>
    </row>
    <row r="123" spans="1:28" ht="12.75" customHeight="1">
      <c r="A123" s="449" t="s">
        <v>239</v>
      </c>
      <c r="B123" s="450">
        <v>3964</v>
      </c>
      <c r="C123" s="434">
        <v>48.65</v>
      </c>
      <c r="D123" s="479">
        <v>49</v>
      </c>
      <c r="E123" s="444">
        <v>1016</v>
      </c>
      <c r="F123" s="600">
        <v>48.65</v>
      </c>
      <c r="G123" s="451">
        <v>1.4999999999999999E-2</v>
      </c>
      <c r="H123" s="437">
        <v>47.95</v>
      </c>
      <c r="I123" s="438">
        <v>49</v>
      </c>
      <c r="J123" s="438">
        <v>47.500999999999998</v>
      </c>
      <c r="K123" s="454">
        <v>47.93</v>
      </c>
      <c r="L123" s="428">
        <v>131552</v>
      </c>
      <c r="M123" s="440">
        <v>273381</v>
      </c>
      <c r="N123" s="428">
        <v>342</v>
      </c>
      <c r="O123" s="429">
        <v>45363.708379629628</v>
      </c>
      <c r="P123" s="310">
        <v>122</v>
      </c>
      <c r="Q123" s="430">
        <v>0</v>
      </c>
      <c r="R123" s="452">
        <v>0</v>
      </c>
      <c r="S123" s="432">
        <v>0</v>
      </c>
      <c r="T123" s="443">
        <v>0</v>
      </c>
      <c r="U123" s="698"/>
      <c r="V123" s="457">
        <v>0</v>
      </c>
      <c r="W123" s="515">
        <f>V122*(F122/100)</f>
        <v>0</v>
      </c>
      <c r="X123" s="691"/>
      <c r="Y123" s="716">
        <f t="shared" ref="Y123" si="102">IFERROR(INT($Z$1/(F122/100)),"")</f>
        <v>205</v>
      </c>
      <c r="Z123" s="446">
        <f>IFERROR(IF(C123&lt;&gt;"",$Y$1/(D119/100)*(C123/100),""),"")</f>
        <v>99.334357996923956</v>
      </c>
      <c r="AA123" s="453">
        <f>IFERROR($Z$1/(D123/100)*(C119/100),"")</f>
        <v>103122.44897959185</v>
      </c>
      <c r="AB123" s="38"/>
    </row>
    <row r="124" spans="1:28" ht="12.75" customHeight="1">
      <c r="A124" s="285" t="s">
        <v>544</v>
      </c>
      <c r="B124" s="261">
        <v>40913</v>
      </c>
      <c r="C124" s="336">
        <v>40850</v>
      </c>
      <c r="D124" s="270">
        <v>41200</v>
      </c>
      <c r="E124" s="261">
        <v>3987</v>
      </c>
      <c r="F124" s="292">
        <v>41200</v>
      </c>
      <c r="G124" s="345">
        <v>7.5899999999999995E-2</v>
      </c>
      <c r="H124" s="247">
        <v>39550</v>
      </c>
      <c r="I124" s="239">
        <v>41745</v>
      </c>
      <c r="J124" s="239">
        <v>39075</v>
      </c>
      <c r="K124" s="274">
        <v>38290</v>
      </c>
      <c r="L124" s="266">
        <v>1887642250</v>
      </c>
      <c r="M124" s="243">
        <v>4610731</v>
      </c>
      <c r="N124" s="266">
        <v>721</v>
      </c>
      <c r="O124" s="300">
        <v>45363.684803240743</v>
      </c>
      <c r="P124" s="311">
        <v>123</v>
      </c>
      <c r="Q124" s="279">
        <v>0</v>
      </c>
      <c r="R124" s="286">
        <v>0</v>
      </c>
      <c r="S124" s="290">
        <v>0</v>
      </c>
      <c r="T124" s="259">
        <v>0</v>
      </c>
      <c r="U124" s="699"/>
      <c r="V124" s="459"/>
      <c r="W124" s="513">
        <f t="shared" ref="W124" si="103">(V124*X124)</f>
        <v>0</v>
      </c>
      <c r="X124" s="690"/>
      <c r="Y124" s="504">
        <f t="shared" ref="Y124" si="104">IF(D124&lt;&gt;0,($C125*(1-$V$1))-$D124,0)</f>
        <v>-440</v>
      </c>
      <c r="Z124" s="478"/>
      <c r="AA124" s="350"/>
      <c r="AB124" s="38"/>
    </row>
    <row r="125" spans="1:28" ht="12.75" customHeight="1">
      <c r="A125" s="284" t="s">
        <v>184</v>
      </c>
      <c r="B125" s="249">
        <v>200</v>
      </c>
      <c r="C125" s="248">
        <v>40760</v>
      </c>
      <c r="D125" s="480">
        <v>40950</v>
      </c>
      <c r="E125" s="481">
        <v>498</v>
      </c>
      <c r="F125" s="250">
        <v>40950</v>
      </c>
      <c r="G125" s="347">
        <v>6.08E-2</v>
      </c>
      <c r="H125" s="246">
        <v>38500</v>
      </c>
      <c r="I125" s="237">
        <v>42165</v>
      </c>
      <c r="J125" s="237">
        <v>38500</v>
      </c>
      <c r="K125" s="272">
        <v>38600</v>
      </c>
      <c r="L125" s="244">
        <v>2289002623</v>
      </c>
      <c r="M125" s="241">
        <v>5603850</v>
      </c>
      <c r="N125" s="244">
        <v>1392</v>
      </c>
      <c r="O125" s="301">
        <v>45363.708587962959</v>
      </c>
      <c r="P125" s="310">
        <v>124</v>
      </c>
      <c r="Q125" s="277">
        <v>0</v>
      </c>
      <c r="R125" s="287">
        <v>0</v>
      </c>
      <c r="S125" s="289">
        <v>0</v>
      </c>
      <c r="T125" s="258">
        <v>0</v>
      </c>
      <c r="U125" s="698"/>
      <c r="V125" s="458">
        <v>0</v>
      </c>
      <c r="W125" s="508">
        <f>V124*(F124/100)</f>
        <v>0</v>
      </c>
      <c r="X125" s="692"/>
      <c r="Y125" s="712">
        <f t="shared" ref="Y125" si="105">IFERROR(INT($Y$1/(F124/100)),"")</f>
        <v>250</v>
      </c>
      <c r="Z125" s="411"/>
      <c r="AA125" s="351"/>
      <c r="AB125" s="38"/>
    </row>
    <row r="126" spans="1:28" ht="12.75" hidden="1" customHeight="1">
      <c r="A126" s="252" t="s">
        <v>545</v>
      </c>
      <c r="B126" s="261"/>
      <c r="C126" s="336"/>
      <c r="D126" s="270"/>
      <c r="E126" s="261"/>
      <c r="F126" s="601"/>
      <c r="G126" s="348"/>
      <c r="H126" s="251"/>
      <c r="I126" s="238"/>
      <c r="J126" s="238"/>
      <c r="K126" s="275">
        <v>36</v>
      </c>
      <c r="L126" s="260"/>
      <c r="M126" s="242"/>
      <c r="N126" s="260"/>
      <c r="O126" s="302"/>
      <c r="P126" s="311">
        <v>125</v>
      </c>
      <c r="Q126" s="278">
        <v>0</v>
      </c>
      <c r="R126" s="288">
        <v>0</v>
      </c>
      <c r="S126" s="291">
        <v>0</v>
      </c>
      <c r="T126" s="257">
        <v>0</v>
      </c>
      <c r="U126" s="699"/>
      <c r="V126" s="328"/>
      <c r="W126" s="509">
        <f t="shared" ref="W126" si="106">(V126*X126)</f>
        <v>0</v>
      </c>
      <c r="X126" s="690"/>
      <c r="Y126" s="713">
        <f t="shared" ref="Y126" si="107">IF(D126&lt;&gt;0,($C127*(1-$V$1))-$D126,0)</f>
        <v>0</v>
      </c>
      <c r="Z126" s="334" t="str">
        <f>IFERROR(IF(C126&lt;&gt;"",$Y$1/(D124/100)*(C126/100),""),"")</f>
        <v/>
      </c>
      <c r="AA126" s="400" t="str">
        <f>IFERROR($AA$1/(D126/100)*(C124/100),"")</f>
        <v/>
      </c>
      <c r="AB126" s="38"/>
    </row>
    <row r="127" spans="1:28" ht="12.75" hidden="1" customHeight="1">
      <c r="A127" s="312" t="s">
        <v>240</v>
      </c>
      <c r="B127" s="249"/>
      <c r="C127" s="248"/>
      <c r="D127" s="480"/>
      <c r="E127" s="481"/>
      <c r="F127" s="250"/>
      <c r="G127" s="347"/>
      <c r="H127" s="246"/>
      <c r="I127" s="237"/>
      <c r="J127" s="237"/>
      <c r="K127" s="272">
        <v>32.188000000000002</v>
      </c>
      <c r="L127" s="244"/>
      <c r="M127" s="241"/>
      <c r="N127" s="244"/>
      <c r="O127" s="301"/>
      <c r="P127" s="310">
        <v>126</v>
      </c>
      <c r="Q127" s="277">
        <v>0</v>
      </c>
      <c r="R127" s="287">
        <v>0</v>
      </c>
      <c r="S127" s="289">
        <v>0</v>
      </c>
      <c r="T127" s="258">
        <v>0</v>
      </c>
      <c r="U127" s="698"/>
      <c r="V127" s="327">
        <v>0</v>
      </c>
      <c r="W127" s="510">
        <f>V126*(F126/100)</f>
        <v>0</v>
      </c>
      <c r="X127" s="692"/>
      <c r="Y127" s="714" t="str">
        <f t="shared" ref="Y127" si="108">IFERROR(INT($AA$1/(F126/100)),"")</f>
        <v/>
      </c>
      <c r="Z127" s="333" t="str">
        <f>IFERROR(IF(C127&lt;&gt;"",$Y$1/(D125/100)*(C127/100),""),"")</f>
        <v/>
      </c>
      <c r="AA127" s="402" t="str">
        <f>IFERROR($AA$1/(D127/100)*(C125/100),"")</f>
        <v/>
      </c>
      <c r="AB127" s="38"/>
    </row>
    <row r="128" spans="1:28" ht="12.75" customHeight="1">
      <c r="A128" s="416" t="s">
        <v>546</v>
      </c>
      <c r="B128" s="261">
        <v>379</v>
      </c>
      <c r="C128" s="336">
        <v>39.299999999999997</v>
      </c>
      <c r="D128" s="270">
        <v>39.85</v>
      </c>
      <c r="E128" s="261">
        <v>524</v>
      </c>
      <c r="F128" s="601">
        <v>39.290999999999997</v>
      </c>
      <c r="G128" s="348">
        <v>4.3E-3</v>
      </c>
      <c r="H128" s="251">
        <v>39.200000000000003</v>
      </c>
      <c r="I128" s="238">
        <v>39.9</v>
      </c>
      <c r="J128" s="238">
        <v>38.9</v>
      </c>
      <c r="K128" s="275">
        <v>39.119999999999997</v>
      </c>
      <c r="L128" s="260">
        <v>163461</v>
      </c>
      <c r="M128" s="242">
        <v>415806</v>
      </c>
      <c r="N128" s="260">
        <v>366</v>
      </c>
      <c r="O128" s="302">
        <v>45363.676226851851</v>
      </c>
      <c r="P128" s="311">
        <v>127</v>
      </c>
      <c r="Q128" s="278">
        <v>0</v>
      </c>
      <c r="R128" s="288">
        <v>0</v>
      </c>
      <c r="S128" s="291">
        <v>0</v>
      </c>
      <c r="T128" s="257">
        <v>0</v>
      </c>
      <c r="U128" s="699"/>
      <c r="V128" s="456">
        <v>0</v>
      </c>
      <c r="W128" s="511">
        <f t="shared" ref="W128" si="109">(V128*X128)</f>
        <v>0</v>
      </c>
      <c r="X128" s="693"/>
      <c r="Y128" s="715">
        <f t="shared" ref="Y128" si="110">IF(D128&lt;&gt;0,($C129*(1-$V$1))-$D128,0)</f>
        <v>-0.14999999999999858</v>
      </c>
      <c r="Z128" s="332">
        <f>IFERROR(IF(C128&lt;&gt;"",$Y$1/(D124/100)*(C128/100),""),"")</f>
        <v>98.551331397002073</v>
      </c>
      <c r="AA128" s="401">
        <f>IFERROR($Z$1/(D128/100)*(C124/100),"")</f>
        <v>102509.41028858218</v>
      </c>
      <c r="AB128" s="38"/>
    </row>
    <row r="129" spans="1:28" ht="12.75" customHeight="1">
      <c r="A129" s="449" t="s">
        <v>241</v>
      </c>
      <c r="B129" s="450">
        <v>2127</v>
      </c>
      <c r="C129" s="434">
        <v>39.700000000000003</v>
      </c>
      <c r="D129" s="479">
        <v>39.93</v>
      </c>
      <c r="E129" s="444">
        <v>194</v>
      </c>
      <c r="F129" s="600">
        <v>39.72</v>
      </c>
      <c r="G129" s="451">
        <v>5.5000000000000005E-3</v>
      </c>
      <c r="H129" s="437">
        <v>39</v>
      </c>
      <c r="I129" s="438">
        <v>39.97</v>
      </c>
      <c r="J129" s="438">
        <v>38.703000000000003</v>
      </c>
      <c r="K129" s="454">
        <v>39.499000000000002</v>
      </c>
      <c r="L129" s="428">
        <v>234604</v>
      </c>
      <c r="M129" s="440">
        <v>597777</v>
      </c>
      <c r="N129" s="428">
        <v>387</v>
      </c>
      <c r="O129" s="429">
        <v>45363.705648148149</v>
      </c>
      <c r="P129" s="310">
        <v>128</v>
      </c>
      <c r="Q129" s="430">
        <v>0</v>
      </c>
      <c r="R129" s="452">
        <v>0</v>
      </c>
      <c r="S129" s="432">
        <v>0</v>
      </c>
      <c r="T129" s="443">
        <v>0</v>
      </c>
      <c r="U129" s="698"/>
      <c r="V129" s="457">
        <v>0</v>
      </c>
      <c r="W129" s="514">
        <f>V128*(F128/100)</f>
        <v>0</v>
      </c>
      <c r="X129" s="691"/>
      <c r="Y129" s="716">
        <f t="shared" ref="Y129" si="111">IFERROR(INT($Z$1/(F128/100)),"")</f>
        <v>254</v>
      </c>
      <c r="Z129" s="446">
        <f>IFERROR(IF(C129&lt;&gt;"",$Y$1/(D125/100)*(C129/100),""),"")</f>
        <v>100.16217859314095</v>
      </c>
      <c r="AA129" s="453">
        <f>IFERROR($Z$1/(D129/100)*(C125/100),"")</f>
        <v>102078.6376158277</v>
      </c>
      <c r="AB129" s="38"/>
    </row>
    <row r="130" spans="1:28" ht="12.75" customHeight="1">
      <c r="A130" s="285" t="s">
        <v>550</v>
      </c>
      <c r="B130" s="261">
        <v>500</v>
      </c>
      <c r="C130" s="336">
        <v>38600</v>
      </c>
      <c r="D130" s="270">
        <v>38650</v>
      </c>
      <c r="E130" s="261">
        <v>50</v>
      </c>
      <c r="F130" s="292">
        <v>38500</v>
      </c>
      <c r="G130" s="345">
        <v>5.7599999999999998E-2</v>
      </c>
      <c r="H130" s="247">
        <v>37000</v>
      </c>
      <c r="I130" s="239">
        <v>39195</v>
      </c>
      <c r="J130" s="239">
        <v>37000</v>
      </c>
      <c r="K130" s="274">
        <v>36400</v>
      </c>
      <c r="L130" s="266">
        <v>71337649</v>
      </c>
      <c r="M130" s="243">
        <v>184424</v>
      </c>
      <c r="N130" s="266">
        <v>232</v>
      </c>
      <c r="O130" s="300">
        <v>45363.683842592596</v>
      </c>
      <c r="P130" s="311">
        <v>129</v>
      </c>
      <c r="Q130" s="279">
        <v>0</v>
      </c>
      <c r="R130" s="286">
        <v>0</v>
      </c>
      <c r="S130" s="290">
        <v>0</v>
      </c>
      <c r="T130" s="259">
        <v>0</v>
      </c>
      <c r="U130" s="699"/>
      <c r="V130" s="459"/>
      <c r="W130" s="513">
        <f t="shared" ref="W130" si="112">(V130*X130)</f>
        <v>0</v>
      </c>
      <c r="X130" s="690"/>
      <c r="Y130" s="504">
        <f t="shared" ref="Y130" si="113">IF(D130&lt;&gt;0,($C131*(1-$V$1))-$D130,0)</f>
        <v>-50</v>
      </c>
      <c r="Z130" s="478"/>
      <c r="AA130" s="350"/>
      <c r="AB130" s="38"/>
    </row>
    <row r="131" spans="1:28" ht="12.75" customHeight="1">
      <c r="A131" s="284" t="s">
        <v>185</v>
      </c>
      <c r="B131" s="249">
        <v>90</v>
      </c>
      <c r="C131" s="248">
        <v>38600</v>
      </c>
      <c r="D131" s="480">
        <v>38900</v>
      </c>
      <c r="E131" s="481">
        <v>292</v>
      </c>
      <c r="F131" s="250">
        <v>38900</v>
      </c>
      <c r="G131" s="347">
        <v>6.6900000000000001E-2</v>
      </c>
      <c r="H131" s="246">
        <v>37200</v>
      </c>
      <c r="I131" s="237">
        <v>39500</v>
      </c>
      <c r="J131" s="237">
        <v>36750</v>
      </c>
      <c r="K131" s="272">
        <v>36460</v>
      </c>
      <c r="L131" s="244">
        <v>509276178</v>
      </c>
      <c r="M131" s="241">
        <v>1315863</v>
      </c>
      <c r="N131" s="244">
        <v>650</v>
      </c>
      <c r="O131" s="301">
        <v>45363.706192129626</v>
      </c>
      <c r="P131" s="310">
        <v>130</v>
      </c>
      <c r="Q131" s="277">
        <v>0</v>
      </c>
      <c r="R131" s="287">
        <v>0</v>
      </c>
      <c r="S131" s="289">
        <v>0</v>
      </c>
      <c r="T131" s="258">
        <v>0</v>
      </c>
      <c r="U131" s="698"/>
      <c r="V131" s="458">
        <v>0</v>
      </c>
      <c r="W131" s="508">
        <f>V130*(F130/100)</f>
        <v>0</v>
      </c>
      <c r="X131" s="692"/>
      <c r="Y131" s="712">
        <f t="shared" ref="Y131" si="114">IFERROR(INT($Y$1/(F130/100)),"")</f>
        <v>268</v>
      </c>
      <c r="Z131" s="411"/>
      <c r="AA131" s="351"/>
      <c r="AB131" s="38"/>
    </row>
    <row r="132" spans="1:28" ht="12.75" hidden="1" customHeight="1">
      <c r="A132" s="252" t="s">
        <v>551</v>
      </c>
      <c r="B132" s="261"/>
      <c r="C132" s="336"/>
      <c r="D132" s="270"/>
      <c r="E132" s="261"/>
      <c r="F132" s="601"/>
      <c r="G132" s="348"/>
      <c r="H132" s="251"/>
      <c r="I132" s="238"/>
      <c r="J132" s="238"/>
      <c r="K132" s="275">
        <v>23.22</v>
      </c>
      <c r="L132" s="260"/>
      <c r="M132" s="242"/>
      <c r="N132" s="260"/>
      <c r="O132" s="302"/>
      <c r="P132" s="311">
        <v>131</v>
      </c>
      <c r="Q132" s="278">
        <v>0</v>
      </c>
      <c r="R132" s="288">
        <v>0</v>
      </c>
      <c r="S132" s="291">
        <v>0</v>
      </c>
      <c r="T132" s="257">
        <v>0</v>
      </c>
      <c r="U132" s="699"/>
      <c r="V132" s="328"/>
      <c r="W132" s="509">
        <f t="shared" ref="W132" si="115">(V132*X132)</f>
        <v>0</v>
      </c>
      <c r="X132" s="690"/>
      <c r="Y132" s="713">
        <f t="shared" ref="Y132" si="116">IF(D132&lt;&gt;0,($C133*(1-$V$1))-$D132,0)</f>
        <v>0</v>
      </c>
      <c r="Z132" s="334" t="str">
        <f>IFERROR(IF(C132&lt;&gt;"",$Y$1/(D130/100)*(C132/100),""),"")</f>
        <v/>
      </c>
      <c r="AA132" s="400" t="str">
        <f>IFERROR($AA$1/(D132/100)*(C130/100),"")</f>
        <v/>
      </c>
      <c r="AB132" s="38"/>
    </row>
    <row r="133" spans="1:28" ht="12.75" hidden="1" customHeight="1">
      <c r="A133" s="312" t="s">
        <v>242</v>
      </c>
      <c r="B133" s="249"/>
      <c r="C133" s="248"/>
      <c r="D133" s="480"/>
      <c r="E133" s="481"/>
      <c r="F133" s="250"/>
      <c r="G133" s="347"/>
      <c r="H133" s="246"/>
      <c r="I133" s="237"/>
      <c r="J133" s="237"/>
      <c r="K133" s="272">
        <v>26</v>
      </c>
      <c r="L133" s="244"/>
      <c r="M133" s="241"/>
      <c r="N133" s="244"/>
      <c r="O133" s="301"/>
      <c r="P133" s="310">
        <v>132</v>
      </c>
      <c r="Q133" s="277">
        <v>0</v>
      </c>
      <c r="R133" s="287">
        <v>0</v>
      </c>
      <c r="S133" s="289">
        <v>0</v>
      </c>
      <c r="T133" s="258">
        <v>0</v>
      </c>
      <c r="U133" s="698"/>
      <c r="V133" s="327">
        <v>0</v>
      </c>
      <c r="W133" s="510">
        <f>V132*(F132/100)</f>
        <v>0</v>
      </c>
      <c r="X133" s="692"/>
      <c r="Y133" s="714" t="str">
        <f t="shared" ref="Y133" si="117">IFERROR(INT($AA$1/(F132/100)),"")</f>
        <v/>
      </c>
      <c r="Z133" s="333" t="str">
        <f>IFERROR(IF(C133&lt;&gt;"",$Y$1/(D131/100)*(C133/100),""),"")</f>
        <v/>
      </c>
      <c r="AA133" s="402" t="str">
        <f>IFERROR($AA$1/(D133/100)*(C131/100),"")</f>
        <v/>
      </c>
      <c r="AB133" s="38"/>
    </row>
    <row r="134" spans="1:28" ht="12.75" customHeight="1">
      <c r="A134" s="416" t="s">
        <v>552</v>
      </c>
      <c r="B134" s="261">
        <v>71</v>
      </c>
      <c r="C134" s="336">
        <v>37.11</v>
      </c>
      <c r="D134" s="270">
        <v>37.700000000000003</v>
      </c>
      <c r="E134" s="261">
        <v>9000</v>
      </c>
      <c r="F134" s="601">
        <v>37.128999999999998</v>
      </c>
      <c r="G134" s="348">
        <v>2.8000000000000004E-3</v>
      </c>
      <c r="H134" s="251">
        <v>37.649000000000001</v>
      </c>
      <c r="I134" s="238">
        <v>38.399000000000001</v>
      </c>
      <c r="J134" s="238">
        <v>37.110999999999997</v>
      </c>
      <c r="K134" s="275">
        <v>37.024999999999999</v>
      </c>
      <c r="L134" s="260">
        <v>58112</v>
      </c>
      <c r="M134" s="242">
        <v>153279</v>
      </c>
      <c r="N134" s="260">
        <v>313</v>
      </c>
      <c r="O134" s="302">
        <v>45363.674004629633</v>
      </c>
      <c r="P134" s="311">
        <v>133</v>
      </c>
      <c r="Q134" s="278">
        <v>0</v>
      </c>
      <c r="R134" s="288">
        <v>0</v>
      </c>
      <c r="S134" s="291">
        <v>0</v>
      </c>
      <c r="T134" s="257">
        <v>0</v>
      </c>
      <c r="U134" s="699"/>
      <c r="V134" s="456">
        <v>0</v>
      </c>
      <c r="W134" s="511">
        <f t="shared" ref="W134" si="118">(V134*X134)</f>
        <v>0</v>
      </c>
      <c r="X134" s="693"/>
      <c r="Y134" s="715">
        <f t="shared" ref="Y134" si="119">IF(D134&lt;&gt;0,($C135*(1-$V$1))-$D134,0)</f>
        <v>-0.25</v>
      </c>
      <c r="Z134" s="332">
        <f>IFERROR(IF(C134&lt;&gt;"",$Y$1/(D130/100)*(C134/100),""),"")</f>
        <v>99.199302289076414</v>
      </c>
      <c r="AA134" s="401">
        <f>IFERROR($Z$1/(D134/100)*(C130/100),"")</f>
        <v>102387.26790450928</v>
      </c>
      <c r="AB134" s="38"/>
    </row>
    <row r="135" spans="1:28" ht="12.75" customHeight="1">
      <c r="A135" s="449" t="s">
        <v>243</v>
      </c>
      <c r="B135" s="450">
        <v>500</v>
      </c>
      <c r="C135" s="434">
        <v>37.450000000000003</v>
      </c>
      <c r="D135" s="479">
        <v>37.75</v>
      </c>
      <c r="E135" s="444">
        <v>980</v>
      </c>
      <c r="F135" s="600">
        <v>37.75</v>
      </c>
      <c r="G135" s="451">
        <v>6.7000000000000002E-3</v>
      </c>
      <c r="H135" s="437">
        <v>37.618000000000002</v>
      </c>
      <c r="I135" s="438">
        <v>37.799999999999997</v>
      </c>
      <c r="J135" s="438">
        <v>37.06</v>
      </c>
      <c r="K135" s="454">
        <v>37.496000000000002</v>
      </c>
      <c r="L135" s="428">
        <v>21294</v>
      </c>
      <c r="M135" s="440">
        <v>56900</v>
      </c>
      <c r="N135" s="428">
        <v>109</v>
      </c>
      <c r="O135" s="429">
        <v>45363.703622685185</v>
      </c>
      <c r="P135" s="310">
        <v>134</v>
      </c>
      <c r="Q135" s="430">
        <v>0</v>
      </c>
      <c r="R135" s="452">
        <v>0</v>
      </c>
      <c r="S135" s="432">
        <v>0</v>
      </c>
      <c r="T135" s="443">
        <v>0</v>
      </c>
      <c r="U135" s="698"/>
      <c r="V135" s="457">
        <v>0</v>
      </c>
      <c r="W135" s="514">
        <f>V134*(F134/100)</f>
        <v>0</v>
      </c>
      <c r="X135" s="691"/>
      <c r="Y135" s="716">
        <f t="shared" ref="Y135" si="120">IFERROR(INT($Z$1/(F134/100)),"")</f>
        <v>269</v>
      </c>
      <c r="Z135" s="446">
        <f>IFERROR(IF(C135&lt;&gt;"",$Y$1/(D131/100)*(C135/100),""),"")</f>
        <v>99.464792784846907</v>
      </c>
      <c r="AA135" s="453">
        <f>IFERROR($Z$1/(D135/100)*(C131/100),"")</f>
        <v>102251.65562913906</v>
      </c>
      <c r="AB135" s="38"/>
    </row>
    <row r="136" spans="1:28" ht="12.75" customHeight="1">
      <c r="A136" s="285" t="s">
        <v>553</v>
      </c>
      <c r="B136" s="261">
        <v>2923</v>
      </c>
      <c r="C136" s="336">
        <v>51300</v>
      </c>
      <c r="D136" s="270">
        <v>51970</v>
      </c>
      <c r="E136" s="261">
        <v>134</v>
      </c>
      <c r="F136" s="292">
        <v>51970</v>
      </c>
      <c r="G136" s="345">
        <v>7.6499999999999999E-2</v>
      </c>
      <c r="H136" s="247">
        <v>49095</v>
      </c>
      <c r="I136" s="239">
        <v>52500</v>
      </c>
      <c r="J136" s="239">
        <v>49095</v>
      </c>
      <c r="K136" s="274">
        <v>48275</v>
      </c>
      <c r="L136" s="266">
        <v>78995876</v>
      </c>
      <c r="M136" s="243">
        <v>155100</v>
      </c>
      <c r="N136" s="266">
        <v>145</v>
      </c>
      <c r="O136" s="300">
        <v>45363.681145833332</v>
      </c>
      <c r="P136" s="311">
        <v>135</v>
      </c>
      <c r="Q136" s="279">
        <v>0</v>
      </c>
      <c r="R136" s="286">
        <v>0</v>
      </c>
      <c r="S136" s="290">
        <v>0</v>
      </c>
      <c r="T136" s="259">
        <v>0</v>
      </c>
      <c r="U136" s="699"/>
      <c r="V136" s="459"/>
      <c r="W136" s="513">
        <f t="shared" ref="W136" si="121">(V136*X136)</f>
        <v>0</v>
      </c>
      <c r="X136" s="690"/>
      <c r="Y136" s="504">
        <f t="shared" ref="Y136" si="122">IF(D136&lt;&gt;0,($C137*(1-$V$1))-$D136,0)</f>
        <v>-260</v>
      </c>
      <c r="Z136" s="478"/>
      <c r="AA136" s="350"/>
      <c r="AB136" s="38"/>
    </row>
    <row r="137" spans="1:28" ht="12.75" customHeight="1">
      <c r="A137" s="284" t="s">
        <v>187</v>
      </c>
      <c r="B137" s="249">
        <v>317</v>
      </c>
      <c r="C137" s="248">
        <v>51710</v>
      </c>
      <c r="D137" s="480">
        <v>52150</v>
      </c>
      <c r="E137" s="481">
        <v>750</v>
      </c>
      <c r="F137" s="250">
        <v>51710</v>
      </c>
      <c r="G137" s="347">
        <v>6.6699999999999995E-2</v>
      </c>
      <c r="H137" s="246">
        <v>48625</v>
      </c>
      <c r="I137" s="237">
        <v>52780</v>
      </c>
      <c r="J137" s="237">
        <v>48625</v>
      </c>
      <c r="K137" s="272">
        <v>48475</v>
      </c>
      <c r="L137" s="244">
        <v>601507183</v>
      </c>
      <c r="M137" s="241">
        <v>1179238</v>
      </c>
      <c r="N137" s="244">
        <v>431</v>
      </c>
      <c r="O137" s="301">
        <v>45363.708599537036</v>
      </c>
      <c r="P137" s="310">
        <v>136</v>
      </c>
      <c r="Q137" s="277">
        <v>0</v>
      </c>
      <c r="R137" s="287">
        <v>0</v>
      </c>
      <c r="S137" s="289">
        <v>0</v>
      </c>
      <c r="T137" s="258">
        <v>0</v>
      </c>
      <c r="U137" s="698"/>
      <c r="V137" s="458">
        <v>0</v>
      </c>
      <c r="W137" s="508">
        <f>V136*(F136/100)</f>
        <v>0</v>
      </c>
      <c r="X137" s="692"/>
      <c r="Y137" s="712">
        <f t="shared" ref="Y137" si="123">IFERROR(INT($Y$1/(F136/100)),"")</f>
        <v>198</v>
      </c>
      <c r="Z137" s="411"/>
      <c r="AA137" s="351"/>
      <c r="AB137" s="38"/>
    </row>
    <row r="138" spans="1:28" ht="12.75" hidden="1" customHeight="1">
      <c r="A138" s="252" t="s">
        <v>554</v>
      </c>
      <c r="B138" s="261"/>
      <c r="C138" s="336"/>
      <c r="D138" s="270"/>
      <c r="E138" s="261"/>
      <c r="F138" s="601"/>
      <c r="G138" s="348"/>
      <c r="H138" s="251"/>
      <c r="I138" s="238"/>
      <c r="J138" s="238"/>
      <c r="K138" s="275">
        <v>23.3</v>
      </c>
      <c r="L138" s="260"/>
      <c r="M138" s="242"/>
      <c r="N138" s="260"/>
      <c r="O138" s="302"/>
      <c r="P138" s="311">
        <v>137</v>
      </c>
      <c r="Q138" s="278">
        <v>0</v>
      </c>
      <c r="R138" s="288">
        <v>0</v>
      </c>
      <c r="S138" s="291">
        <v>0</v>
      </c>
      <c r="T138" s="257">
        <v>0</v>
      </c>
      <c r="U138" s="699"/>
      <c r="V138" s="328"/>
      <c r="W138" s="509">
        <f t="shared" ref="W138" si="124">(V138*X138)</f>
        <v>0</v>
      </c>
      <c r="X138" s="690"/>
      <c r="Y138" s="713">
        <f t="shared" ref="Y138" si="125">IF(D138&lt;&gt;0,($C139*(1-$V$1))-$D138,0)</f>
        <v>0</v>
      </c>
      <c r="Z138" s="334" t="str">
        <f>IFERROR(IF(C138&lt;&gt;"",$Y$1/(D136/100)*(C138/100),""),"")</f>
        <v/>
      </c>
      <c r="AA138" s="400" t="str">
        <f>IFERROR($Z$1/(D138/100)*(C136/100),"")</f>
        <v/>
      </c>
      <c r="AB138" s="38"/>
    </row>
    <row r="139" spans="1:28" ht="12.75" hidden="1" customHeight="1">
      <c r="A139" s="312" t="s">
        <v>232</v>
      </c>
      <c r="B139" s="249"/>
      <c r="C139" s="248"/>
      <c r="D139" s="480"/>
      <c r="E139" s="481"/>
      <c r="F139" s="250"/>
      <c r="G139" s="347"/>
      <c r="H139" s="246"/>
      <c r="I139" s="237"/>
      <c r="J139" s="237"/>
      <c r="K139" s="272">
        <v>40</v>
      </c>
      <c r="L139" s="244"/>
      <c r="M139" s="241"/>
      <c r="N139" s="244"/>
      <c r="O139" s="301"/>
      <c r="P139" s="310">
        <v>138</v>
      </c>
      <c r="Q139" s="277">
        <v>0</v>
      </c>
      <c r="R139" s="287">
        <v>0</v>
      </c>
      <c r="S139" s="289">
        <v>0</v>
      </c>
      <c r="T139" s="258">
        <v>0</v>
      </c>
      <c r="U139" s="698"/>
      <c r="V139" s="327">
        <v>0</v>
      </c>
      <c r="W139" s="510">
        <f>V138*(F138/100)</f>
        <v>0</v>
      </c>
      <c r="X139" s="692"/>
      <c r="Y139" s="714" t="str">
        <f t="shared" ref="Y139" si="126">IFERROR(INT($AA$1/(F138/100)),"")</f>
        <v/>
      </c>
      <c r="Z139" s="333" t="str">
        <f>IFERROR(IF(C139&lt;&gt;"",$Y$1/(D137/100)*(C139/100),""),"")</f>
        <v/>
      </c>
      <c r="AA139" s="402" t="str">
        <f>IFERROR($Z$1/(D139/100)*(C137/100),"")</f>
        <v/>
      </c>
      <c r="AB139" s="38"/>
    </row>
    <row r="140" spans="1:28" ht="12.75" customHeight="1">
      <c r="A140" s="416" t="s">
        <v>555</v>
      </c>
      <c r="B140" s="261">
        <v>4000</v>
      </c>
      <c r="C140" s="336">
        <v>49.500999999999998</v>
      </c>
      <c r="D140" s="270">
        <v>50.15</v>
      </c>
      <c r="E140" s="261">
        <v>70</v>
      </c>
      <c r="F140" s="601">
        <v>49.35</v>
      </c>
      <c r="G140" s="348">
        <v>-1.2800000000000001E-2</v>
      </c>
      <c r="H140" s="251">
        <v>49.3</v>
      </c>
      <c r="I140" s="238">
        <v>49.5</v>
      </c>
      <c r="J140" s="238">
        <v>49.3</v>
      </c>
      <c r="K140" s="275">
        <v>49.99</v>
      </c>
      <c r="L140" s="260">
        <v>6926</v>
      </c>
      <c r="M140" s="242">
        <v>13997</v>
      </c>
      <c r="N140" s="260">
        <v>9</v>
      </c>
      <c r="O140" s="302">
        <v>45363.640092592592</v>
      </c>
      <c r="P140" s="311">
        <v>139</v>
      </c>
      <c r="Q140" s="278">
        <v>0</v>
      </c>
      <c r="R140" s="288">
        <v>0</v>
      </c>
      <c r="S140" s="291">
        <v>0</v>
      </c>
      <c r="T140" s="257">
        <v>0</v>
      </c>
      <c r="U140" s="699"/>
      <c r="V140" s="456">
        <v>0</v>
      </c>
      <c r="W140" s="511">
        <f t="shared" ref="W140" si="127">(V140*X140)</f>
        <v>0</v>
      </c>
      <c r="X140" s="693"/>
      <c r="Y140" s="715">
        <f t="shared" ref="Y140" si="128">IF(D140&lt;&gt;0,($C141*(1-$V$1))-$D140,0)</f>
        <v>-0.14999999999999858</v>
      </c>
      <c r="Z140" s="332">
        <f>IFERROR(IF(C140&lt;&gt;"",$Y$1/(D136/100)*(C140/100),""),"")</f>
        <v>98.407549455229628</v>
      </c>
      <c r="AA140" s="401">
        <f>IFERROR($Z$1/(D140/100)*(C136/100),"")</f>
        <v>102293.12063808575</v>
      </c>
      <c r="AB140" s="38"/>
    </row>
    <row r="141" spans="1:28" ht="12.75" customHeight="1">
      <c r="A141" s="449" t="s">
        <v>233</v>
      </c>
      <c r="B141" s="450">
        <v>19900</v>
      </c>
      <c r="C141" s="434">
        <v>50</v>
      </c>
      <c r="D141" s="479">
        <v>50.2</v>
      </c>
      <c r="E141" s="444">
        <v>70</v>
      </c>
      <c r="F141" s="600">
        <v>50</v>
      </c>
      <c r="G141" s="451">
        <v>1.01E-2</v>
      </c>
      <c r="H141" s="437">
        <v>49.1</v>
      </c>
      <c r="I141" s="438">
        <v>50</v>
      </c>
      <c r="J141" s="438">
        <v>48.75</v>
      </c>
      <c r="K141" s="454">
        <v>49.5</v>
      </c>
      <c r="L141" s="428">
        <v>26148</v>
      </c>
      <c r="M141" s="440">
        <v>52780</v>
      </c>
      <c r="N141" s="428">
        <v>33</v>
      </c>
      <c r="O141" s="429">
        <v>45363.69935185185</v>
      </c>
      <c r="P141" s="310">
        <v>140</v>
      </c>
      <c r="Q141" s="430">
        <v>0</v>
      </c>
      <c r="R141" s="452">
        <v>0</v>
      </c>
      <c r="S141" s="432">
        <v>0</v>
      </c>
      <c r="T141" s="443">
        <v>0</v>
      </c>
      <c r="U141" s="698"/>
      <c r="V141" s="457">
        <v>0</v>
      </c>
      <c r="W141" s="514">
        <f>V140*(F140/100)</f>
        <v>0</v>
      </c>
      <c r="X141" s="691"/>
      <c r="Y141" s="716">
        <f t="shared" ref="Y141" si="129">IFERROR(INT($Z$1/(F140/100)),"")</f>
        <v>202</v>
      </c>
      <c r="Z141" s="446">
        <f>IFERROR(IF(C141&lt;&gt;"",$Y$1/(D137/100)*(C141/100),""),"")</f>
        <v>99.056471315043112</v>
      </c>
      <c r="AA141" s="453">
        <f>IFERROR($Z$1/(D141/100)*(C137/100),"")</f>
        <v>103007.96812749005</v>
      </c>
      <c r="AB141" s="38"/>
    </row>
    <row r="142" spans="1:28" ht="12.75" customHeight="1">
      <c r="A142" s="285" t="s">
        <v>556</v>
      </c>
      <c r="B142" s="261">
        <v>125</v>
      </c>
      <c r="C142" s="336">
        <v>42140</v>
      </c>
      <c r="D142" s="270">
        <v>42335</v>
      </c>
      <c r="E142" s="261">
        <v>10000</v>
      </c>
      <c r="F142" s="292">
        <v>42200</v>
      </c>
      <c r="G142" s="345">
        <v>7.6499999999999999E-2</v>
      </c>
      <c r="H142" s="247">
        <v>40190</v>
      </c>
      <c r="I142" s="239">
        <v>43150</v>
      </c>
      <c r="J142" s="239">
        <v>39300</v>
      </c>
      <c r="K142" s="274">
        <v>39200</v>
      </c>
      <c r="L142" s="266">
        <v>657559433</v>
      </c>
      <c r="M142" s="243">
        <v>1593694</v>
      </c>
      <c r="N142" s="266">
        <v>939</v>
      </c>
      <c r="O142" s="300">
        <v>45363.682222222225</v>
      </c>
      <c r="P142" s="311">
        <v>141</v>
      </c>
      <c r="Q142" s="279">
        <v>0</v>
      </c>
      <c r="R142" s="286">
        <v>0</v>
      </c>
      <c r="S142" s="290">
        <v>0</v>
      </c>
      <c r="T142" s="259">
        <v>0</v>
      </c>
      <c r="U142" s="699"/>
      <c r="V142" s="459"/>
      <c r="W142" s="513">
        <f t="shared" ref="W142" si="130">(V142*X142)</f>
        <v>0</v>
      </c>
      <c r="X142" s="690"/>
      <c r="Y142" s="504">
        <f t="shared" ref="Y142" si="131">IF(D142&lt;&gt;0,($C143*(1-$V$1))-$D142,0)</f>
        <v>-135</v>
      </c>
      <c r="Z142" s="478"/>
      <c r="AA142" s="350"/>
      <c r="AB142" s="38"/>
    </row>
    <row r="143" spans="1:28" ht="12.75" customHeight="1">
      <c r="A143" s="284" t="s">
        <v>164</v>
      </c>
      <c r="B143" s="249">
        <v>250002</v>
      </c>
      <c r="C143" s="248">
        <v>42200</v>
      </c>
      <c r="D143" s="480">
        <v>42400</v>
      </c>
      <c r="E143" s="481">
        <v>7673</v>
      </c>
      <c r="F143" s="250">
        <v>42400</v>
      </c>
      <c r="G143" s="347">
        <v>8.0500000000000002E-2</v>
      </c>
      <c r="H143" s="246">
        <v>40400</v>
      </c>
      <c r="I143" s="237">
        <v>43400</v>
      </c>
      <c r="J143" s="237">
        <v>39550</v>
      </c>
      <c r="K143" s="272">
        <v>39240</v>
      </c>
      <c r="L143" s="244">
        <v>9080468396</v>
      </c>
      <c r="M143" s="241">
        <v>21842005</v>
      </c>
      <c r="N143" s="244">
        <v>2128</v>
      </c>
      <c r="O143" s="301">
        <v>45363.708483796298</v>
      </c>
      <c r="P143" s="310">
        <v>142</v>
      </c>
      <c r="Q143" s="277">
        <v>0</v>
      </c>
      <c r="R143" s="287">
        <v>0</v>
      </c>
      <c r="S143" s="289">
        <v>0</v>
      </c>
      <c r="T143" s="258">
        <v>0</v>
      </c>
      <c r="U143" s="698"/>
      <c r="V143" s="458">
        <v>0</v>
      </c>
      <c r="W143" s="508">
        <f>V142*(F142/100)</f>
        <v>0</v>
      </c>
      <c r="X143" s="692"/>
      <c r="Y143" s="712">
        <f t="shared" ref="Y143" si="132">IFERROR(INT($Y$1/(F142/100)),"")</f>
        <v>244</v>
      </c>
      <c r="Z143" s="411"/>
      <c r="AA143" s="351"/>
      <c r="AB143" s="38"/>
    </row>
    <row r="144" spans="1:28" ht="12.75" hidden="1" customHeight="1">
      <c r="A144" s="252" t="s">
        <v>557</v>
      </c>
      <c r="B144" s="261"/>
      <c r="C144" s="336"/>
      <c r="D144" s="270"/>
      <c r="E144" s="261"/>
      <c r="F144" s="601"/>
      <c r="G144" s="348"/>
      <c r="H144" s="251"/>
      <c r="I144" s="238"/>
      <c r="J144" s="238"/>
      <c r="K144" s="275">
        <v>37.5</v>
      </c>
      <c r="L144" s="260"/>
      <c r="M144" s="242"/>
      <c r="N144" s="260"/>
      <c r="O144" s="302"/>
      <c r="P144" s="311">
        <v>143</v>
      </c>
      <c r="Q144" s="278">
        <v>0</v>
      </c>
      <c r="R144" s="288">
        <v>0</v>
      </c>
      <c r="S144" s="291">
        <v>0</v>
      </c>
      <c r="T144" s="257">
        <v>0</v>
      </c>
      <c r="U144" s="699"/>
      <c r="V144" s="328"/>
      <c r="W144" s="509">
        <f t="shared" ref="W144" si="133">(V144*X144)</f>
        <v>0</v>
      </c>
      <c r="X144" s="690"/>
      <c r="Y144" s="713">
        <f t="shared" ref="Y144" si="134">IF(D144&lt;&gt;0,($C145*(1-$V$1))-$D144,0)</f>
        <v>0</v>
      </c>
      <c r="Z144" s="334" t="str">
        <f>IFERROR(IF(C144&lt;&gt;"",$Y$1/(D142/100)*(C144/100),""),"")</f>
        <v/>
      </c>
      <c r="AA144" s="400" t="str">
        <f>IFERROR($AA$1/(D144/100)*(C142/100),"")</f>
        <v/>
      </c>
      <c r="AB144" s="38"/>
    </row>
    <row r="145" spans="1:32" ht="12.75" hidden="1" customHeight="1">
      <c r="A145" s="312" t="s">
        <v>220</v>
      </c>
      <c r="B145" s="249">
        <v>762243</v>
      </c>
      <c r="C145" s="248">
        <v>38.25</v>
      </c>
      <c r="D145" s="480"/>
      <c r="E145" s="481"/>
      <c r="F145" s="250">
        <v>38.25</v>
      </c>
      <c r="G145" s="347">
        <v>-4.3700000000000003E-2</v>
      </c>
      <c r="H145" s="246">
        <v>38.25</v>
      </c>
      <c r="I145" s="237">
        <v>38.25</v>
      </c>
      <c r="J145" s="237">
        <v>38.25</v>
      </c>
      <c r="K145" s="272">
        <v>40</v>
      </c>
      <c r="L145" s="244">
        <v>194954</v>
      </c>
      <c r="M145" s="241">
        <v>509683</v>
      </c>
      <c r="N145" s="244">
        <v>9</v>
      </c>
      <c r="O145" s="301">
        <v>45363.599814814814</v>
      </c>
      <c r="P145" s="310">
        <v>144</v>
      </c>
      <c r="Q145" s="277">
        <v>0</v>
      </c>
      <c r="R145" s="287">
        <v>0</v>
      </c>
      <c r="S145" s="289">
        <v>0</v>
      </c>
      <c r="T145" s="258">
        <v>0</v>
      </c>
      <c r="U145" s="698"/>
      <c r="V145" s="327">
        <v>0</v>
      </c>
      <c r="W145" s="510">
        <f>V144*(F144/100)</f>
        <v>0</v>
      </c>
      <c r="X145" s="692"/>
      <c r="Y145" s="714" t="str">
        <f t="shared" ref="Y145" si="135">IFERROR(INT($AA$1/(F144/100)),"")</f>
        <v/>
      </c>
      <c r="Z145" s="333">
        <f>IFERROR(IF(C145&lt;&gt;"",$Y$1/(D143/100)*(C145/100),""),"")</f>
        <v>93.203612240467365</v>
      </c>
      <c r="AA145" s="402" t="str">
        <f>IFERROR($AA$1/(D145/100)*(C143/100),"")</f>
        <v/>
      </c>
      <c r="AB145" s="38"/>
    </row>
    <row r="146" spans="1:32" ht="12.75" customHeight="1">
      <c r="A146" s="416" t="s">
        <v>558</v>
      </c>
      <c r="B146" s="261">
        <v>1500</v>
      </c>
      <c r="C146" s="336">
        <v>39.799999999999997</v>
      </c>
      <c r="D146" s="270">
        <v>40.96</v>
      </c>
      <c r="E146" s="261">
        <v>270</v>
      </c>
      <c r="F146" s="601">
        <v>40.959000000000003</v>
      </c>
      <c r="G146" s="348">
        <v>2.3599999999999999E-2</v>
      </c>
      <c r="H146" s="251">
        <v>40</v>
      </c>
      <c r="I146" s="238">
        <v>40.96</v>
      </c>
      <c r="J146" s="238">
        <v>39.555</v>
      </c>
      <c r="K146" s="275">
        <v>40.012999999999998</v>
      </c>
      <c r="L146" s="260">
        <v>143131</v>
      </c>
      <c r="M146" s="242">
        <v>355370</v>
      </c>
      <c r="N146" s="260">
        <v>347</v>
      </c>
      <c r="O146" s="302">
        <v>45363.682222222225</v>
      </c>
      <c r="P146" s="311">
        <v>145</v>
      </c>
      <c r="Q146" s="278">
        <v>0</v>
      </c>
      <c r="R146" s="288">
        <v>0</v>
      </c>
      <c r="S146" s="291">
        <v>0</v>
      </c>
      <c r="T146" s="257">
        <v>0</v>
      </c>
      <c r="U146" s="699"/>
      <c r="V146" s="456"/>
      <c r="W146" s="511">
        <f t="shared" ref="W146" si="136">(V146*X146)</f>
        <v>0</v>
      </c>
      <c r="X146" s="693"/>
      <c r="Y146" s="715">
        <f t="shared" ref="Y146" si="137">IF(D146&lt;&gt;0,($C147*(1-$V$1))-$D146,0)</f>
        <v>-0.96000000000000085</v>
      </c>
      <c r="Z146" s="332">
        <f>IFERROR(IF(C146&lt;&gt;"",$Y$1/(D142/100)*(C146/100),""),"")</f>
        <v>97.129391835296559</v>
      </c>
      <c r="AA146" s="401">
        <f>IFERROR($Z$1/(D146/100)*(C142/100),"")</f>
        <v>102880.859375</v>
      </c>
      <c r="AB146" s="38"/>
    </row>
    <row r="147" spans="1:32" ht="12.75" customHeight="1">
      <c r="A147" s="449" t="s">
        <v>221</v>
      </c>
      <c r="B147" s="450">
        <v>20000</v>
      </c>
      <c r="C147" s="434">
        <v>40</v>
      </c>
      <c r="D147" s="479">
        <v>41.2</v>
      </c>
      <c r="E147" s="444">
        <v>2</v>
      </c>
      <c r="F147" s="600">
        <v>41.5</v>
      </c>
      <c r="G147" s="451">
        <v>4.2099999999999999E-2</v>
      </c>
      <c r="H147" s="437">
        <v>39.9</v>
      </c>
      <c r="I147" s="438">
        <v>41.5</v>
      </c>
      <c r="J147" s="438">
        <v>39.31</v>
      </c>
      <c r="K147" s="454">
        <v>39.82</v>
      </c>
      <c r="L147" s="428">
        <v>465922</v>
      </c>
      <c r="M147" s="440">
        <v>1153511</v>
      </c>
      <c r="N147" s="428">
        <v>580</v>
      </c>
      <c r="O147" s="429">
        <v>45363.702372685184</v>
      </c>
      <c r="P147" s="310">
        <v>146</v>
      </c>
      <c r="Q147" s="430">
        <v>0</v>
      </c>
      <c r="R147" s="452">
        <v>0</v>
      </c>
      <c r="S147" s="432">
        <v>0</v>
      </c>
      <c r="T147" s="443">
        <v>0</v>
      </c>
      <c r="U147" s="698"/>
      <c r="V147" s="457">
        <v>0</v>
      </c>
      <c r="W147" s="514">
        <f>V146*(F146/100)</f>
        <v>0</v>
      </c>
      <c r="X147" s="691"/>
      <c r="Y147" s="716">
        <f t="shared" ref="Y147" si="138">IFERROR(INT($Z$1/(F146/100)),"")</f>
        <v>244</v>
      </c>
      <c r="Z147" s="446">
        <f>IFERROR(IF(C147&lt;&gt;"",$Y$1/(D143/100)*(C147/100),""),"")</f>
        <v>97.467829793952802</v>
      </c>
      <c r="AA147" s="453">
        <f>IFERROR($Z$1/(D147/100)*(C143/100),"")</f>
        <v>102427.18446601942</v>
      </c>
      <c r="AB147" s="38"/>
    </row>
    <row r="148" spans="1:32" ht="12.75" customHeight="1">
      <c r="A148" s="285" t="s">
        <v>562</v>
      </c>
      <c r="B148" s="261">
        <v>115</v>
      </c>
      <c r="C148" s="336">
        <v>45260</v>
      </c>
      <c r="D148" s="270">
        <v>45900</v>
      </c>
      <c r="E148" s="261">
        <v>1983</v>
      </c>
      <c r="F148" s="292">
        <v>44820</v>
      </c>
      <c r="G148" s="345">
        <v>7.0999999999999995E-3</v>
      </c>
      <c r="H148" s="247">
        <v>43000</v>
      </c>
      <c r="I148" s="239">
        <v>45935</v>
      </c>
      <c r="J148" s="239">
        <v>43000</v>
      </c>
      <c r="K148" s="274">
        <v>44500</v>
      </c>
      <c r="L148" s="266">
        <v>44941079</v>
      </c>
      <c r="M148" s="243">
        <v>101891</v>
      </c>
      <c r="N148" s="266">
        <v>100</v>
      </c>
      <c r="O148" s="300">
        <v>45363.682546296295</v>
      </c>
      <c r="P148" s="311">
        <v>147</v>
      </c>
      <c r="Q148" s="279">
        <v>0</v>
      </c>
      <c r="R148" s="286">
        <v>0</v>
      </c>
      <c r="S148" s="290">
        <v>0</v>
      </c>
      <c r="T148" s="259">
        <v>0</v>
      </c>
      <c r="U148" s="699"/>
      <c r="V148" s="459">
        <v>0</v>
      </c>
      <c r="W148" s="513">
        <f t="shared" ref="W148" si="139">(V148*X148)</f>
        <v>0</v>
      </c>
      <c r="X148" s="690"/>
      <c r="Y148" s="504">
        <f t="shared" ref="Y148" si="140">IF(D148&lt;&gt;0,($C149*(1-$V$1))-$D148,0)</f>
        <v>-500</v>
      </c>
      <c r="Z148" s="478"/>
      <c r="AA148" s="350"/>
      <c r="AB148" s="38"/>
    </row>
    <row r="149" spans="1:32" ht="12.75" customHeight="1">
      <c r="A149" s="284" t="s">
        <v>190</v>
      </c>
      <c r="B149" s="249">
        <v>490518</v>
      </c>
      <c r="C149" s="248">
        <v>45400</v>
      </c>
      <c r="D149" s="480">
        <v>45500</v>
      </c>
      <c r="E149" s="481">
        <v>471</v>
      </c>
      <c r="F149" s="250">
        <v>45400</v>
      </c>
      <c r="G149" s="347">
        <v>7.0699999999999999E-2</v>
      </c>
      <c r="H149" s="246">
        <v>42400</v>
      </c>
      <c r="I149" s="237">
        <v>46095</v>
      </c>
      <c r="J149" s="237">
        <v>42000</v>
      </c>
      <c r="K149" s="272">
        <v>42400</v>
      </c>
      <c r="L149" s="244">
        <v>3455944542</v>
      </c>
      <c r="M149" s="241">
        <v>7664544</v>
      </c>
      <c r="N149" s="244">
        <v>411</v>
      </c>
      <c r="O149" s="301">
        <v>45363.708414351851</v>
      </c>
      <c r="P149" s="310">
        <v>148</v>
      </c>
      <c r="Q149" s="277">
        <v>0</v>
      </c>
      <c r="R149" s="287">
        <v>0</v>
      </c>
      <c r="S149" s="289">
        <v>0</v>
      </c>
      <c r="T149" s="258">
        <v>0</v>
      </c>
      <c r="U149" s="698"/>
      <c r="V149" s="458">
        <v>0</v>
      </c>
      <c r="W149" s="508">
        <f>V148*(F148/100)</f>
        <v>0</v>
      </c>
      <c r="X149" s="692"/>
      <c r="Y149" s="712">
        <f t="shared" ref="Y149" si="141">IFERROR(INT($Y$1/(F148/100)),"")</f>
        <v>230</v>
      </c>
      <c r="Z149" s="411"/>
      <c r="AA149" s="351"/>
      <c r="AB149" s="38"/>
    </row>
    <row r="150" spans="1:32" ht="12.75" hidden="1" customHeight="1">
      <c r="A150" s="252" t="s">
        <v>563</v>
      </c>
      <c r="B150" s="261"/>
      <c r="C150" s="336"/>
      <c r="D150" s="270"/>
      <c r="E150" s="261"/>
      <c r="F150" s="601"/>
      <c r="G150" s="348"/>
      <c r="H150" s="251"/>
      <c r="I150" s="238"/>
      <c r="J150" s="238"/>
      <c r="K150" s="275"/>
      <c r="L150" s="260"/>
      <c r="M150" s="242"/>
      <c r="N150" s="260"/>
      <c r="O150" s="302"/>
      <c r="P150" s="311">
        <v>149</v>
      </c>
      <c r="Q150" s="278">
        <v>0</v>
      </c>
      <c r="R150" s="288">
        <v>0</v>
      </c>
      <c r="S150" s="291">
        <v>0</v>
      </c>
      <c r="T150" s="257">
        <v>0</v>
      </c>
      <c r="U150" s="699"/>
      <c r="V150" s="328"/>
      <c r="W150" s="509">
        <f t="shared" ref="W150" si="142">(V150*X150)</f>
        <v>0</v>
      </c>
      <c r="X150" s="690"/>
      <c r="Y150" s="713">
        <f t="shared" ref="Y150" si="143">IF(D150&lt;&gt;0,($C151*(1-$V$1))-$D150,0)</f>
        <v>0</v>
      </c>
      <c r="Z150" s="334" t="str">
        <f>IFERROR(IF(C150&lt;&gt;"",$Y$1/(D148/100)*(C150/100),""),"")</f>
        <v/>
      </c>
      <c r="AA150" s="400" t="str">
        <f>IFERROR($AA$1/(D150/100)*(C148/100),"")</f>
        <v/>
      </c>
      <c r="AB150" s="38"/>
    </row>
    <row r="151" spans="1:32" ht="12.75" hidden="1" customHeight="1">
      <c r="A151" s="312" t="s">
        <v>234</v>
      </c>
      <c r="B151" s="249"/>
      <c r="C151" s="248"/>
      <c r="D151" s="480"/>
      <c r="E151" s="481"/>
      <c r="F151" s="250"/>
      <c r="G151" s="347"/>
      <c r="H151" s="246"/>
      <c r="I151" s="237"/>
      <c r="J151" s="237"/>
      <c r="K151" s="272">
        <v>40.375</v>
      </c>
      <c r="L151" s="244"/>
      <c r="M151" s="241"/>
      <c r="N151" s="244"/>
      <c r="O151" s="301"/>
      <c r="P151" s="310">
        <v>150</v>
      </c>
      <c r="Q151" s="277">
        <v>0</v>
      </c>
      <c r="R151" s="287">
        <v>0</v>
      </c>
      <c r="S151" s="289">
        <v>0</v>
      </c>
      <c r="T151" s="258">
        <v>0</v>
      </c>
      <c r="U151" s="698"/>
      <c r="V151" s="327">
        <v>0</v>
      </c>
      <c r="W151" s="510">
        <f>V150*(F150/100)</f>
        <v>0</v>
      </c>
      <c r="X151" s="692"/>
      <c r="Y151" s="714" t="str">
        <f t="shared" ref="Y151" si="144">IFERROR(INT($AA$1/(F150/100)),"")</f>
        <v/>
      </c>
      <c r="Z151" s="333" t="str">
        <f>IFERROR(IF(C151&lt;&gt;"",$Y$1/(D149/100)*(C151/100),""),"")</f>
        <v/>
      </c>
      <c r="AA151" s="402" t="str">
        <f>IFERROR($AA$1/(D151/100)*(C149/100),"")</f>
        <v/>
      </c>
      <c r="AB151" s="38"/>
    </row>
    <row r="152" spans="1:32" ht="12.75" customHeight="1">
      <c r="A152" s="416" t="s">
        <v>564</v>
      </c>
      <c r="B152" s="261">
        <v>1364</v>
      </c>
      <c r="C152" s="336">
        <v>43</v>
      </c>
      <c r="D152" s="270">
        <v>43.99</v>
      </c>
      <c r="E152" s="261">
        <v>12187</v>
      </c>
      <c r="F152" s="601">
        <v>43.000999999999998</v>
      </c>
      <c r="G152" s="348">
        <v>2.7000000000000001E-3</v>
      </c>
      <c r="H152" s="251">
        <v>42.901000000000003</v>
      </c>
      <c r="I152" s="238">
        <v>44.1</v>
      </c>
      <c r="J152" s="238">
        <v>42.9</v>
      </c>
      <c r="K152" s="275">
        <v>42.884</v>
      </c>
      <c r="L152" s="260">
        <v>11149</v>
      </c>
      <c r="M152" s="242">
        <v>25801</v>
      </c>
      <c r="N152" s="260">
        <v>22</v>
      </c>
      <c r="O152" s="302">
        <v>45363.680810185186</v>
      </c>
      <c r="P152" s="311">
        <v>151</v>
      </c>
      <c r="Q152" s="278">
        <v>0</v>
      </c>
      <c r="R152" s="288">
        <v>0</v>
      </c>
      <c r="S152" s="291">
        <v>0</v>
      </c>
      <c r="T152" s="257">
        <v>0</v>
      </c>
      <c r="U152" s="699"/>
      <c r="V152" s="456">
        <v>0</v>
      </c>
      <c r="W152" s="511">
        <f t="shared" ref="W152" si="145">(V152*X152)</f>
        <v>0</v>
      </c>
      <c r="X152" s="693"/>
      <c r="Y152" s="715">
        <f t="shared" ref="Y152" si="146">IF(D152&lt;&gt;0,($C153*(1-$V$1))-$D152,0)</f>
        <v>0.21000000000000085</v>
      </c>
      <c r="Z152" s="332">
        <f>IFERROR(IF(C152&lt;&gt;"",$Y$1/(D148/100)*(C152/100),""),"")</f>
        <v>96.7883155121649</v>
      </c>
      <c r="AA152" s="401">
        <f>IFERROR($Z$1/(D152/100)*(C148/100),"")</f>
        <v>102887.0197772221</v>
      </c>
      <c r="AB152" s="38"/>
    </row>
    <row r="153" spans="1:32" ht="12.75" customHeight="1">
      <c r="A153" s="449" t="s">
        <v>235</v>
      </c>
      <c r="B153" s="450">
        <v>128</v>
      </c>
      <c r="C153" s="434">
        <v>44.2</v>
      </c>
      <c r="D153" s="479">
        <v>44.49</v>
      </c>
      <c r="E153" s="444">
        <v>12187</v>
      </c>
      <c r="F153" s="600">
        <v>44.2</v>
      </c>
      <c r="G153" s="451">
        <v>1.6E-2</v>
      </c>
      <c r="H153" s="437">
        <v>43.5</v>
      </c>
      <c r="I153" s="438">
        <v>44.2</v>
      </c>
      <c r="J153" s="438">
        <v>42.503</v>
      </c>
      <c r="K153" s="454">
        <v>43.5</v>
      </c>
      <c r="L153" s="428">
        <v>134991</v>
      </c>
      <c r="M153" s="440">
        <v>310403</v>
      </c>
      <c r="N153" s="428">
        <v>88</v>
      </c>
      <c r="O153" s="429">
        <v>45363.708356481482</v>
      </c>
      <c r="P153" s="310">
        <v>152</v>
      </c>
      <c r="Q153" s="430">
        <v>0</v>
      </c>
      <c r="R153" s="452">
        <v>0</v>
      </c>
      <c r="S153" s="432">
        <v>0</v>
      </c>
      <c r="T153" s="443">
        <v>0</v>
      </c>
      <c r="U153" s="698"/>
      <c r="V153" s="457">
        <v>0</v>
      </c>
      <c r="W153" s="514">
        <f>V152*(F152/100)</f>
        <v>0</v>
      </c>
      <c r="X153" s="691"/>
      <c r="Y153" s="716">
        <f t="shared" ref="Y153" si="147">IFERROR(INT($Z$1/(F152/100)),"")</f>
        <v>232</v>
      </c>
      <c r="Z153" s="446">
        <f>IFERROR(IF(C153&lt;&gt;"",$Y$1/(D149/100)*(C153/100),""),"")</f>
        <v>100.36401673640168</v>
      </c>
      <c r="AA153" s="453">
        <f>IFERROR($Z$1/(D153/100)*(C149/100),"")</f>
        <v>102045.40346145201</v>
      </c>
      <c r="AB153" s="38"/>
    </row>
    <row r="154" spans="1:32" ht="12.75" customHeight="1">
      <c r="A154" s="285" t="s">
        <v>559</v>
      </c>
      <c r="B154" s="261">
        <v>207</v>
      </c>
      <c r="C154" s="336">
        <v>39605</v>
      </c>
      <c r="D154" s="270">
        <v>40400</v>
      </c>
      <c r="E154" s="261">
        <v>5142</v>
      </c>
      <c r="F154" s="292">
        <v>39605</v>
      </c>
      <c r="G154" s="345">
        <v>7.6200000000000004E-2</v>
      </c>
      <c r="H154" s="247">
        <v>37500</v>
      </c>
      <c r="I154" s="239">
        <v>40000</v>
      </c>
      <c r="J154" s="239">
        <v>37500</v>
      </c>
      <c r="K154" s="274">
        <v>36800</v>
      </c>
      <c r="L154" s="266">
        <v>186932288</v>
      </c>
      <c r="M154" s="243">
        <v>475794</v>
      </c>
      <c r="N154" s="266">
        <v>261</v>
      </c>
      <c r="O154" s="300">
        <v>45363.684791666667</v>
      </c>
      <c r="P154" s="311">
        <v>153</v>
      </c>
      <c r="Q154" s="279">
        <v>0</v>
      </c>
      <c r="R154" s="286">
        <v>0</v>
      </c>
      <c r="S154" s="290">
        <v>0</v>
      </c>
      <c r="T154" s="259">
        <v>0</v>
      </c>
      <c r="U154" s="699"/>
      <c r="V154" s="459">
        <v>0</v>
      </c>
      <c r="W154" s="513">
        <f t="shared" ref="W154" si="148">(V154*X154)</f>
        <v>0</v>
      </c>
      <c r="X154" s="690"/>
      <c r="Y154" s="504">
        <f t="shared" ref="Y154" si="149">IF(D154&lt;&gt;0,($C155*(1-$V$1))-$D154,0)</f>
        <v>-400</v>
      </c>
      <c r="Z154" s="478"/>
      <c r="AA154" s="350"/>
      <c r="AB154" s="38"/>
      <c r="AC154" s="455">
        <v>28</v>
      </c>
      <c r="AE154" s="47">
        <v>440</v>
      </c>
      <c r="AF154" s="47">
        <f>AC154*AE154</f>
        <v>12320</v>
      </c>
    </row>
    <row r="155" spans="1:32" ht="12.75" customHeight="1">
      <c r="A155" s="284" t="s">
        <v>188</v>
      </c>
      <c r="B155" s="249">
        <v>396976</v>
      </c>
      <c r="C155" s="248">
        <v>40000</v>
      </c>
      <c r="D155" s="480">
        <v>41500</v>
      </c>
      <c r="E155" s="481">
        <v>150</v>
      </c>
      <c r="F155" s="250">
        <v>40000</v>
      </c>
      <c r="G155" s="347">
        <v>8.4000000000000005E-2</v>
      </c>
      <c r="H155" s="246">
        <v>36910</v>
      </c>
      <c r="I155" s="237">
        <v>40500</v>
      </c>
      <c r="J155" s="237">
        <v>36910</v>
      </c>
      <c r="K155" s="272">
        <v>36900</v>
      </c>
      <c r="L155" s="244">
        <v>5826178398</v>
      </c>
      <c r="M155" s="241">
        <v>14779356</v>
      </c>
      <c r="N155" s="244">
        <v>603</v>
      </c>
      <c r="O155" s="301">
        <v>45363.708506944444</v>
      </c>
      <c r="P155" s="310">
        <v>154</v>
      </c>
      <c r="Q155" s="277">
        <v>0</v>
      </c>
      <c r="R155" s="287">
        <v>0</v>
      </c>
      <c r="S155" s="289">
        <v>0</v>
      </c>
      <c r="T155" s="258">
        <v>0</v>
      </c>
      <c r="U155" s="698"/>
      <c r="V155" s="458">
        <v>0</v>
      </c>
      <c r="W155" s="508">
        <f>V154*(F154/100)</f>
        <v>0</v>
      </c>
      <c r="X155" s="692"/>
      <c r="Y155" s="712">
        <f t="shared" ref="Y155" si="150">IFERROR(INT($Y$1/(F154/100)),"")</f>
        <v>260</v>
      </c>
      <c r="Z155" s="411"/>
      <c r="AA155" s="351"/>
      <c r="AB155" s="38"/>
      <c r="AC155" s="455"/>
      <c r="AF155" s="47">
        <f t="shared" ref="AF155:AF157" si="151">AC155*AE155</f>
        <v>0</v>
      </c>
    </row>
    <row r="156" spans="1:32" ht="12.75" hidden="1" customHeight="1">
      <c r="A156" s="252" t="s">
        <v>560</v>
      </c>
      <c r="B156" s="261"/>
      <c r="C156" s="336"/>
      <c r="D156" s="270"/>
      <c r="E156" s="261"/>
      <c r="F156" s="601"/>
      <c r="G156" s="348"/>
      <c r="H156" s="251"/>
      <c r="I156" s="238"/>
      <c r="J156" s="238"/>
      <c r="K156" s="275">
        <v>36</v>
      </c>
      <c r="L156" s="260"/>
      <c r="M156" s="242"/>
      <c r="N156" s="260"/>
      <c r="O156" s="302"/>
      <c r="P156" s="311">
        <v>155</v>
      </c>
      <c r="Q156" s="278">
        <v>0</v>
      </c>
      <c r="R156" s="288">
        <v>0</v>
      </c>
      <c r="S156" s="291">
        <v>0</v>
      </c>
      <c r="T156" s="257">
        <v>0</v>
      </c>
      <c r="U156" s="699"/>
      <c r="V156" s="328"/>
      <c r="W156" s="509">
        <f t="shared" ref="W156" si="152">(V156*X156)</f>
        <v>0</v>
      </c>
      <c r="X156" s="690"/>
      <c r="Y156" s="713">
        <f t="shared" ref="Y156" si="153">IF(D156&lt;&gt;0,($C157*(1-$V$1))-$D156,0)</f>
        <v>0</v>
      </c>
      <c r="Z156" s="334" t="str">
        <f>IFERROR(IF(C156&lt;&gt;"",$Y$1/(D154/100)*(C156/100),""),"")</f>
        <v/>
      </c>
      <c r="AA156" s="400" t="str">
        <f>IFERROR($AA$1/(D156/100)*(C154/100),"")</f>
        <v/>
      </c>
      <c r="AB156" s="38"/>
      <c r="AC156" s="455"/>
      <c r="AF156" s="47">
        <f t="shared" si="151"/>
        <v>0</v>
      </c>
    </row>
    <row r="157" spans="1:32" ht="12.75" hidden="1" customHeight="1">
      <c r="A157" s="312" t="s">
        <v>236</v>
      </c>
      <c r="B157" s="249"/>
      <c r="C157" s="248"/>
      <c r="D157" s="480">
        <v>43.5</v>
      </c>
      <c r="E157" s="481">
        <v>55086</v>
      </c>
      <c r="F157" s="250"/>
      <c r="G157" s="347"/>
      <c r="H157" s="246"/>
      <c r="I157" s="237"/>
      <c r="J157" s="237"/>
      <c r="K157" s="272">
        <v>27.25</v>
      </c>
      <c r="L157" s="244"/>
      <c r="M157" s="241"/>
      <c r="N157" s="244"/>
      <c r="O157" s="301"/>
      <c r="P157" s="310">
        <v>156</v>
      </c>
      <c r="Q157" s="277">
        <v>0</v>
      </c>
      <c r="R157" s="287">
        <v>0</v>
      </c>
      <c r="S157" s="289">
        <v>0</v>
      </c>
      <c r="T157" s="258">
        <v>0</v>
      </c>
      <c r="U157" s="698"/>
      <c r="V157" s="327">
        <v>0</v>
      </c>
      <c r="W157" s="510">
        <f>V156*(F156/100)</f>
        <v>0</v>
      </c>
      <c r="X157" s="692"/>
      <c r="Y157" s="714" t="str">
        <f t="shared" ref="Y157" si="154">IFERROR(INT($AA$1/(F156/100)),"")</f>
        <v/>
      </c>
      <c r="Z157" s="333" t="str">
        <f>IFERROR(IF(C157&lt;&gt;"",$Y$1/(D155/100)*(C157/100),""),"")</f>
        <v/>
      </c>
      <c r="AA157" s="402">
        <f>IFERROR($AA$1/(D157/100)*(C155/100),"")</f>
        <v>91954.022988505749</v>
      </c>
      <c r="AB157" s="38"/>
      <c r="AC157" s="465"/>
      <c r="AD157" s="465"/>
      <c r="AE157" s="465"/>
      <c r="AF157" s="465">
        <f t="shared" si="151"/>
        <v>0</v>
      </c>
    </row>
    <row r="158" spans="1:32" ht="12.75" customHeight="1">
      <c r="A158" s="416" t="s">
        <v>561</v>
      </c>
      <c r="B158" s="261">
        <v>5525</v>
      </c>
      <c r="C158" s="336">
        <v>37.600999999999999</v>
      </c>
      <c r="D158" s="270">
        <v>38.548999999999999</v>
      </c>
      <c r="E158" s="261">
        <v>1575</v>
      </c>
      <c r="F158" s="601">
        <v>38.548999999999999</v>
      </c>
      <c r="G158" s="348">
        <v>1.44E-2</v>
      </c>
      <c r="H158" s="251">
        <v>38</v>
      </c>
      <c r="I158" s="238">
        <v>38.249000000000002</v>
      </c>
      <c r="J158" s="238">
        <v>37.006999999999998</v>
      </c>
      <c r="K158" s="275">
        <v>38</v>
      </c>
      <c r="L158" s="260">
        <v>161152</v>
      </c>
      <c r="M158" s="242">
        <v>428014</v>
      </c>
      <c r="N158" s="260">
        <v>198</v>
      </c>
      <c r="O158" s="302">
        <v>45363.682581018518</v>
      </c>
      <c r="P158" s="311">
        <v>157</v>
      </c>
      <c r="Q158" s="278">
        <v>0</v>
      </c>
      <c r="R158" s="288">
        <v>0</v>
      </c>
      <c r="S158" s="291">
        <v>0</v>
      </c>
      <c r="T158" s="257">
        <v>0</v>
      </c>
      <c r="U158" s="699"/>
      <c r="V158" s="456">
        <v>0</v>
      </c>
      <c r="W158" s="511">
        <f t="shared" ref="W158" si="155">(V158*X158)</f>
        <v>0</v>
      </c>
      <c r="X158" s="693"/>
      <c r="Y158" s="715">
        <f t="shared" ref="Y158" si="156">IF(D158&lt;&gt;0,($C159*(1-$V$1))-$D158,0)</f>
        <v>-0.44899999999999807</v>
      </c>
      <c r="Z158" s="332">
        <f>IFERROR(IF(C158&lt;&gt;"",$Y$1/(D154/100)*(C158/100),""),"")</f>
        <v>96.15794901404368</v>
      </c>
      <c r="AA158" s="401">
        <f>IFERROR($Z$1/(D158/100)*(C154/100),"")</f>
        <v>102739.37067109393</v>
      </c>
      <c r="AB158" s="38"/>
      <c r="AC158" s="469">
        <f>SUM(AC154:AC157)</f>
        <v>28</v>
      </c>
      <c r="AD158" s="470"/>
      <c r="AE158" s="470" t="s">
        <v>588</v>
      </c>
      <c r="AF158" s="470">
        <f>SUM(AF154:AF157)</f>
        <v>12320</v>
      </c>
    </row>
    <row r="159" spans="1:32" ht="12.75" customHeight="1">
      <c r="A159" s="449" t="s">
        <v>237</v>
      </c>
      <c r="B159" s="450">
        <v>2487</v>
      </c>
      <c r="C159" s="434">
        <v>38.1</v>
      </c>
      <c r="D159" s="479">
        <v>38.42</v>
      </c>
      <c r="E159" s="444">
        <v>143</v>
      </c>
      <c r="F159" s="600">
        <v>38.42</v>
      </c>
      <c r="G159" s="451">
        <v>3.8300000000000001E-2</v>
      </c>
      <c r="H159" s="437">
        <v>37.299999999999997</v>
      </c>
      <c r="I159" s="438">
        <v>38.5</v>
      </c>
      <c r="J159" s="438">
        <v>37</v>
      </c>
      <c r="K159" s="454">
        <v>37</v>
      </c>
      <c r="L159" s="428">
        <v>70466</v>
      </c>
      <c r="M159" s="440">
        <v>186843</v>
      </c>
      <c r="N159" s="428">
        <v>109</v>
      </c>
      <c r="O159" s="429">
        <v>45363.705266203702</v>
      </c>
      <c r="P159" s="310">
        <v>158</v>
      </c>
      <c r="Q159" s="430">
        <v>0</v>
      </c>
      <c r="R159" s="452">
        <v>0</v>
      </c>
      <c r="S159" s="432">
        <v>0</v>
      </c>
      <c r="T159" s="443">
        <v>0</v>
      </c>
      <c r="U159" s="698"/>
      <c r="V159" s="457">
        <v>0</v>
      </c>
      <c r="W159" s="514">
        <f>V158*(F158/100)</f>
        <v>0</v>
      </c>
      <c r="X159" s="691"/>
      <c r="Y159" s="716">
        <f t="shared" ref="Y159" si="157">IFERROR(INT($Z$1/(F158/100)),"")</f>
        <v>259</v>
      </c>
      <c r="Z159" s="446">
        <f>IFERROR(IF(C159&lt;&gt;"",$Y$1/(D155/100)*(C159/100),""),"")</f>
        <v>94.851464435146454</v>
      </c>
      <c r="AA159" s="453">
        <f>IFERROR($Z$1/(D159/100)*(C155/100),"")</f>
        <v>104112.44143675167</v>
      </c>
      <c r="AB159" s="38"/>
      <c r="AC159" s="753">
        <f>AF158/AC158</f>
        <v>440</v>
      </c>
      <c r="AD159" s="753"/>
      <c r="AE159" s="753"/>
      <c r="AF159" s="753"/>
    </row>
    <row r="160" spans="1:32" ht="12.75" customHeight="1">
      <c r="A160" s="285" t="s">
        <v>565</v>
      </c>
      <c r="B160" s="261">
        <v>2306</v>
      </c>
      <c r="C160" s="336">
        <v>43360</v>
      </c>
      <c r="D160" s="270">
        <v>44600</v>
      </c>
      <c r="E160" s="261">
        <v>106</v>
      </c>
      <c r="F160" s="292">
        <v>44335</v>
      </c>
      <c r="G160" s="345">
        <v>6.83E-2</v>
      </c>
      <c r="H160" s="247">
        <v>42500</v>
      </c>
      <c r="I160" s="239">
        <v>44900</v>
      </c>
      <c r="J160" s="239">
        <v>42500</v>
      </c>
      <c r="K160" s="274">
        <v>41500</v>
      </c>
      <c r="L160" s="266">
        <v>9548782</v>
      </c>
      <c r="M160" s="243">
        <v>21691</v>
      </c>
      <c r="N160" s="266">
        <v>69</v>
      </c>
      <c r="O160" s="300">
        <v>45363.671377314815</v>
      </c>
      <c r="P160" s="311">
        <v>159</v>
      </c>
      <c r="Q160" s="279">
        <v>0</v>
      </c>
      <c r="R160" s="286">
        <v>0</v>
      </c>
      <c r="S160" s="290">
        <v>0</v>
      </c>
      <c r="T160" s="259">
        <v>0</v>
      </c>
      <c r="U160" s="699"/>
      <c r="V160" s="459"/>
      <c r="W160" s="513">
        <f t="shared" ref="W160" si="158">(V160*X160)</f>
        <v>0</v>
      </c>
      <c r="X160" s="690"/>
      <c r="Y160" s="504">
        <f t="shared" ref="Y160" si="159">IF(D160&lt;&gt;0,($C161*(1-$V$1))-$D160,0)</f>
        <v>-270</v>
      </c>
      <c r="Z160" s="478"/>
      <c r="AA160" s="350"/>
      <c r="AB160" s="38"/>
    </row>
    <row r="161" spans="1:28" ht="12.75" customHeight="1">
      <c r="A161" s="284" t="s">
        <v>189</v>
      </c>
      <c r="B161" s="249">
        <v>1000</v>
      </c>
      <c r="C161" s="248">
        <v>44330</v>
      </c>
      <c r="D161" s="480">
        <v>44420</v>
      </c>
      <c r="E161" s="481">
        <v>759</v>
      </c>
      <c r="F161" s="250">
        <v>44420</v>
      </c>
      <c r="G161" s="347">
        <v>6.5199999999999994E-2</v>
      </c>
      <c r="H161" s="246">
        <v>41200</v>
      </c>
      <c r="I161" s="237">
        <v>45495</v>
      </c>
      <c r="J161" s="237">
        <v>40495</v>
      </c>
      <c r="K161" s="272">
        <v>41700</v>
      </c>
      <c r="L161" s="244">
        <v>29788182</v>
      </c>
      <c r="M161" s="241">
        <v>67503</v>
      </c>
      <c r="N161" s="244">
        <v>181</v>
      </c>
      <c r="O161" s="301">
        <v>45363.708483796298</v>
      </c>
      <c r="P161" s="310">
        <v>160</v>
      </c>
      <c r="Q161" s="277">
        <v>0</v>
      </c>
      <c r="R161" s="287">
        <v>0</v>
      </c>
      <c r="S161" s="289">
        <v>0</v>
      </c>
      <c r="T161" s="258">
        <v>0</v>
      </c>
      <c r="U161" s="698"/>
      <c r="V161" s="458">
        <v>0</v>
      </c>
      <c r="W161" s="508">
        <f>V160*(F160/100)</f>
        <v>0</v>
      </c>
      <c r="X161" s="692"/>
      <c r="Y161" s="712">
        <f t="shared" ref="Y161" si="160">IFERROR(INT($Y$1/(F160/100)),"")</f>
        <v>233</v>
      </c>
      <c r="Z161" s="411"/>
      <c r="AA161" s="351"/>
      <c r="AB161" s="38"/>
    </row>
    <row r="162" spans="1:28" ht="12.75" hidden="1" customHeight="1">
      <c r="A162" s="252" t="s">
        <v>566</v>
      </c>
      <c r="B162" s="261"/>
      <c r="C162" s="336"/>
      <c r="D162" s="270"/>
      <c r="E162" s="261"/>
      <c r="F162" s="601"/>
      <c r="G162" s="348"/>
      <c r="H162" s="251"/>
      <c r="I162" s="238"/>
      <c r="J162" s="238"/>
      <c r="K162" s="275">
        <v>21.007999999999999</v>
      </c>
      <c r="L162" s="260"/>
      <c r="M162" s="242"/>
      <c r="N162" s="260"/>
      <c r="O162" s="302"/>
      <c r="P162" s="311">
        <v>161</v>
      </c>
      <c r="Q162" s="278">
        <v>0</v>
      </c>
      <c r="R162" s="288">
        <v>0</v>
      </c>
      <c r="S162" s="291">
        <v>0</v>
      </c>
      <c r="T162" s="257">
        <v>0</v>
      </c>
      <c r="U162" s="699"/>
      <c r="V162" s="328"/>
      <c r="W162" s="509">
        <f t="shared" ref="W162" si="161">(V162*X162)</f>
        <v>0</v>
      </c>
      <c r="X162" s="690"/>
      <c r="Y162" s="713">
        <f t="shared" ref="Y162" si="162">IF(D162&lt;&gt;0,($C163*(1-$V$1))-$D162,0)</f>
        <v>0</v>
      </c>
      <c r="Z162" s="334" t="str">
        <f>IFERROR(IF(C162&lt;&gt;"",$Y$1/(D160/100)*(C162/100),""),"")</f>
        <v/>
      </c>
      <c r="AA162" s="400" t="str">
        <f>IFERROR($AA$1/(D162/100)*(C160/100),"")</f>
        <v/>
      </c>
      <c r="AB162" s="38"/>
    </row>
    <row r="163" spans="1:28" ht="12.75" hidden="1" customHeight="1">
      <c r="A163" s="312" t="s">
        <v>276</v>
      </c>
      <c r="B163" s="249"/>
      <c r="C163" s="248"/>
      <c r="D163" s="480"/>
      <c r="E163" s="481"/>
      <c r="F163" s="250"/>
      <c r="G163" s="347"/>
      <c r="H163" s="246"/>
      <c r="I163" s="237"/>
      <c r="J163" s="237"/>
      <c r="K163" s="272">
        <v>25.276</v>
      </c>
      <c r="L163" s="244"/>
      <c r="M163" s="241"/>
      <c r="N163" s="244"/>
      <c r="O163" s="301"/>
      <c r="P163" s="310">
        <v>162</v>
      </c>
      <c r="Q163" s="277">
        <v>0</v>
      </c>
      <c r="R163" s="287">
        <v>0</v>
      </c>
      <c r="S163" s="289">
        <v>0</v>
      </c>
      <c r="T163" s="258">
        <v>0</v>
      </c>
      <c r="U163" s="698"/>
      <c r="V163" s="327">
        <v>0</v>
      </c>
      <c r="W163" s="510">
        <f>V162*(F162/100)</f>
        <v>0</v>
      </c>
      <c r="X163" s="692"/>
      <c r="Y163" s="714" t="str">
        <f t="shared" ref="Y163" si="163">IFERROR(INT($AA$1/(F162/100)),"")</f>
        <v/>
      </c>
      <c r="Z163" s="333" t="str">
        <f>IFERROR(IF(C163&lt;&gt;"",$Y$1/(D161/100)*(C163/100),""),"")</f>
        <v/>
      </c>
      <c r="AA163" s="402" t="str">
        <f>IFERROR($AA$1/(D163/100)*(C161/100),"")</f>
        <v/>
      </c>
      <c r="AB163" s="38"/>
    </row>
    <row r="164" spans="1:28" ht="12.75" customHeight="1">
      <c r="A164" s="416" t="s">
        <v>567</v>
      </c>
      <c r="B164" s="261">
        <v>3000</v>
      </c>
      <c r="C164" s="336">
        <v>41.5</v>
      </c>
      <c r="D164" s="270">
        <v>43.8</v>
      </c>
      <c r="E164" s="261">
        <v>161</v>
      </c>
      <c r="F164" s="601">
        <v>43.731000000000002</v>
      </c>
      <c r="G164" s="348">
        <v>5.1399999999999994E-2</v>
      </c>
      <c r="H164" s="251">
        <v>43.7</v>
      </c>
      <c r="I164" s="238">
        <v>43.8</v>
      </c>
      <c r="J164" s="238">
        <v>41.654000000000003</v>
      </c>
      <c r="K164" s="275">
        <v>41.593000000000004</v>
      </c>
      <c r="L164" s="260">
        <v>1716</v>
      </c>
      <c r="M164" s="242">
        <v>4063</v>
      </c>
      <c r="N164" s="260">
        <v>10</v>
      </c>
      <c r="O164" s="302">
        <v>45363.65996527778</v>
      </c>
      <c r="P164" s="311">
        <v>163</v>
      </c>
      <c r="Q164" s="278">
        <v>0</v>
      </c>
      <c r="R164" s="288">
        <v>0</v>
      </c>
      <c r="S164" s="291">
        <v>0</v>
      </c>
      <c r="T164" s="257">
        <v>0</v>
      </c>
      <c r="U164" s="699"/>
      <c r="V164" s="456">
        <v>0</v>
      </c>
      <c r="W164" s="511">
        <f t="shared" ref="W164" si="164">(V164*X164)</f>
        <v>0</v>
      </c>
      <c r="X164" s="693"/>
      <c r="Y164" s="715">
        <f t="shared" ref="Y164" si="165">IF(D164&lt;&gt;0,($C165*(1-$V$1))-$D164,0)</f>
        <v>-0.94899999999999807</v>
      </c>
      <c r="Z164" s="332">
        <f>IFERROR(IF(C164&lt;&gt;"",$Y$1/(D160/100)*(C164/100),""),"")</f>
        <v>96.134749610672273</v>
      </c>
      <c r="AA164" s="401">
        <f>IFERROR($Z$1/(D164/100)*(C160/100),"")</f>
        <v>98995.433789954361</v>
      </c>
      <c r="AB164" s="38"/>
    </row>
    <row r="165" spans="1:28" ht="12.75" customHeight="1">
      <c r="A165" s="449" t="s">
        <v>277</v>
      </c>
      <c r="B165" s="450">
        <v>223</v>
      </c>
      <c r="C165" s="434">
        <v>42.850999999999999</v>
      </c>
      <c r="D165" s="479">
        <v>43</v>
      </c>
      <c r="E165" s="444">
        <v>24429</v>
      </c>
      <c r="F165" s="600">
        <v>43</v>
      </c>
      <c r="G165" s="451">
        <v>1.6500000000000001E-2</v>
      </c>
      <c r="H165" s="437">
        <v>43.12</v>
      </c>
      <c r="I165" s="438">
        <v>43.12</v>
      </c>
      <c r="J165" s="438">
        <v>42.1</v>
      </c>
      <c r="K165" s="454">
        <v>42.3</v>
      </c>
      <c r="L165" s="428">
        <v>13249</v>
      </c>
      <c r="M165" s="440">
        <v>31184</v>
      </c>
      <c r="N165" s="428">
        <v>48</v>
      </c>
      <c r="O165" s="429">
        <v>45363.70621527778</v>
      </c>
      <c r="P165" s="310">
        <v>164</v>
      </c>
      <c r="Q165" s="430">
        <v>0</v>
      </c>
      <c r="R165" s="452">
        <v>0</v>
      </c>
      <c r="S165" s="432">
        <v>0</v>
      </c>
      <c r="T165" s="443">
        <v>0</v>
      </c>
      <c r="U165" s="698"/>
      <c r="V165" s="457">
        <v>0</v>
      </c>
      <c r="W165" s="514">
        <f>V164*(F164/100)</f>
        <v>0</v>
      </c>
      <c r="X165" s="691"/>
      <c r="Y165" s="716">
        <f t="shared" ref="Y165" si="166">IFERROR(INT($Z$1/(F164/100)),"")</f>
        <v>228</v>
      </c>
      <c r="Z165" s="446">
        <f>IFERROR(IF(C165&lt;&gt;"",$Y$1/(D161/100)*(C165/100),""),"")</f>
        <v>99.666582912442863</v>
      </c>
      <c r="AA165" s="453">
        <f>IFERROR($Z$1/(D165/100)*(C161/100),"")</f>
        <v>103093.02325581397</v>
      </c>
      <c r="AB165" s="38"/>
    </row>
    <row r="166" spans="1:28" ht="12.75" customHeight="1">
      <c r="A166" s="285" t="s">
        <v>565</v>
      </c>
      <c r="B166" s="261">
        <v>2306</v>
      </c>
      <c r="C166" s="336">
        <v>43360</v>
      </c>
      <c r="D166" s="270">
        <v>44600</v>
      </c>
      <c r="E166" s="261">
        <v>106</v>
      </c>
      <c r="F166" s="292">
        <v>44335</v>
      </c>
      <c r="G166" s="345">
        <v>6.83E-2</v>
      </c>
      <c r="H166" s="247">
        <v>42500</v>
      </c>
      <c r="I166" s="239">
        <v>44900</v>
      </c>
      <c r="J166" s="239">
        <v>42500</v>
      </c>
      <c r="K166" s="274">
        <v>41500</v>
      </c>
      <c r="L166" s="266">
        <v>9548782</v>
      </c>
      <c r="M166" s="243">
        <v>21691</v>
      </c>
      <c r="N166" s="266">
        <v>69</v>
      </c>
      <c r="O166" s="300">
        <v>45363.671377314815</v>
      </c>
      <c r="P166" s="311">
        <v>165</v>
      </c>
      <c r="Q166" s="279">
        <v>0</v>
      </c>
      <c r="R166" s="286">
        <v>0</v>
      </c>
      <c r="S166" s="290">
        <v>0</v>
      </c>
      <c r="T166" s="259">
        <v>0</v>
      </c>
      <c r="U166" s="699"/>
      <c r="V166" s="459">
        <v>478</v>
      </c>
      <c r="W166" s="513">
        <f t="shared" ref="W166" si="167">(V166*X166)</f>
        <v>208384.1</v>
      </c>
      <c r="X166" s="690">
        <v>435.95</v>
      </c>
      <c r="Y166" s="504">
        <f t="shared" ref="Y166" si="168">IF(D166&lt;&gt;0,($C167*(1-$V$1))-$D166,0)</f>
        <v>-270</v>
      </c>
      <c r="Z166" s="478"/>
      <c r="AA166" s="350"/>
    </row>
    <row r="167" spans="1:28" ht="12.75" customHeight="1">
      <c r="A167" s="284" t="s">
        <v>189</v>
      </c>
      <c r="B167" s="249">
        <v>1000</v>
      </c>
      <c r="C167" s="248">
        <v>44330</v>
      </c>
      <c r="D167" s="480">
        <v>44420</v>
      </c>
      <c r="E167" s="481">
        <v>759</v>
      </c>
      <c r="F167" s="250">
        <v>44420</v>
      </c>
      <c r="G167" s="347">
        <v>6.5199999999999994E-2</v>
      </c>
      <c r="H167" s="246">
        <v>41200</v>
      </c>
      <c r="I167" s="237">
        <v>45495</v>
      </c>
      <c r="J167" s="237">
        <v>40495</v>
      </c>
      <c r="K167" s="272">
        <v>41700</v>
      </c>
      <c r="L167" s="244">
        <v>29788182</v>
      </c>
      <c r="M167" s="241">
        <v>67503</v>
      </c>
      <c r="N167" s="244">
        <v>181</v>
      </c>
      <c r="O167" s="301">
        <v>45363.708483796298</v>
      </c>
      <c r="P167" s="310">
        <v>166</v>
      </c>
      <c r="Q167" s="277">
        <v>0</v>
      </c>
      <c r="R167" s="287">
        <v>0</v>
      </c>
      <c r="S167" s="289">
        <v>0</v>
      </c>
      <c r="T167" s="258">
        <v>0</v>
      </c>
      <c r="U167" s="698"/>
      <c r="V167" s="458">
        <v>0</v>
      </c>
      <c r="W167" s="508">
        <f>V166*(F166/100)</f>
        <v>211921.30000000002</v>
      </c>
      <c r="X167" s="692"/>
      <c r="Y167" s="712">
        <f t="shared" ref="Y167" si="169">IFERROR(INT($Y$1/(F166/100)),"")</f>
        <v>233</v>
      </c>
      <c r="Z167" s="411"/>
      <c r="AA167" s="351"/>
    </row>
    <row r="168" spans="1:28" ht="12.75" hidden="1" customHeight="1">
      <c r="A168" s="252" t="s">
        <v>566</v>
      </c>
      <c r="B168" s="261"/>
      <c r="C168" s="336"/>
      <c r="D168" s="270"/>
      <c r="E168" s="261"/>
      <c r="F168" s="601"/>
      <c r="G168" s="348"/>
      <c r="H168" s="251"/>
      <c r="I168" s="238"/>
      <c r="J168" s="238"/>
      <c r="K168" s="275">
        <v>21.007999999999999</v>
      </c>
      <c r="L168" s="260"/>
      <c r="M168" s="242"/>
      <c r="N168" s="260"/>
      <c r="O168" s="302"/>
      <c r="P168" s="311">
        <v>167</v>
      </c>
      <c r="Q168" s="278">
        <v>0</v>
      </c>
      <c r="R168" s="288">
        <v>0</v>
      </c>
      <c r="S168" s="291">
        <v>0</v>
      </c>
      <c r="T168" s="257">
        <v>0</v>
      </c>
      <c r="U168" s="699"/>
      <c r="V168" s="328"/>
      <c r="W168" s="509">
        <f t="shared" ref="W168" si="170">(V168*X168)</f>
        <v>0</v>
      </c>
      <c r="X168" s="690"/>
      <c r="Y168" s="713">
        <f t="shared" ref="Y168" si="171">IF(D168&lt;&gt;0,($C169*(1-$V$1))-$D168,0)</f>
        <v>0</v>
      </c>
      <c r="Z168" s="334" t="str">
        <f>IFERROR(IF(C168&lt;&gt;"",$Y$1/(D166/100)*(C168/100),""),"")</f>
        <v/>
      </c>
      <c r="AA168" s="400" t="str">
        <f>IFERROR($AA$1/(D168/100)*(C166/100),"")</f>
        <v/>
      </c>
    </row>
    <row r="169" spans="1:28" ht="12.75" hidden="1" customHeight="1">
      <c r="A169" s="312" t="s">
        <v>276</v>
      </c>
      <c r="B169" s="249"/>
      <c r="C169" s="248"/>
      <c r="D169" s="480"/>
      <c r="E169" s="481"/>
      <c r="F169" s="250"/>
      <c r="G169" s="347"/>
      <c r="H169" s="246"/>
      <c r="I169" s="237"/>
      <c r="J169" s="237"/>
      <c r="K169" s="272">
        <v>25.276</v>
      </c>
      <c r="L169" s="244"/>
      <c r="M169" s="241"/>
      <c r="N169" s="244"/>
      <c r="O169" s="301"/>
      <c r="P169" s="310">
        <v>168</v>
      </c>
      <c r="Q169" s="277">
        <v>0</v>
      </c>
      <c r="R169" s="287">
        <v>0</v>
      </c>
      <c r="S169" s="289">
        <v>0</v>
      </c>
      <c r="T169" s="258">
        <v>0</v>
      </c>
      <c r="U169" s="698"/>
      <c r="V169" s="327">
        <v>0</v>
      </c>
      <c r="W169" s="510">
        <f>V168*(F168/100)</f>
        <v>0</v>
      </c>
      <c r="X169" s="692"/>
      <c r="Y169" s="714" t="str">
        <f t="shared" ref="Y169" si="172">IFERROR(INT($AA$1/(F168/100)),"")</f>
        <v/>
      </c>
      <c r="Z169" s="333" t="str">
        <f>IFERROR(IF(C169&lt;&gt;"",$Y$1/(D167/100)*(C169/100),""),"")</f>
        <v/>
      </c>
      <c r="AA169" s="402" t="str">
        <f>IFERROR($AA$1/(D169/100)*(C167/100),"")</f>
        <v/>
      </c>
    </row>
    <row r="170" spans="1:28" ht="12.75" customHeight="1">
      <c r="A170" s="416" t="s">
        <v>567</v>
      </c>
      <c r="B170" s="261">
        <v>3000</v>
      </c>
      <c r="C170" s="336">
        <v>41.5</v>
      </c>
      <c r="D170" s="270">
        <v>43.8</v>
      </c>
      <c r="E170" s="261">
        <v>161</v>
      </c>
      <c r="F170" s="601">
        <v>43.731000000000002</v>
      </c>
      <c r="G170" s="348">
        <v>5.1399999999999994E-2</v>
      </c>
      <c r="H170" s="251">
        <v>43.7</v>
      </c>
      <c r="I170" s="238">
        <v>43.8</v>
      </c>
      <c r="J170" s="238">
        <v>41.654000000000003</v>
      </c>
      <c r="K170" s="275">
        <v>41.593000000000004</v>
      </c>
      <c r="L170" s="260">
        <v>1716</v>
      </c>
      <c r="M170" s="242">
        <v>4063</v>
      </c>
      <c r="N170" s="260">
        <v>10</v>
      </c>
      <c r="O170" s="302">
        <v>45363.65996527778</v>
      </c>
      <c r="P170" s="311">
        <v>169</v>
      </c>
      <c r="Q170" s="278">
        <v>0</v>
      </c>
      <c r="R170" s="288">
        <v>0</v>
      </c>
      <c r="S170" s="291">
        <v>0</v>
      </c>
      <c r="T170" s="257">
        <v>0</v>
      </c>
      <c r="U170" s="699"/>
      <c r="V170" s="456">
        <v>478</v>
      </c>
      <c r="W170" s="511">
        <f t="shared" ref="W170" si="173">(V170*X170)</f>
        <v>204.34978000000001</v>
      </c>
      <c r="X170" s="693">
        <v>0.42751</v>
      </c>
      <c r="Y170" s="715">
        <f t="shared" ref="Y170" si="174">IF(D170&lt;&gt;0,($C171*(1-$V$1))-$D170,0)</f>
        <v>-0.94899999999999807</v>
      </c>
      <c r="Z170" s="332">
        <f>IFERROR(IF(C170&lt;&gt;"",$Y$1/(D166/100)*(C170/100),""),"")</f>
        <v>96.134749610672273</v>
      </c>
      <c r="AA170" s="401">
        <f>IFERROR($Z$1/(D170/100)*(C166/100),"")</f>
        <v>98995.433789954361</v>
      </c>
    </row>
    <row r="171" spans="1:28" ht="12.75" customHeight="1">
      <c r="A171" s="449" t="s">
        <v>277</v>
      </c>
      <c r="B171" s="450">
        <v>223</v>
      </c>
      <c r="C171" s="434">
        <v>42.850999999999999</v>
      </c>
      <c r="D171" s="479">
        <v>43</v>
      </c>
      <c r="E171" s="444">
        <v>24429</v>
      </c>
      <c r="F171" s="600">
        <v>43</v>
      </c>
      <c r="G171" s="451">
        <v>1.6500000000000001E-2</v>
      </c>
      <c r="H171" s="437">
        <v>43.12</v>
      </c>
      <c r="I171" s="438">
        <v>43.12</v>
      </c>
      <c r="J171" s="438">
        <v>42.1</v>
      </c>
      <c r="K171" s="454">
        <v>42.3</v>
      </c>
      <c r="L171" s="428">
        <v>13249</v>
      </c>
      <c r="M171" s="440">
        <v>31184</v>
      </c>
      <c r="N171" s="428">
        <v>48</v>
      </c>
      <c r="O171" s="429">
        <v>45363.70621527778</v>
      </c>
      <c r="P171" s="694">
        <v>170</v>
      </c>
      <c r="Q171" s="430">
        <v>0</v>
      </c>
      <c r="R171" s="452">
        <v>0</v>
      </c>
      <c r="S171" s="432">
        <v>0</v>
      </c>
      <c r="T171" s="443">
        <v>0</v>
      </c>
      <c r="U171" s="698"/>
      <c r="V171" s="457">
        <v>0</v>
      </c>
      <c r="W171" s="514">
        <f>V170*(C170/100)</f>
        <v>198.37</v>
      </c>
      <c r="X171" s="691"/>
      <c r="Y171" s="716">
        <f t="shared" ref="Y171" si="175">IFERROR(INT($Z$1/(F170/100)),"")</f>
        <v>228</v>
      </c>
      <c r="Z171" s="446">
        <f>IFERROR(IF(C171&lt;&gt;"",$Y$1/(D167/100)*(C171/100),""),"")</f>
        <v>99.666582912442863</v>
      </c>
      <c r="AA171" s="453">
        <f>IFERROR($Z$1/(D171/100)*(C167/100),"")</f>
        <v>103093.02325581397</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29" priority="8890">
      <formula>V60&lt;&gt;0</formula>
    </cfRule>
  </conditionalFormatting>
  <conditionalFormatting sqref="A61">
    <cfRule type="expression" dxfId="2328" priority="8889">
      <formula>V61&lt;&gt;0</formula>
    </cfRule>
  </conditionalFormatting>
  <conditionalFormatting sqref="A62">
    <cfRule type="expression" dxfId="2327" priority="8888">
      <formula>V62&lt;&gt;0</formula>
    </cfRule>
  </conditionalFormatting>
  <conditionalFormatting sqref="A63">
    <cfRule type="expression" dxfId="2326" priority="8887">
      <formula>V63&lt;&gt;0</formula>
    </cfRule>
  </conditionalFormatting>
  <conditionalFormatting sqref="A64:A65">
    <cfRule type="expression" dxfId="2325" priority="8677">
      <formula>V64&lt;&gt;0</formula>
    </cfRule>
  </conditionalFormatting>
  <conditionalFormatting sqref="A66:A67">
    <cfRule type="expression" dxfId="2324" priority="13833">
      <formula>V66&lt;&gt;0</formula>
    </cfRule>
  </conditionalFormatting>
  <conditionalFormatting sqref="A68:A69">
    <cfRule type="expression" dxfId="2323" priority="13832">
      <formula>V68&lt;&gt;0</formula>
    </cfRule>
  </conditionalFormatting>
  <conditionalFormatting sqref="B64">
    <cfRule type="cellIs" dxfId="2322" priority="14521" operator="greaterThan">
      <formula>E64</formula>
    </cfRule>
  </conditionalFormatting>
  <conditionalFormatting sqref="G70:G159 G60:G63 G2:G29">
    <cfRule type="cellIs" dxfId="2321" priority="13094" operator="lessThan">
      <formula>0</formula>
    </cfRule>
  </conditionalFormatting>
  <conditionalFormatting sqref="Q60:T159">
    <cfRule type="cellIs" dxfId="2320" priority="12603" operator="equal">
      <formula>0</formula>
    </cfRule>
  </conditionalFormatting>
  <conditionalFormatting sqref="V60:V81 V2:V41">
    <cfRule type="cellIs" dxfId="2319" priority="13096" operator="lessThan">
      <formula>0</formula>
    </cfRule>
    <cfRule type="cellIs" dxfId="2318" priority="13097" operator="equal">
      <formula>0</formula>
    </cfRule>
  </conditionalFormatting>
  <conditionalFormatting sqref="Y66 Y68">
    <cfRule type="cellIs" dxfId="2317" priority="8699" operator="lessThanOrEqual">
      <formula>0</formula>
    </cfRule>
  </conditionalFormatting>
  <conditionalFormatting sqref="Z30:Z34 W62:X63 Z37:Z41">
    <cfRule type="cellIs" dxfId="2316" priority="13346" operator="equal">
      <formula>0</formula>
    </cfRule>
  </conditionalFormatting>
  <conditionalFormatting sqref="W65">
    <cfRule type="cellIs" dxfId="2315" priority="8653" operator="equal">
      <formula>0</formula>
    </cfRule>
  </conditionalFormatting>
  <conditionalFormatting sqref="W64">
    <cfRule type="cellIs" dxfId="2314" priority="3763" operator="equal">
      <formula>0</formula>
    </cfRule>
    <cfRule type="cellIs" dxfId="2313" priority="3765" operator="lessThan">
      <formula>W65</formula>
    </cfRule>
    <cfRule type="cellIs" dxfId="2312" priority="8652" operator="lessThan">
      <formula>0</formula>
    </cfRule>
  </conditionalFormatting>
  <conditionalFormatting sqref="W67">
    <cfRule type="cellIs" dxfId="2311" priority="8651" operator="equal">
      <formula>0</formula>
    </cfRule>
  </conditionalFormatting>
  <conditionalFormatting sqref="W66">
    <cfRule type="cellIs" dxfId="2310" priority="3761" operator="equal">
      <formula>0</formula>
    </cfRule>
    <cfRule type="cellIs" dxfId="2309" priority="3762" operator="lessThan">
      <formula>W67</formula>
    </cfRule>
    <cfRule type="cellIs" dxfId="2308" priority="8650" operator="lessThan">
      <formula>0</formula>
    </cfRule>
  </conditionalFormatting>
  <conditionalFormatting sqref="W68">
    <cfRule type="cellIs" dxfId="2307" priority="3760" operator="equal">
      <formula>0</formula>
    </cfRule>
    <cfRule type="cellIs" dxfId="2306" priority="3766" operator="lessThan">
      <formula>W69</formula>
    </cfRule>
  </conditionalFormatting>
  <conditionalFormatting sqref="Z2 Z6 Z10 Z14 Z18">
    <cfRule type="cellIs" dxfId="2305" priority="8320" operator="equal">
      <formula>0</formula>
    </cfRule>
  </conditionalFormatting>
  <conditionalFormatting sqref="Z3 Z7 Z11 Z15 Z19">
    <cfRule type="cellIs" dxfId="2304" priority="8319" operator="equal">
      <formula>0</formula>
    </cfRule>
  </conditionalFormatting>
  <conditionalFormatting sqref="Z4 Z8 Z12 Z16 Z20">
    <cfRule type="cellIs" dxfId="2303" priority="8318" operator="equal">
      <formula>0</formula>
    </cfRule>
  </conditionalFormatting>
  <conditionalFormatting sqref="Z5 Z9 Z13 Z17 Z21">
    <cfRule type="cellIs" dxfId="2302" priority="8317" operator="equal">
      <formula>0</formula>
    </cfRule>
  </conditionalFormatting>
  <conditionalFormatting sqref="A70:A71">
    <cfRule type="expression" dxfId="2301" priority="8270">
      <formula>V70&lt;&gt;0</formula>
    </cfRule>
  </conditionalFormatting>
  <conditionalFormatting sqref="A72:A73">
    <cfRule type="expression" dxfId="2300" priority="8272">
      <formula>V72&lt;&gt;0</formula>
    </cfRule>
  </conditionalFormatting>
  <conditionalFormatting sqref="A76:A77">
    <cfRule type="expression" dxfId="2299" priority="8267">
      <formula>V76&lt;&gt;0</formula>
    </cfRule>
  </conditionalFormatting>
  <conditionalFormatting sqref="A78:A79">
    <cfRule type="expression" dxfId="2298" priority="8269">
      <formula>V78&lt;&gt;0</formula>
    </cfRule>
  </conditionalFormatting>
  <conditionalFormatting sqref="A82:A83">
    <cfRule type="expression" dxfId="2297" priority="8264">
      <formula>V82&lt;&gt;0</formula>
    </cfRule>
  </conditionalFormatting>
  <conditionalFormatting sqref="A84:A85">
    <cfRule type="expression" dxfId="2296" priority="8266">
      <formula>V84&lt;&gt;0</formula>
    </cfRule>
  </conditionalFormatting>
  <conditionalFormatting sqref="A88:A89">
    <cfRule type="expression" dxfId="2295" priority="8261">
      <formula>V88&lt;&gt;0</formula>
    </cfRule>
  </conditionalFormatting>
  <conditionalFormatting sqref="A90:A91">
    <cfRule type="expression" dxfId="2294" priority="8263">
      <formula>V90&lt;&gt;0</formula>
    </cfRule>
  </conditionalFormatting>
  <conditionalFormatting sqref="A94:A95">
    <cfRule type="expression" dxfId="2293" priority="8258">
      <formula>V94&lt;&gt;0</formula>
    </cfRule>
  </conditionalFormatting>
  <conditionalFormatting sqref="A96:A97">
    <cfRule type="expression" dxfId="2292" priority="8260">
      <formula>V96&lt;&gt;0</formula>
    </cfRule>
  </conditionalFormatting>
  <conditionalFormatting sqref="A100:A101">
    <cfRule type="expression" dxfId="2291" priority="8255">
      <formula>V100&lt;&gt;0</formula>
    </cfRule>
  </conditionalFormatting>
  <conditionalFormatting sqref="A102:A103">
    <cfRule type="expression" dxfId="2290" priority="8257">
      <formula>V102&lt;&gt;0</formula>
    </cfRule>
  </conditionalFormatting>
  <conditionalFormatting sqref="A106:A107">
    <cfRule type="expression" dxfId="2289" priority="8252">
      <formula>V106&lt;&gt;0</formula>
    </cfRule>
  </conditionalFormatting>
  <conditionalFormatting sqref="A108:A109">
    <cfRule type="expression" dxfId="2288" priority="8254">
      <formula>V108&lt;&gt;0</formula>
    </cfRule>
  </conditionalFormatting>
  <conditionalFormatting sqref="A112:A113">
    <cfRule type="expression" dxfId="2287" priority="8249">
      <formula>V112&lt;&gt;0</formula>
    </cfRule>
  </conditionalFormatting>
  <conditionalFormatting sqref="A114:A115">
    <cfRule type="expression" dxfId="2286" priority="8251">
      <formula>V114&lt;&gt;0</formula>
    </cfRule>
  </conditionalFormatting>
  <conditionalFormatting sqref="A118:A119">
    <cfRule type="expression" dxfId="2285" priority="8246">
      <formula>V118&lt;&gt;0</formula>
    </cfRule>
  </conditionalFormatting>
  <conditionalFormatting sqref="A120:A121">
    <cfRule type="expression" dxfId="2284" priority="8248">
      <formula>V120&lt;&gt;0</formula>
    </cfRule>
  </conditionalFormatting>
  <conditionalFormatting sqref="A124:A125">
    <cfRule type="expression" dxfId="2283" priority="8243">
      <formula>V124&lt;&gt;0</formula>
    </cfRule>
  </conditionalFormatting>
  <conditionalFormatting sqref="A126:A127">
    <cfRule type="expression" dxfId="2282" priority="8245">
      <formula>V126&lt;&gt;0</formula>
    </cfRule>
  </conditionalFormatting>
  <conditionalFormatting sqref="A130:A131">
    <cfRule type="expression" dxfId="2281" priority="8240">
      <formula>V130&lt;&gt;0</formula>
    </cfRule>
  </conditionalFormatting>
  <conditionalFormatting sqref="A132:A133">
    <cfRule type="expression" dxfId="2280" priority="8242">
      <formula>V132&lt;&gt;0</formula>
    </cfRule>
  </conditionalFormatting>
  <conditionalFormatting sqref="A136:A137">
    <cfRule type="expression" dxfId="2279" priority="8237">
      <formula>V136&lt;&gt;0</formula>
    </cfRule>
  </conditionalFormatting>
  <conditionalFormatting sqref="A138:A139">
    <cfRule type="expression" dxfId="2278" priority="8239">
      <formula>V138&lt;&gt;0</formula>
    </cfRule>
  </conditionalFormatting>
  <conditionalFormatting sqref="A142:A143">
    <cfRule type="expression" dxfId="2277" priority="8234">
      <formula>V142&lt;&gt;0</formula>
    </cfRule>
  </conditionalFormatting>
  <conditionalFormatting sqref="A144:A145">
    <cfRule type="expression" dxfId="2276" priority="8236">
      <formula>V144&lt;&gt;0</formula>
    </cfRule>
  </conditionalFormatting>
  <conditionalFormatting sqref="A148:A149">
    <cfRule type="expression" dxfId="2275" priority="8231">
      <formula>V148&lt;&gt;0</formula>
    </cfRule>
  </conditionalFormatting>
  <conditionalFormatting sqref="A150:A151">
    <cfRule type="expression" dxfId="2274" priority="8233">
      <formula>V150&lt;&gt;0</formula>
    </cfRule>
  </conditionalFormatting>
  <conditionalFormatting sqref="A154:A155">
    <cfRule type="expression" dxfId="2273" priority="8228">
      <formula>V154&lt;&gt;0</formula>
    </cfRule>
  </conditionalFormatting>
  <conditionalFormatting sqref="A156:A157">
    <cfRule type="expression" dxfId="2272" priority="8230">
      <formula>V156&lt;&gt;0</formula>
    </cfRule>
  </conditionalFormatting>
  <conditionalFormatting sqref="G64:G69">
    <cfRule type="cellIs" dxfId="2271" priority="7452" operator="lessThan">
      <formula>0</formula>
    </cfRule>
  </conditionalFormatting>
  <conditionalFormatting sqref="G18">
    <cfRule type="cellIs" dxfId="2270" priority="7451" operator="equal">
      <formula>0</formula>
    </cfRule>
  </conditionalFormatting>
  <conditionalFormatting sqref="G19">
    <cfRule type="cellIs" dxfId="2269" priority="7450" operator="equal">
      <formula>0</formula>
    </cfRule>
  </conditionalFormatting>
  <conditionalFormatting sqref="G20">
    <cfRule type="cellIs" dxfId="2268" priority="7449" operator="equal">
      <formula>0</formula>
    </cfRule>
  </conditionalFormatting>
  <conditionalFormatting sqref="G21">
    <cfRule type="cellIs" dxfId="2267" priority="7448" operator="equal">
      <formula>0</formula>
    </cfRule>
  </conditionalFormatting>
  <conditionalFormatting sqref="G22">
    <cfRule type="cellIs" dxfId="2266" priority="7447" operator="equal">
      <formula>0</formula>
    </cfRule>
  </conditionalFormatting>
  <conditionalFormatting sqref="G23">
    <cfRule type="cellIs" dxfId="2265" priority="7446" operator="equal">
      <formula>0</formula>
    </cfRule>
  </conditionalFormatting>
  <conditionalFormatting sqref="G24">
    <cfRule type="cellIs" dxfId="2264" priority="7445" operator="equal">
      <formula>0</formula>
    </cfRule>
  </conditionalFormatting>
  <conditionalFormatting sqref="G25">
    <cfRule type="cellIs" dxfId="2263" priority="7444" operator="equal">
      <formula>0</formula>
    </cfRule>
  </conditionalFormatting>
  <conditionalFormatting sqref="G2">
    <cfRule type="cellIs" dxfId="2262" priority="7443" operator="equal">
      <formula>0</formula>
    </cfRule>
  </conditionalFormatting>
  <conditionalFormatting sqref="G3">
    <cfRule type="cellIs" dxfId="2261" priority="7442" operator="equal">
      <formula>0</formula>
    </cfRule>
  </conditionalFormatting>
  <conditionalFormatting sqref="G4">
    <cfRule type="cellIs" dxfId="2260" priority="7441" operator="equal">
      <formula>0</formula>
    </cfRule>
  </conditionalFormatting>
  <conditionalFormatting sqref="G5">
    <cfRule type="cellIs" dxfId="2259" priority="7440" operator="equal">
      <formula>0</formula>
    </cfRule>
  </conditionalFormatting>
  <conditionalFormatting sqref="G6">
    <cfRule type="cellIs" dxfId="2258" priority="7439" operator="equal">
      <formula>0</formula>
    </cfRule>
  </conditionalFormatting>
  <conditionalFormatting sqref="G7">
    <cfRule type="cellIs" dxfId="2257" priority="7438" operator="equal">
      <formula>0</formula>
    </cfRule>
  </conditionalFormatting>
  <conditionalFormatting sqref="G8">
    <cfRule type="cellIs" dxfId="2256" priority="7437" operator="equal">
      <formula>0</formula>
    </cfRule>
  </conditionalFormatting>
  <conditionalFormatting sqref="G9">
    <cfRule type="cellIs" dxfId="2255" priority="7436" operator="equal">
      <formula>0</formula>
    </cfRule>
  </conditionalFormatting>
  <conditionalFormatting sqref="G10">
    <cfRule type="cellIs" dxfId="2254" priority="7435" operator="equal">
      <formula>0</formula>
    </cfRule>
  </conditionalFormatting>
  <conditionalFormatting sqref="G11">
    <cfRule type="cellIs" dxfId="2253" priority="7434" operator="equal">
      <formula>0</formula>
    </cfRule>
  </conditionalFormatting>
  <conditionalFormatting sqref="G12">
    <cfRule type="cellIs" dxfId="2252" priority="7433" operator="equal">
      <formula>0</formula>
    </cfRule>
  </conditionalFormatting>
  <conditionalFormatting sqref="G13">
    <cfRule type="cellIs" dxfId="2251" priority="7432" operator="equal">
      <formula>0</formula>
    </cfRule>
  </conditionalFormatting>
  <conditionalFormatting sqref="G14 G26">
    <cfRule type="cellIs" dxfId="2250" priority="7431" operator="equal">
      <formula>0</formula>
    </cfRule>
  </conditionalFormatting>
  <conditionalFormatting sqref="G15 G27">
    <cfRule type="cellIs" dxfId="2249" priority="7430" operator="equal">
      <formula>0</formula>
    </cfRule>
  </conditionalFormatting>
  <conditionalFormatting sqref="G16 G28">
    <cfRule type="cellIs" dxfId="2248" priority="7429" operator="equal">
      <formula>0</formula>
    </cfRule>
  </conditionalFormatting>
  <conditionalFormatting sqref="G17:G25 G29">
    <cfRule type="cellIs" dxfId="2247" priority="7428" operator="equal">
      <formula>0</formula>
    </cfRule>
  </conditionalFormatting>
  <conditionalFormatting sqref="Y5 Y17 Y21">
    <cfRule type="cellIs" dxfId="2246" priority="7371" operator="equal">
      <formula>0</formula>
    </cfRule>
    <cfRule type="cellIs" dxfId="2245" priority="7374" operator="greaterThan">
      <formula>Y2</formula>
    </cfRule>
  </conditionalFormatting>
  <conditionalFormatting sqref="Y3">
    <cfRule type="cellIs" dxfId="2244" priority="7373" operator="equal">
      <formula>0</formula>
    </cfRule>
  </conditionalFormatting>
  <conditionalFormatting sqref="Y4">
    <cfRule type="cellIs" dxfId="2243" priority="7372" operator="equal">
      <formula>0</formula>
    </cfRule>
  </conditionalFormatting>
  <conditionalFormatting sqref="Y9">
    <cfRule type="cellIs" dxfId="2242" priority="7365" operator="equal">
      <formula>0</formula>
    </cfRule>
    <cfRule type="cellIs" dxfId="2241" priority="7368" operator="greaterThan">
      <formula>Y6</formula>
    </cfRule>
  </conditionalFormatting>
  <conditionalFormatting sqref="Y7">
    <cfRule type="cellIs" dxfId="2240" priority="7367" operator="equal">
      <formula>0</formula>
    </cfRule>
  </conditionalFormatting>
  <conditionalFormatting sqref="Y8">
    <cfRule type="cellIs" dxfId="2239" priority="7366" operator="equal">
      <formula>0</formula>
    </cfRule>
  </conditionalFormatting>
  <conditionalFormatting sqref="Y13">
    <cfRule type="cellIs" dxfId="2238" priority="7359" operator="equal">
      <formula>0</formula>
    </cfRule>
    <cfRule type="cellIs" dxfId="2237" priority="7362" operator="greaterThan">
      <formula>Y10</formula>
    </cfRule>
  </conditionalFormatting>
  <conditionalFormatting sqref="Y11 Y15 Y19">
    <cfRule type="cellIs" dxfId="2236" priority="7361" operator="equal">
      <formula>0</formula>
    </cfRule>
  </conditionalFormatting>
  <conditionalFormatting sqref="Y12 Y16 Y20">
    <cfRule type="cellIs" dxfId="2235" priority="7360" operator="equal">
      <formula>0</formula>
    </cfRule>
  </conditionalFormatting>
  <conditionalFormatting sqref="Y5 Y9 Y13 Y17 Y21">
    <cfRule type="expression" dxfId="2234" priority="16514">
      <formula>IF($Y5&gt;$Y2,AND(MID($A5,5,1)="D"))</formula>
    </cfRule>
    <cfRule type="expression" dxfId="2233" priority="16515">
      <formula>IF($Y5&gt;$Y2,AND(MID($A5,5,1)="C"))</formula>
    </cfRule>
  </conditionalFormatting>
  <conditionalFormatting sqref="AA2:AA3 AA6:AA7 AA10:AA11 AA14 AA18">
    <cfRule type="expression" dxfId="2232" priority="16522">
      <formula>IF($Y5&gt;$Y2,AND(MID($A2,5,1)="D"))</formula>
    </cfRule>
    <cfRule type="expression" dxfId="2231" priority="16523">
      <formula>IF($Y5&gt;$Y2,AND(MID($A2,5,1)="C"))</formula>
    </cfRule>
    <cfRule type="cellIs" dxfId="2230" priority="16524" operator="equal">
      <formula>0</formula>
    </cfRule>
  </conditionalFormatting>
  <conditionalFormatting sqref="AA4:AA5 AA8:AA9 AA12:AA13 AA16 AA20">
    <cfRule type="expression" dxfId="2229" priority="16534">
      <formula>IF($Y5&gt;$Y2,AND(MID($A5,5,1)="D"))</formula>
    </cfRule>
    <cfRule type="expression" dxfId="2228" priority="16535">
      <formula>IF($Y5&gt;$Y2,AND(MID($A5,5,1)="C"))</formula>
    </cfRule>
    <cfRule type="cellIs" dxfId="2227" priority="16536" operator="equal">
      <formula>0</formula>
    </cfRule>
  </conditionalFormatting>
  <conditionalFormatting sqref="Z26:AA26 Z28:AA28 Z22:AA22 Z24:AA24">
    <cfRule type="expression" dxfId="2226" priority="16546">
      <formula>IF($AA22&gt;$Y23,AND(MID($A22,5,1)=" "))</formula>
    </cfRule>
    <cfRule type="expression" dxfId="2225" priority="16547">
      <formula>IF($AA22&gt;$Y23,AND(MID($A22,5,1)="C"))</formula>
    </cfRule>
    <cfRule type="expression" dxfId="2224" priority="16548">
      <formula>IF($AA22&gt;$Y23,AND(MID($A22,5,1)="D"))</formula>
    </cfRule>
  </conditionalFormatting>
  <conditionalFormatting sqref="Z27:AA27 Z29:AA29 Z23:AA23 Z25:AA25">
    <cfRule type="expression" dxfId="2223" priority="16552">
      <formula>IF($AA23&gt;$Y22,AND(MID($A23,5,1)=" "))</formula>
    </cfRule>
    <cfRule type="expression" dxfId="2222" priority="16553">
      <formula>IF($AA23&gt;$Y22,AND(MID($A23,5,1)="C"))</formula>
    </cfRule>
    <cfRule type="expression" dxfId="2221" priority="16554">
      <formula>IF($AA23&gt;$Y22,AND(MID($A23,5,1)="D"))</formula>
    </cfRule>
  </conditionalFormatting>
  <conditionalFormatting sqref="B2 B6 B10 B14">
    <cfRule type="expression" dxfId="2220" priority="16558">
      <formula>IF($Y5&gt;$Y2,AND(MID($A2,5,1)=" "))</formula>
    </cfRule>
    <cfRule type="expression" dxfId="2219" priority="16559">
      <formula>IF($Y5&gt;$Y2,AND(MID($A2,5,1)="C"))</formula>
    </cfRule>
    <cfRule type="expression" dxfId="2218" priority="16560">
      <formula>IF($Y5&gt;$Y2,AND(MID($A2,5,1)="D"))</formula>
    </cfRule>
  </conditionalFormatting>
  <conditionalFormatting sqref="E3 E7 E11 E15">
    <cfRule type="expression" dxfId="2217" priority="16573">
      <formula>IF($Y5&gt;$Y2,AND(MID($A3,5,1)=" "))</formula>
    </cfRule>
    <cfRule type="expression" dxfId="2216" priority="16574">
      <formula>IF($Y5&gt;$Y2,AND(MID($A3,5,1)="C"))</formula>
    </cfRule>
    <cfRule type="expression" dxfId="2215" priority="16575">
      <formula>IF($Y5&gt;$Y2,AND(MID($A3,5,1)="D"))</formula>
    </cfRule>
  </conditionalFormatting>
  <conditionalFormatting sqref="B4 B8 B12 B16">
    <cfRule type="expression" dxfId="2214" priority="16588">
      <formula>IF($Y5&gt;$Y2,AND(MID($A4,5,1)=" "))</formula>
    </cfRule>
    <cfRule type="expression" dxfId="2213" priority="16589">
      <formula>IF($Y5&gt;$Y2,AND(MID($A4,5,1)="C"))</formula>
    </cfRule>
    <cfRule type="expression" dxfId="2212" priority="16590">
      <formula>IF($Y5&gt;$Y2,AND(MID($A4,5,1)="D"))</formula>
    </cfRule>
  </conditionalFormatting>
  <conditionalFormatting sqref="E5 E9 E13 E17">
    <cfRule type="expression" dxfId="2211" priority="16603">
      <formula>IF($Y5&gt;$Y2,AND(MID($A5,5,1)=" "))</formula>
    </cfRule>
    <cfRule type="expression" dxfId="2210" priority="16604">
      <formula>IF($Y5&gt;$Y2,AND(MID($A5,5,1)="C"))</formula>
    </cfRule>
    <cfRule type="expression" dxfId="2209" priority="16605">
      <formula>IF($Y5&gt;$Y2,AND(MID($A5,5,1)="D"))</formula>
    </cfRule>
  </conditionalFormatting>
  <conditionalFormatting sqref="C2 C6 C10 C14">
    <cfRule type="expression" dxfId="2208" priority="16618">
      <formula>IF($Y5&gt;$Y2,AND(MID($A2,5,1)=" "))</formula>
    </cfRule>
    <cfRule type="expression" dxfId="2207" priority="16619">
      <formula>IF($Y5&gt;$Y2,AND(MID($A2,5,1)="C"))</formula>
    </cfRule>
    <cfRule type="expression" dxfId="2206" priority="16620">
      <formula>IF($Y5&gt;$Y2,AND(MID($A2,5,1)="D"))</formula>
    </cfRule>
  </conditionalFormatting>
  <conditionalFormatting sqref="D3 D7 D11 D15">
    <cfRule type="expression" dxfId="2205" priority="16633">
      <formula>IF($Y5&gt;$Y2,AND(MID($A3,5,1)=" "))</formula>
    </cfRule>
    <cfRule type="expression" dxfId="2204" priority="16634">
      <formula>IF($Y5&gt;$Y2,AND(MID($A3,5,1)="C"))</formula>
    </cfRule>
    <cfRule type="expression" dxfId="2203" priority="16635">
      <formula>IF($Y5&gt;$Y2,AND(MID($A3,5,1)="D"))</formula>
    </cfRule>
  </conditionalFormatting>
  <conditionalFormatting sqref="D5 D9 D13 D17">
    <cfRule type="expression" dxfId="2202" priority="16648">
      <formula>IF($Y5&gt;$Y2,AND(MID($A5,5,1)=" "))</formula>
    </cfRule>
    <cfRule type="expression" dxfId="2201" priority="16649">
      <formula>IF($Y5&gt;$Y2,AND(MID($A5,5,1)="C"))</formula>
    </cfRule>
    <cfRule type="expression" dxfId="2200" priority="16650">
      <formula>IF($Y5&gt;$Y2,AND(MID($A5,5,1)="D"))</formula>
    </cfRule>
  </conditionalFormatting>
  <conditionalFormatting sqref="C4 C8 C12 C16">
    <cfRule type="expression" dxfId="2199" priority="16663">
      <formula>IF($Y5&gt;$Y2,AND(MID($A4,5,1)=" "))</formula>
    </cfRule>
    <cfRule type="expression" dxfId="2198" priority="16664">
      <formula>IF($Y5&gt;$Y2,AND(MID($A4,5,1)="C"))</formula>
    </cfRule>
    <cfRule type="expression" dxfId="2197" priority="16665">
      <formula>IF($Y5&gt;$Y2,AND(MID($A4,5,1)="D"))</formula>
    </cfRule>
  </conditionalFormatting>
  <conditionalFormatting sqref="A6 A2">
    <cfRule type="expression" dxfId="2196" priority="16678">
      <formula>$V10&lt;&gt;0</formula>
    </cfRule>
  </conditionalFormatting>
  <conditionalFormatting sqref="A9 A5">
    <cfRule type="expression" dxfId="2195" priority="16698">
      <formula>$V13&lt;&gt;0</formula>
    </cfRule>
  </conditionalFormatting>
  <conditionalFormatting sqref="A7 A3">
    <cfRule type="expression" dxfId="2194" priority="16718">
      <formula>$V11&lt;&gt;0</formula>
    </cfRule>
    <cfRule type="expression" dxfId="2193" priority="16719">
      <formula>IF($Y5&gt;$Y2,AND(MID($A3,5,1)=" "))</formula>
    </cfRule>
    <cfRule type="expression" dxfId="2192" priority="16720">
      <formula>IF($Y5&gt;$Y2,AND(MID($A3,5,1)="C"))</formula>
    </cfRule>
    <cfRule type="expression" dxfId="2191" priority="16721">
      <formula>IF($Y5&gt;$Y2,AND(MID($A3,5,1)="D"))</formula>
    </cfRule>
  </conditionalFormatting>
  <conditionalFormatting sqref="A8 A4">
    <cfRule type="expression" dxfId="2190" priority="16738">
      <formula>$V12&lt;&gt;0</formula>
    </cfRule>
    <cfRule type="expression" dxfId="2189" priority="16739">
      <formula>IF($Y5&gt;$Y2,AND(MID($A4,5,1)=" "))</formula>
    </cfRule>
    <cfRule type="expression" dxfId="2188" priority="16740">
      <formula>IF($Y5&gt;$Y2,AND(MID($A4,5,1)="C"))</formula>
    </cfRule>
    <cfRule type="expression" dxfId="2187" priority="16741">
      <formula>IF($Y5&gt;$Y2,AND(MID($A4,5,1)="D"))</formula>
    </cfRule>
  </conditionalFormatting>
  <conditionalFormatting sqref="G160:G171">
    <cfRule type="cellIs" dxfId="2186" priority="6519" operator="lessThan">
      <formula>0</formula>
    </cfRule>
  </conditionalFormatting>
  <conditionalFormatting sqref="Q160:T171">
    <cfRule type="cellIs" dxfId="2185" priority="6516" operator="equal">
      <formula>0</formula>
    </cfRule>
  </conditionalFormatting>
  <conditionalFormatting sqref="A160:A161 A166:A167">
    <cfRule type="expression" dxfId="2184" priority="6511">
      <formula>V160&lt;&gt;0</formula>
    </cfRule>
  </conditionalFormatting>
  <conditionalFormatting sqref="A162:A163 A168:A169">
    <cfRule type="expression" dxfId="2183" priority="6513">
      <formula>V162&lt;&gt;0</formula>
    </cfRule>
  </conditionalFormatting>
  <conditionalFormatting sqref="Z66">
    <cfRule type="cellIs" dxfId="2182" priority="6493" operator="equal">
      <formula>0</formula>
    </cfRule>
  </conditionalFormatting>
  <conditionalFormatting sqref="AA66">
    <cfRule type="cellIs" dxfId="2181" priority="6492" operator="equal">
      <formula>0</formula>
    </cfRule>
  </conditionalFormatting>
  <conditionalFormatting sqref="Z67 Z69">
    <cfRule type="cellIs" dxfId="2180" priority="6490" operator="equal">
      <formula>0</formula>
    </cfRule>
  </conditionalFormatting>
  <conditionalFormatting sqref="AA67:AA69">
    <cfRule type="cellIs" dxfId="2179" priority="6489" operator="equal">
      <formula>0</formula>
    </cfRule>
  </conditionalFormatting>
  <conditionalFormatting sqref="Z72">
    <cfRule type="cellIs" dxfId="2178" priority="6488" operator="equal">
      <formula>0</formula>
    </cfRule>
  </conditionalFormatting>
  <conditionalFormatting sqref="AA72">
    <cfRule type="cellIs" dxfId="2177" priority="6487" operator="equal">
      <formula>0</formula>
    </cfRule>
  </conditionalFormatting>
  <conditionalFormatting sqref="Z73:Z75">
    <cfRule type="cellIs" dxfId="2176" priority="6485" operator="equal">
      <formula>0</formula>
    </cfRule>
  </conditionalFormatting>
  <conditionalFormatting sqref="AA73:AA75">
    <cfRule type="cellIs" dxfId="2175" priority="6484" operator="equal">
      <formula>0</formula>
    </cfRule>
  </conditionalFormatting>
  <conditionalFormatting sqref="Z78">
    <cfRule type="cellIs" dxfId="2174" priority="6483" operator="equal">
      <formula>0</formula>
    </cfRule>
  </conditionalFormatting>
  <conditionalFormatting sqref="AA78">
    <cfRule type="cellIs" dxfId="2173" priority="6482" operator="equal">
      <formula>0</formula>
    </cfRule>
  </conditionalFormatting>
  <conditionalFormatting sqref="Z79:Z81">
    <cfRule type="cellIs" dxfId="2172" priority="6480" operator="equal">
      <formula>0</formula>
    </cfRule>
  </conditionalFormatting>
  <conditionalFormatting sqref="AA79:AA81">
    <cfRule type="cellIs" dxfId="2171" priority="6479" operator="equal">
      <formula>0</formula>
    </cfRule>
  </conditionalFormatting>
  <conditionalFormatting sqref="Z84">
    <cfRule type="cellIs" dxfId="2170" priority="6478" operator="equal">
      <formula>0</formula>
    </cfRule>
  </conditionalFormatting>
  <conditionalFormatting sqref="AA84">
    <cfRule type="cellIs" dxfId="2169" priority="6477" operator="equal">
      <formula>0</formula>
    </cfRule>
  </conditionalFormatting>
  <conditionalFormatting sqref="Z85:Z87">
    <cfRule type="cellIs" dxfId="2168" priority="6475" operator="equal">
      <formula>0</formula>
    </cfRule>
  </conditionalFormatting>
  <conditionalFormatting sqref="AA85:AA87">
    <cfRule type="cellIs" dxfId="2167" priority="6474" operator="equal">
      <formula>0</formula>
    </cfRule>
  </conditionalFormatting>
  <conditionalFormatting sqref="Z90">
    <cfRule type="cellIs" dxfId="2166" priority="6473" operator="equal">
      <formula>0</formula>
    </cfRule>
  </conditionalFormatting>
  <conditionalFormatting sqref="AA90">
    <cfRule type="cellIs" dxfId="2165" priority="6472" operator="equal">
      <formula>0</formula>
    </cfRule>
  </conditionalFormatting>
  <conditionalFormatting sqref="Z91:Z93">
    <cfRule type="cellIs" dxfId="2164" priority="6470" operator="equal">
      <formula>0</formula>
    </cfRule>
  </conditionalFormatting>
  <conditionalFormatting sqref="AA91:AA93">
    <cfRule type="cellIs" dxfId="2163" priority="6469" operator="equal">
      <formula>0</formula>
    </cfRule>
  </conditionalFormatting>
  <conditionalFormatting sqref="Z96">
    <cfRule type="cellIs" dxfId="2162" priority="6468" operator="equal">
      <formula>0</formula>
    </cfRule>
  </conditionalFormatting>
  <conditionalFormatting sqref="AA96">
    <cfRule type="cellIs" dxfId="2161" priority="6467" operator="equal">
      <formula>0</formula>
    </cfRule>
  </conditionalFormatting>
  <conditionalFormatting sqref="Z97:Z99">
    <cfRule type="cellIs" dxfId="2160" priority="6465" operator="equal">
      <formula>0</formula>
    </cfRule>
  </conditionalFormatting>
  <conditionalFormatting sqref="AA97:AA99">
    <cfRule type="cellIs" dxfId="2159" priority="6464" operator="equal">
      <formula>0</formula>
    </cfRule>
  </conditionalFormatting>
  <conditionalFormatting sqref="Z102">
    <cfRule type="cellIs" dxfId="2158" priority="6463" operator="equal">
      <formula>0</formula>
    </cfRule>
  </conditionalFormatting>
  <conditionalFormatting sqref="AA102">
    <cfRule type="cellIs" dxfId="2157" priority="6462" operator="equal">
      <formula>0</formula>
    </cfRule>
  </conditionalFormatting>
  <conditionalFormatting sqref="Z103:Z105">
    <cfRule type="cellIs" dxfId="2156" priority="6460" operator="equal">
      <formula>0</formula>
    </cfRule>
  </conditionalFormatting>
  <conditionalFormatting sqref="AA103:AA105">
    <cfRule type="cellIs" dxfId="2155" priority="6459" operator="equal">
      <formula>0</formula>
    </cfRule>
  </conditionalFormatting>
  <conditionalFormatting sqref="Z108">
    <cfRule type="cellIs" dxfId="2154" priority="6458" operator="equal">
      <formula>0</formula>
    </cfRule>
  </conditionalFormatting>
  <conditionalFormatting sqref="AA108">
    <cfRule type="cellIs" dxfId="2153" priority="6457" operator="equal">
      <formula>0</formula>
    </cfRule>
  </conditionalFormatting>
  <conditionalFormatting sqref="Z109:Z111">
    <cfRule type="cellIs" dxfId="2152" priority="6455" operator="equal">
      <formula>0</formula>
    </cfRule>
  </conditionalFormatting>
  <conditionalFormatting sqref="AA109:AA111">
    <cfRule type="cellIs" dxfId="2151" priority="6454" operator="equal">
      <formula>0</formula>
    </cfRule>
  </conditionalFormatting>
  <conditionalFormatting sqref="Z114">
    <cfRule type="cellIs" dxfId="2150" priority="6453" operator="equal">
      <formula>0</formula>
    </cfRule>
  </conditionalFormatting>
  <conditionalFormatting sqref="AA114">
    <cfRule type="cellIs" dxfId="2149" priority="6452" operator="equal">
      <formula>0</formula>
    </cfRule>
  </conditionalFormatting>
  <conditionalFormatting sqref="Z138">
    <cfRule type="cellIs" dxfId="2148" priority="6433" operator="equal">
      <formula>0</formula>
    </cfRule>
  </conditionalFormatting>
  <conditionalFormatting sqref="Z115:Z117">
    <cfRule type="cellIs" dxfId="2147" priority="6450" operator="equal">
      <formula>0</formula>
    </cfRule>
  </conditionalFormatting>
  <conditionalFormatting sqref="AA115:AA117">
    <cfRule type="cellIs" dxfId="2146" priority="6449" operator="equal">
      <formula>0</formula>
    </cfRule>
  </conditionalFormatting>
  <conditionalFormatting sqref="Z120">
    <cfRule type="cellIs" dxfId="2145" priority="6448" operator="equal">
      <formula>0</formula>
    </cfRule>
  </conditionalFormatting>
  <conditionalFormatting sqref="AA120">
    <cfRule type="cellIs" dxfId="2144" priority="6447" operator="equal">
      <formula>0</formula>
    </cfRule>
  </conditionalFormatting>
  <conditionalFormatting sqref="Z139:Z141">
    <cfRule type="cellIs" dxfId="2143" priority="6430" operator="equal">
      <formula>0</formula>
    </cfRule>
  </conditionalFormatting>
  <conditionalFormatting sqref="Z121:Z123">
    <cfRule type="cellIs" dxfId="2142" priority="6445" operator="equal">
      <formula>0</formula>
    </cfRule>
  </conditionalFormatting>
  <conditionalFormatting sqref="AA121:AA123">
    <cfRule type="cellIs" dxfId="2141" priority="6444" operator="equal">
      <formula>0</formula>
    </cfRule>
  </conditionalFormatting>
  <conditionalFormatting sqref="Z126">
    <cfRule type="cellIs" dxfId="2140" priority="6443" operator="equal">
      <formula>0</formula>
    </cfRule>
  </conditionalFormatting>
  <conditionalFormatting sqref="AA126">
    <cfRule type="cellIs" dxfId="2139" priority="6442" operator="equal">
      <formula>0</formula>
    </cfRule>
  </conditionalFormatting>
  <conditionalFormatting sqref="AA144">
    <cfRule type="cellIs" dxfId="2138" priority="6427" operator="equal">
      <formula>0</formula>
    </cfRule>
  </conditionalFormatting>
  <conditionalFormatting sqref="Z127:Z129">
    <cfRule type="cellIs" dxfId="2137" priority="6440" operator="equal">
      <formula>0</formula>
    </cfRule>
  </conditionalFormatting>
  <conditionalFormatting sqref="AA127:AA129">
    <cfRule type="cellIs" dxfId="2136" priority="6439" operator="equal">
      <formula>0</formula>
    </cfRule>
  </conditionalFormatting>
  <conditionalFormatting sqref="Z132">
    <cfRule type="cellIs" dxfId="2135" priority="6438" operator="equal">
      <formula>0</formula>
    </cfRule>
  </conditionalFormatting>
  <conditionalFormatting sqref="AA132">
    <cfRule type="cellIs" dxfId="2134" priority="6437" operator="equal">
      <formula>0</formula>
    </cfRule>
  </conditionalFormatting>
  <conditionalFormatting sqref="AA145:AA147">
    <cfRule type="cellIs" dxfId="2133" priority="6424" operator="equal">
      <formula>0</formula>
    </cfRule>
  </conditionalFormatting>
  <conditionalFormatting sqref="Z133:Z135">
    <cfRule type="cellIs" dxfId="2132" priority="6435" operator="equal">
      <formula>0</formula>
    </cfRule>
  </conditionalFormatting>
  <conditionalFormatting sqref="AA133:AA135">
    <cfRule type="cellIs" dxfId="2131" priority="6434" operator="equal">
      <formula>0</formula>
    </cfRule>
  </conditionalFormatting>
  <conditionalFormatting sqref="AA138">
    <cfRule type="cellIs" dxfId="2130" priority="6432" operator="equal">
      <formula>0</formula>
    </cfRule>
  </conditionalFormatting>
  <conditionalFormatting sqref="AA139:AA141">
    <cfRule type="cellIs" dxfId="2129" priority="6429" operator="equal">
      <formula>0</formula>
    </cfRule>
  </conditionalFormatting>
  <conditionalFormatting sqref="Z144">
    <cfRule type="cellIs" dxfId="2128" priority="6428" operator="equal">
      <formula>0</formula>
    </cfRule>
  </conditionalFormatting>
  <conditionalFormatting sqref="Z156">
    <cfRule type="cellIs" dxfId="2127" priority="6418" operator="equal">
      <formula>0</formula>
    </cfRule>
  </conditionalFormatting>
  <conditionalFormatting sqref="Z145:Z147">
    <cfRule type="cellIs" dxfId="2126" priority="6425" operator="equal">
      <formula>0</formula>
    </cfRule>
  </conditionalFormatting>
  <conditionalFormatting sqref="Z150">
    <cfRule type="cellIs" dxfId="2125" priority="6423" operator="equal">
      <formula>0</formula>
    </cfRule>
  </conditionalFormatting>
  <conditionalFormatting sqref="AA150">
    <cfRule type="cellIs" dxfId="2124" priority="6422" operator="equal">
      <formula>0</formula>
    </cfRule>
  </conditionalFormatting>
  <conditionalFormatting sqref="Z157:Z159">
    <cfRule type="cellIs" dxfId="2123" priority="6415" operator="equal">
      <formula>0</formula>
    </cfRule>
  </conditionalFormatting>
  <conditionalFormatting sqref="Z151:Z153">
    <cfRule type="cellIs" dxfId="2122" priority="6420" operator="equal">
      <formula>0</formula>
    </cfRule>
  </conditionalFormatting>
  <conditionalFormatting sqref="AA151:AA153">
    <cfRule type="cellIs" dxfId="2121" priority="6419" operator="equal">
      <formula>0</formula>
    </cfRule>
  </conditionalFormatting>
  <conditionalFormatting sqref="AA156">
    <cfRule type="cellIs" dxfId="2120" priority="6417" operator="equal">
      <formula>0</formula>
    </cfRule>
  </conditionalFormatting>
  <conditionalFormatting sqref="AA162 AA168">
    <cfRule type="cellIs" dxfId="2119" priority="6412" operator="equal">
      <formula>0</formula>
    </cfRule>
  </conditionalFormatting>
  <conditionalFormatting sqref="AA157:AA159">
    <cfRule type="cellIs" dxfId="2118" priority="6414" operator="equal">
      <formula>0</formula>
    </cfRule>
  </conditionalFormatting>
  <conditionalFormatting sqref="Z162 Z168">
    <cfRule type="cellIs" dxfId="2117" priority="6413" operator="equal">
      <formula>0</formula>
    </cfRule>
  </conditionalFormatting>
  <conditionalFormatting sqref="AA163:AA165 AA169:AA171">
    <cfRule type="cellIs" dxfId="2116" priority="6409" operator="equal">
      <formula>0</formula>
    </cfRule>
  </conditionalFormatting>
  <conditionalFormatting sqref="Z163:Z165 Z169:Z171">
    <cfRule type="cellIs" dxfId="2115" priority="6410" operator="equal">
      <formula>0</formula>
    </cfRule>
  </conditionalFormatting>
  <conditionalFormatting sqref="AA68 AA74 AA80 AA86 AA92 AA98 AA104 AA110 AA116 AA122 AA128 AA134 AA140 AA146 AA152 AA158 AA164 AA170">
    <cfRule type="colorScale" priority="6405">
      <colorScale>
        <cfvo type="min"/>
        <cfvo type="percentile" val="50"/>
        <cfvo type="max"/>
        <color rgb="FFF8696B"/>
        <color rgb="FFFFEB84"/>
        <color rgb="FF63BE7B"/>
      </colorScale>
    </cfRule>
  </conditionalFormatting>
  <conditionalFormatting sqref="Z68">
    <cfRule type="cellIs" dxfId="2114" priority="6403" operator="equal">
      <formula>0</formula>
    </cfRule>
  </conditionalFormatting>
  <conditionalFormatting sqref="B26:B27">
    <cfRule type="cellIs" dxfId="2113" priority="6365" operator="greaterThan">
      <formula>E26</formula>
    </cfRule>
  </conditionalFormatting>
  <conditionalFormatting sqref="E26">
    <cfRule type="cellIs" dxfId="2112" priority="6364" operator="greaterThan">
      <formula>B26</formula>
    </cfRule>
  </conditionalFormatting>
  <conditionalFormatting sqref="Y62">
    <cfRule type="cellIs" dxfId="2111" priority="6180" operator="greaterThan">
      <formula>Z62</formula>
    </cfRule>
    <cfRule type="cellIs" dxfId="2110" priority="6181" operator="lessThanOrEqual">
      <formula>0</formula>
    </cfRule>
  </conditionalFormatting>
  <conditionalFormatting sqref="A74:A75">
    <cfRule type="expression" dxfId="2109" priority="6178">
      <formula>V74&lt;&gt;0</formula>
    </cfRule>
  </conditionalFormatting>
  <conditionalFormatting sqref="A80:A81">
    <cfRule type="expression" dxfId="2108" priority="6177">
      <formula>V80&lt;&gt;0</formula>
    </cfRule>
  </conditionalFormatting>
  <conditionalFormatting sqref="A86:A87">
    <cfRule type="expression" dxfId="2107" priority="6176">
      <formula>V86&lt;&gt;0</formula>
    </cfRule>
  </conditionalFormatting>
  <conditionalFormatting sqref="A92:A93">
    <cfRule type="expression" dxfId="2106" priority="6175">
      <formula>V92&lt;&gt;0</formula>
    </cfRule>
  </conditionalFormatting>
  <conditionalFormatting sqref="A98:A99">
    <cfRule type="expression" dxfId="2105" priority="6174">
      <formula>V98&lt;&gt;0</formula>
    </cfRule>
  </conditionalFormatting>
  <conditionalFormatting sqref="A104:A105">
    <cfRule type="expression" dxfId="2104" priority="6173">
      <formula>V104&lt;&gt;0</formula>
    </cfRule>
  </conditionalFormatting>
  <conditionalFormatting sqref="A110:A111">
    <cfRule type="expression" dxfId="2103" priority="6172">
      <formula>V110&lt;&gt;0</formula>
    </cfRule>
  </conditionalFormatting>
  <conditionalFormatting sqref="A116:A117">
    <cfRule type="expression" dxfId="2102" priority="6171">
      <formula>V116&lt;&gt;0</formula>
    </cfRule>
  </conditionalFormatting>
  <conditionalFormatting sqref="A122:A123">
    <cfRule type="expression" dxfId="2101" priority="6170">
      <formula>V122&lt;&gt;0</formula>
    </cfRule>
  </conditionalFormatting>
  <conditionalFormatting sqref="A128:A129">
    <cfRule type="expression" dxfId="2100" priority="6169">
      <formula>V128&lt;&gt;0</formula>
    </cfRule>
  </conditionalFormatting>
  <conditionalFormatting sqref="A134:A135">
    <cfRule type="expression" dxfId="2099" priority="6168">
      <formula>V134&lt;&gt;0</formula>
    </cfRule>
  </conditionalFormatting>
  <conditionalFormatting sqref="A140:A141">
    <cfRule type="expression" dxfId="2098" priority="6167">
      <formula>V140&lt;&gt;0</formula>
    </cfRule>
  </conditionalFormatting>
  <conditionalFormatting sqref="A146:A147">
    <cfRule type="expression" dxfId="2097" priority="6166">
      <formula>V146&lt;&gt;0</formula>
    </cfRule>
  </conditionalFormatting>
  <conditionalFormatting sqref="A152:A153">
    <cfRule type="expression" dxfId="2096" priority="6165">
      <formula>V152&lt;&gt;0</formula>
    </cfRule>
  </conditionalFormatting>
  <conditionalFormatting sqref="A158:A159">
    <cfRule type="expression" dxfId="2095" priority="6164">
      <formula>V158&lt;&gt;0</formula>
    </cfRule>
  </conditionalFormatting>
  <conditionalFormatting sqref="A164:A165">
    <cfRule type="expression" dxfId="2094" priority="6163">
      <formula>V164&lt;&gt;0</formula>
    </cfRule>
  </conditionalFormatting>
  <conditionalFormatting sqref="A170:A171">
    <cfRule type="expression" dxfId="2093" priority="6162">
      <formula>V170&lt;&gt;0</formula>
    </cfRule>
  </conditionalFormatting>
  <conditionalFormatting sqref="W69">
    <cfRule type="cellIs" dxfId="2092" priority="3748" operator="equal">
      <formula>0</formula>
    </cfRule>
    <cfRule type="cellIs" dxfId="2091" priority="5225" operator="greaterThan">
      <formula>W68</formula>
    </cfRule>
  </conditionalFormatting>
  <conditionalFormatting sqref="A10">
    <cfRule type="expression" dxfId="2090" priority="3929">
      <formula>IF($Y13&gt;$Y10,AND(MID($A10,5,1)=" "))</formula>
    </cfRule>
    <cfRule type="expression" dxfId="2089" priority="3930">
      <formula>IF($Y13&gt;$Y10,AND(MID($A10,5,1)="C"))</formula>
    </cfRule>
    <cfRule type="expression" dxfId="2088" priority="3931">
      <formula>IF($Y13&gt;$Y10,AND(MID($A10,5,1)="D"))</formula>
    </cfRule>
  </conditionalFormatting>
  <conditionalFormatting sqref="A13">
    <cfRule type="expression" dxfId="2087" priority="3932">
      <formula>$V29&lt;&gt;0</formula>
    </cfRule>
    <cfRule type="expression" dxfId="2086" priority="3933">
      <formula>IF($Y13&gt;$Y10,AND(MID($A13,5,1)=" "))</formula>
    </cfRule>
    <cfRule type="expression" dxfId="2085" priority="3934">
      <formula>IF($Y13&gt;$Y10,AND(MID($A13,5,1)="C"))</formula>
    </cfRule>
    <cfRule type="expression" dxfId="2084" priority="3935">
      <formula>IF($Y13&gt;$Y10,AND(MID($A13,5,1)="D"))</formula>
    </cfRule>
  </conditionalFormatting>
  <conditionalFormatting sqref="A11">
    <cfRule type="expression" dxfId="2083" priority="3936">
      <formula>$V27&lt;&gt;0</formula>
    </cfRule>
    <cfRule type="expression" dxfId="2082" priority="3937">
      <formula>IF($Y13&gt;$Y10,AND(MID($A11,5,1)=" "))</formula>
    </cfRule>
    <cfRule type="expression" dxfId="2081" priority="3938">
      <formula>IF($Y13&gt;$Y10,AND(MID($A11,5,1)="C"))</formula>
    </cfRule>
    <cfRule type="expression" dxfId="2080" priority="3939">
      <formula>IF($Y13&gt;$Y10,AND(MID($A11,5,1)="D"))</formula>
    </cfRule>
  </conditionalFormatting>
  <conditionalFormatting sqref="A12">
    <cfRule type="expression" dxfId="2079" priority="3940">
      <formula>$V28&lt;&gt;0</formula>
    </cfRule>
    <cfRule type="expression" dxfId="2078" priority="3941">
      <formula>IF($Y13&gt;$Y10,AND(MID($A12,5,1)=" "))</formula>
    </cfRule>
    <cfRule type="expression" dxfId="2077" priority="3942">
      <formula>IF($Y13&gt;$Y10,AND(MID($A12,5,1)="C"))</formula>
    </cfRule>
    <cfRule type="expression" dxfId="2076" priority="3943">
      <formula>IF($Y13&gt;$Y10,AND(MID($A12,5,1)="D"))</formula>
    </cfRule>
  </conditionalFormatting>
  <conditionalFormatting sqref="Y67">
    <cfRule type="cellIs" dxfId="2075" priority="3888" operator="equal">
      <formula>0</formula>
    </cfRule>
  </conditionalFormatting>
  <conditionalFormatting sqref="Y69">
    <cfRule type="cellIs" dxfId="2074" priority="3887" operator="equal">
      <formula>0</formula>
    </cfRule>
  </conditionalFormatting>
  <conditionalFormatting sqref="W71">
    <cfRule type="cellIs" dxfId="2073" priority="3309" operator="lessThan">
      <formula>W70</formula>
    </cfRule>
    <cfRule type="cellIs" dxfId="2072" priority="3735" operator="equal">
      <formula>0</formula>
    </cfRule>
  </conditionalFormatting>
  <conditionalFormatting sqref="W70">
    <cfRule type="cellIs" dxfId="2071" priority="3310" operator="lessThan">
      <formula>W71</formula>
    </cfRule>
    <cfRule type="cellIs" dxfId="2070" priority="3728" operator="equal">
      <formula>0</formula>
    </cfRule>
    <cfRule type="cellIs" dxfId="2069" priority="3729" operator="lessThan">
      <formula>W71</formula>
    </cfRule>
    <cfRule type="cellIs" dxfId="2068" priority="3734" operator="lessThan">
      <formula>0</formula>
    </cfRule>
  </conditionalFormatting>
  <conditionalFormatting sqref="W73">
    <cfRule type="cellIs" dxfId="2067" priority="3733" operator="equal">
      <formula>0</formula>
    </cfRule>
  </conditionalFormatting>
  <conditionalFormatting sqref="W72">
    <cfRule type="cellIs" dxfId="2066" priority="3726" operator="equal">
      <formula>0</formula>
    </cfRule>
    <cfRule type="cellIs" dxfId="2065" priority="3727" operator="lessThan">
      <formula>W73</formula>
    </cfRule>
    <cfRule type="cellIs" dxfId="2064" priority="3732" operator="lessThan">
      <formula>0</formula>
    </cfRule>
  </conditionalFormatting>
  <conditionalFormatting sqref="W74">
    <cfRule type="cellIs" dxfId="2063" priority="3725" operator="equal">
      <formula>0</formula>
    </cfRule>
    <cfRule type="cellIs" dxfId="2062" priority="3730" operator="lessThan">
      <formula>W75</formula>
    </cfRule>
  </conditionalFormatting>
  <conditionalFormatting sqref="W79">
    <cfRule type="cellIs" dxfId="2061" priority="3721" operator="equal">
      <formula>0</formula>
    </cfRule>
  </conditionalFormatting>
  <conditionalFormatting sqref="W78">
    <cfRule type="cellIs" dxfId="2060" priority="3714" operator="equal">
      <formula>0</formula>
    </cfRule>
    <cfRule type="cellIs" dxfId="2059" priority="3715" operator="lessThan">
      <formula>W79</formula>
    </cfRule>
    <cfRule type="cellIs" dxfId="2058" priority="3720" operator="lessThan">
      <formula>0</formula>
    </cfRule>
  </conditionalFormatting>
  <conditionalFormatting sqref="W80">
    <cfRule type="cellIs" dxfId="2057" priority="3713" operator="equal">
      <formula>0</formula>
    </cfRule>
    <cfRule type="cellIs" dxfId="2056" priority="3718" operator="lessThan">
      <formula>W81</formula>
    </cfRule>
  </conditionalFormatting>
  <conditionalFormatting sqref="W85">
    <cfRule type="cellIs" dxfId="2055" priority="3709" operator="equal">
      <formula>0</formula>
    </cfRule>
  </conditionalFormatting>
  <conditionalFormatting sqref="W84">
    <cfRule type="cellIs" dxfId="2054" priority="3702" operator="equal">
      <formula>0</formula>
    </cfRule>
    <cfRule type="cellIs" dxfId="2053" priority="3703" operator="lessThan">
      <formula>W85</formula>
    </cfRule>
    <cfRule type="cellIs" dxfId="2052" priority="3708" operator="lessThan">
      <formula>0</formula>
    </cfRule>
  </conditionalFormatting>
  <conditionalFormatting sqref="W86">
    <cfRule type="cellIs" dxfId="2051" priority="3701" operator="equal">
      <formula>0</formula>
    </cfRule>
    <cfRule type="cellIs" dxfId="2050" priority="3706" operator="lessThan">
      <formula>W87</formula>
    </cfRule>
  </conditionalFormatting>
  <conditionalFormatting sqref="W87">
    <cfRule type="cellIs" dxfId="2049" priority="3700" operator="equal">
      <formula>0</formula>
    </cfRule>
    <cfRule type="cellIs" dxfId="2048" priority="3707" operator="greaterThan">
      <formula>W86</formula>
    </cfRule>
  </conditionalFormatting>
  <conditionalFormatting sqref="W91">
    <cfRule type="cellIs" dxfId="2047" priority="3697" operator="equal">
      <formula>0</formula>
    </cfRule>
  </conditionalFormatting>
  <conditionalFormatting sqref="W90">
    <cfRule type="cellIs" dxfId="2046" priority="3690" operator="equal">
      <formula>0</formula>
    </cfRule>
    <cfRule type="cellIs" dxfId="2045" priority="3691" operator="lessThan">
      <formula>W91</formula>
    </cfRule>
    <cfRule type="cellIs" dxfId="2044" priority="3696" operator="lessThan">
      <formula>0</formula>
    </cfRule>
  </conditionalFormatting>
  <conditionalFormatting sqref="W92">
    <cfRule type="cellIs" dxfId="2043" priority="3689" operator="equal">
      <formula>0</formula>
    </cfRule>
    <cfRule type="cellIs" dxfId="2042" priority="3694" operator="lessThan">
      <formula>W93</formula>
    </cfRule>
  </conditionalFormatting>
  <conditionalFormatting sqref="W93">
    <cfRule type="cellIs" dxfId="2041" priority="3688" operator="equal">
      <formula>0</formula>
    </cfRule>
    <cfRule type="cellIs" dxfId="2040" priority="3695" operator="greaterThan">
      <formula>W92</formula>
    </cfRule>
  </conditionalFormatting>
  <conditionalFormatting sqref="W97">
    <cfRule type="cellIs" dxfId="2039" priority="3685" operator="equal">
      <formula>0</formula>
    </cfRule>
  </conditionalFormatting>
  <conditionalFormatting sqref="W96">
    <cfRule type="cellIs" dxfId="2038" priority="3678" operator="equal">
      <formula>0</formula>
    </cfRule>
    <cfRule type="cellIs" dxfId="2037" priority="3679" operator="lessThan">
      <formula>W97</formula>
    </cfRule>
    <cfRule type="cellIs" dxfId="2036" priority="3684" operator="lessThan">
      <formula>0</formula>
    </cfRule>
  </conditionalFormatting>
  <conditionalFormatting sqref="W98">
    <cfRule type="cellIs" dxfId="2035" priority="3677" operator="equal">
      <formula>0</formula>
    </cfRule>
    <cfRule type="cellIs" dxfId="2034" priority="3682" operator="lessThan">
      <formula>W99</formula>
    </cfRule>
  </conditionalFormatting>
  <conditionalFormatting sqref="W99">
    <cfRule type="cellIs" dxfId="2033" priority="3676" operator="equal">
      <formula>0</formula>
    </cfRule>
    <cfRule type="cellIs" dxfId="2032" priority="3683" operator="greaterThan">
      <formula>W98</formula>
    </cfRule>
  </conditionalFormatting>
  <conditionalFormatting sqref="W103">
    <cfRule type="cellIs" dxfId="2031" priority="3673" operator="equal">
      <formula>0</formula>
    </cfRule>
  </conditionalFormatting>
  <conditionalFormatting sqref="W102">
    <cfRule type="cellIs" dxfId="2030" priority="3666" operator="equal">
      <formula>0</formula>
    </cfRule>
    <cfRule type="cellIs" dxfId="2029" priority="3667" operator="lessThan">
      <formula>W103</formula>
    </cfRule>
    <cfRule type="cellIs" dxfId="2028" priority="3672" operator="lessThan">
      <formula>0</formula>
    </cfRule>
  </conditionalFormatting>
  <conditionalFormatting sqref="W104">
    <cfRule type="cellIs" dxfId="2027" priority="3665" operator="equal">
      <formula>0</formula>
    </cfRule>
    <cfRule type="cellIs" dxfId="2026" priority="3670" operator="lessThan">
      <formula>W105</formula>
    </cfRule>
  </conditionalFormatting>
  <conditionalFormatting sqref="W105">
    <cfRule type="cellIs" dxfId="2025" priority="3664" operator="equal">
      <formula>0</formula>
    </cfRule>
    <cfRule type="cellIs" dxfId="2024" priority="3671" operator="greaterThan">
      <formula>W104</formula>
    </cfRule>
  </conditionalFormatting>
  <conditionalFormatting sqref="W109">
    <cfRule type="cellIs" dxfId="2023" priority="3661" operator="equal">
      <formula>0</formula>
    </cfRule>
  </conditionalFormatting>
  <conditionalFormatting sqref="W108">
    <cfRule type="cellIs" dxfId="2022" priority="3654" operator="equal">
      <formula>0</formula>
    </cfRule>
    <cfRule type="cellIs" dxfId="2021" priority="3655" operator="lessThan">
      <formula>W109</formula>
    </cfRule>
    <cfRule type="cellIs" dxfId="2020" priority="3660" operator="lessThan">
      <formula>0</formula>
    </cfRule>
  </conditionalFormatting>
  <conditionalFormatting sqref="W110">
    <cfRule type="cellIs" dxfId="2019" priority="3653" operator="equal">
      <formula>0</formula>
    </cfRule>
    <cfRule type="cellIs" dxfId="2018" priority="3658" operator="lessThan">
      <formula>W111</formula>
    </cfRule>
  </conditionalFormatting>
  <conditionalFormatting sqref="W111">
    <cfRule type="cellIs" dxfId="2017" priority="3652" operator="equal">
      <formula>0</formula>
    </cfRule>
    <cfRule type="cellIs" dxfId="2016" priority="3659" operator="greaterThan">
      <formula>W110</formula>
    </cfRule>
  </conditionalFormatting>
  <conditionalFormatting sqref="W115">
    <cfRule type="cellIs" dxfId="2015" priority="3649" operator="equal">
      <formula>0</formula>
    </cfRule>
  </conditionalFormatting>
  <conditionalFormatting sqref="W114">
    <cfRule type="cellIs" dxfId="2014" priority="3642" operator="equal">
      <formula>0</formula>
    </cfRule>
    <cfRule type="cellIs" dxfId="2013" priority="3643" operator="lessThan">
      <formula>W115</formula>
    </cfRule>
    <cfRule type="cellIs" dxfId="2012" priority="3648" operator="lessThan">
      <formula>0</formula>
    </cfRule>
  </conditionalFormatting>
  <conditionalFormatting sqref="W116">
    <cfRule type="cellIs" dxfId="2011" priority="3641" operator="equal">
      <formula>0</formula>
    </cfRule>
    <cfRule type="cellIs" dxfId="2010" priority="3646" operator="lessThan">
      <formula>W117</formula>
    </cfRule>
  </conditionalFormatting>
  <conditionalFormatting sqref="W117">
    <cfRule type="cellIs" dxfId="2009" priority="3640" operator="equal">
      <formula>0</formula>
    </cfRule>
    <cfRule type="cellIs" dxfId="2008" priority="3647" operator="greaterThan">
      <formula>W116</formula>
    </cfRule>
  </conditionalFormatting>
  <conditionalFormatting sqref="W121">
    <cfRule type="cellIs" dxfId="2007" priority="3637" operator="equal">
      <formula>0</formula>
    </cfRule>
  </conditionalFormatting>
  <conditionalFormatting sqref="W120">
    <cfRule type="cellIs" dxfId="2006" priority="3630" operator="equal">
      <formula>0</formula>
    </cfRule>
    <cfRule type="cellIs" dxfId="2005" priority="3631" operator="lessThan">
      <formula>W121</formula>
    </cfRule>
    <cfRule type="cellIs" dxfId="2004" priority="3636" operator="lessThan">
      <formula>0</formula>
    </cfRule>
  </conditionalFormatting>
  <conditionalFormatting sqref="W122">
    <cfRule type="cellIs" dxfId="2003" priority="3629" operator="equal">
      <formula>0</formula>
    </cfRule>
    <cfRule type="cellIs" dxfId="2002" priority="3634" operator="lessThan">
      <formula>W123</formula>
    </cfRule>
  </conditionalFormatting>
  <conditionalFormatting sqref="W123">
    <cfRule type="cellIs" dxfId="2001" priority="3628" operator="equal">
      <formula>0</formula>
    </cfRule>
    <cfRule type="cellIs" dxfId="2000" priority="3635" operator="greaterThan">
      <formula>W122</formula>
    </cfRule>
  </conditionalFormatting>
  <conditionalFormatting sqref="W127">
    <cfRule type="cellIs" dxfId="1999" priority="3625" operator="equal">
      <formula>0</formula>
    </cfRule>
  </conditionalFormatting>
  <conditionalFormatting sqref="W126">
    <cfRule type="cellIs" dxfId="1998" priority="3618" operator="equal">
      <formula>0</formula>
    </cfRule>
    <cfRule type="cellIs" dxfId="1997" priority="3619" operator="lessThan">
      <formula>W127</formula>
    </cfRule>
    <cfRule type="cellIs" dxfId="1996" priority="3624" operator="lessThan">
      <formula>0</formula>
    </cfRule>
  </conditionalFormatting>
  <conditionalFormatting sqref="W128">
    <cfRule type="cellIs" dxfId="1995" priority="3617" operator="equal">
      <formula>0</formula>
    </cfRule>
    <cfRule type="cellIs" dxfId="1994" priority="3622" operator="lessThan">
      <formula>W129</formula>
    </cfRule>
  </conditionalFormatting>
  <conditionalFormatting sqref="W129">
    <cfRule type="cellIs" dxfId="1993" priority="3616" operator="equal">
      <formula>0</formula>
    </cfRule>
    <cfRule type="cellIs" dxfId="1992" priority="3623" operator="greaterThan">
      <formula>W128</formula>
    </cfRule>
  </conditionalFormatting>
  <conditionalFormatting sqref="W133">
    <cfRule type="cellIs" dxfId="1991" priority="3613" operator="equal">
      <formula>0</formula>
    </cfRule>
  </conditionalFormatting>
  <conditionalFormatting sqref="W132">
    <cfRule type="cellIs" dxfId="1990" priority="3606" operator="equal">
      <formula>0</formula>
    </cfRule>
    <cfRule type="cellIs" dxfId="1989" priority="3607" operator="lessThan">
      <formula>W133</formula>
    </cfRule>
    <cfRule type="cellIs" dxfId="1988" priority="3612" operator="lessThan">
      <formula>0</formula>
    </cfRule>
  </conditionalFormatting>
  <conditionalFormatting sqref="W134">
    <cfRule type="cellIs" dxfId="1987" priority="3605" operator="equal">
      <formula>0</formula>
    </cfRule>
    <cfRule type="cellIs" dxfId="1986" priority="3610" operator="lessThan">
      <formula>W135</formula>
    </cfRule>
  </conditionalFormatting>
  <conditionalFormatting sqref="W135">
    <cfRule type="cellIs" dxfId="1985" priority="3604" operator="equal">
      <formula>0</formula>
    </cfRule>
    <cfRule type="cellIs" dxfId="1984" priority="3611" operator="greaterThan">
      <formula>W134</formula>
    </cfRule>
  </conditionalFormatting>
  <conditionalFormatting sqref="W139">
    <cfRule type="cellIs" dxfId="1983" priority="3601" operator="equal">
      <formula>0</formula>
    </cfRule>
  </conditionalFormatting>
  <conditionalFormatting sqref="W138">
    <cfRule type="cellIs" dxfId="1982" priority="3594" operator="equal">
      <formula>0</formula>
    </cfRule>
    <cfRule type="cellIs" dxfId="1981" priority="3595" operator="lessThan">
      <formula>W139</formula>
    </cfRule>
    <cfRule type="cellIs" dxfId="1980" priority="3600" operator="lessThan">
      <formula>0</formula>
    </cfRule>
  </conditionalFormatting>
  <conditionalFormatting sqref="W140">
    <cfRule type="cellIs" dxfId="1979" priority="3593" operator="equal">
      <formula>0</formula>
    </cfRule>
    <cfRule type="cellIs" dxfId="1978" priority="3598" operator="lessThan">
      <formula>W141</formula>
    </cfRule>
  </conditionalFormatting>
  <conditionalFormatting sqref="W141">
    <cfRule type="cellIs" dxfId="1977" priority="3592" operator="equal">
      <formula>0</formula>
    </cfRule>
    <cfRule type="cellIs" dxfId="1976" priority="3599" operator="greaterThan">
      <formula>W140</formula>
    </cfRule>
  </conditionalFormatting>
  <conditionalFormatting sqref="W145">
    <cfRule type="cellIs" dxfId="1975" priority="3589" operator="equal">
      <formula>0</formula>
    </cfRule>
  </conditionalFormatting>
  <conditionalFormatting sqref="W144">
    <cfRule type="cellIs" dxfId="1974" priority="3582" operator="equal">
      <formula>0</formula>
    </cfRule>
    <cfRule type="cellIs" dxfId="1973" priority="3583" operator="lessThan">
      <formula>W145</formula>
    </cfRule>
    <cfRule type="cellIs" dxfId="1972" priority="3588" operator="lessThan">
      <formula>0</formula>
    </cfRule>
  </conditionalFormatting>
  <conditionalFormatting sqref="W146">
    <cfRule type="cellIs" dxfId="1971" priority="3581" operator="equal">
      <formula>0</formula>
    </cfRule>
    <cfRule type="cellIs" dxfId="1970" priority="3586" operator="lessThan">
      <formula>W147</formula>
    </cfRule>
  </conditionalFormatting>
  <conditionalFormatting sqref="W147">
    <cfRule type="cellIs" dxfId="1969" priority="3580" operator="equal">
      <formula>0</formula>
    </cfRule>
    <cfRule type="cellIs" dxfId="1968" priority="3587" operator="greaterThan">
      <formula>W146</formula>
    </cfRule>
  </conditionalFormatting>
  <conditionalFormatting sqref="W151">
    <cfRule type="cellIs" dxfId="1967" priority="3577" operator="equal">
      <formula>0</formula>
    </cfRule>
  </conditionalFormatting>
  <conditionalFormatting sqref="W150">
    <cfRule type="cellIs" dxfId="1966" priority="3570" operator="equal">
      <formula>0</formula>
    </cfRule>
    <cfRule type="cellIs" dxfId="1965" priority="3571" operator="lessThan">
      <formula>W151</formula>
    </cfRule>
    <cfRule type="cellIs" dxfId="1964" priority="3576" operator="lessThan">
      <formula>0</formula>
    </cfRule>
  </conditionalFormatting>
  <conditionalFormatting sqref="W152">
    <cfRule type="cellIs" dxfId="1963" priority="3569" operator="equal">
      <formula>0</formula>
    </cfRule>
    <cfRule type="cellIs" dxfId="1962" priority="3574" operator="lessThan">
      <formula>W153</formula>
    </cfRule>
  </conditionalFormatting>
  <conditionalFormatting sqref="W153">
    <cfRule type="cellIs" dxfId="1961" priority="3568" operator="equal">
      <formula>0</formula>
    </cfRule>
    <cfRule type="cellIs" dxfId="1960" priority="3575" operator="greaterThan">
      <formula>W152</formula>
    </cfRule>
  </conditionalFormatting>
  <conditionalFormatting sqref="W155">
    <cfRule type="cellIs" dxfId="1959" priority="3567" operator="equal">
      <formula>0</formula>
    </cfRule>
  </conditionalFormatting>
  <conditionalFormatting sqref="W154">
    <cfRule type="cellIs" dxfId="1958" priority="3560" operator="equal">
      <formula>0</formula>
    </cfRule>
    <cfRule type="cellIs" dxfId="1957" priority="3561" operator="lessThan">
      <formula>W155</formula>
    </cfRule>
    <cfRule type="cellIs" dxfId="1956" priority="3566" operator="lessThan">
      <formula>0</formula>
    </cfRule>
  </conditionalFormatting>
  <conditionalFormatting sqref="W157">
    <cfRule type="cellIs" dxfId="1955" priority="3565" operator="equal">
      <formula>0</formula>
    </cfRule>
  </conditionalFormatting>
  <conditionalFormatting sqref="W156">
    <cfRule type="cellIs" dxfId="1954" priority="3558" operator="equal">
      <formula>0</formula>
    </cfRule>
    <cfRule type="cellIs" dxfId="1953" priority="3559" operator="lessThan">
      <formula>W157</formula>
    </cfRule>
    <cfRule type="cellIs" dxfId="1952" priority="3564" operator="lessThan">
      <formula>0</formula>
    </cfRule>
  </conditionalFormatting>
  <conditionalFormatting sqref="W158">
    <cfRule type="cellIs" dxfId="1951" priority="3557" operator="equal">
      <formula>0</formula>
    </cfRule>
    <cfRule type="cellIs" dxfId="1950" priority="3562" operator="lessThan">
      <formula>W159</formula>
    </cfRule>
  </conditionalFormatting>
  <conditionalFormatting sqref="W159">
    <cfRule type="cellIs" dxfId="1949" priority="3556" operator="equal">
      <formula>0</formula>
    </cfRule>
    <cfRule type="cellIs" dxfId="1948" priority="3563" operator="greaterThan">
      <formula>W158</formula>
    </cfRule>
  </conditionalFormatting>
  <conditionalFormatting sqref="W161">
    <cfRule type="cellIs" dxfId="1947" priority="3555" operator="equal">
      <formula>0</formula>
    </cfRule>
  </conditionalFormatting>
  <conditionalFormatting sqref="W160">
    <cfRule type="cellIs" dxfId="1946" priority="3548" operator="equal">
      <formula>0</formula>
    </cfRule>
    <cfRule type="cellIs" dxfId="1945" priority="3549" operator="lessThan">
      <formula>W161</formula>
    </cfRule>
    <cfRule type="cellIs" dxfId="1944" priority="3554" operator="lessThan">
      <formula>0</formula>
    </cfRule>
  </conditionalFormatting>
  <conditionalFormatting sqref="W163">
    <cfRule type="cellIs" dxfId="1943" priority="3553" operator="equal">
      <formula>0</formula>
    </cfRule>
  </conditionalFormatting>
  <conditionalFormatting sqref="W162">
    <cfRule type="cellIs" dxfId="1942" priority="3546" operator="equal">
      <formula>0</formula>
    </cfRule>
    <cfRule type="cellIs" dxfId="1941" priority="3547" operator="lessThan">
      <formula>W163</formula>
    </cfRule>
    <cfRule type="cellIs" dxfId="1940" priority="3552" operator="lessThan">
      <formula>0</formula>
    </cfRule>
  </conditionalFormatting>
  <conditionalFormatting sqref="W164">
    <cfRule type="cellIs" dxfId="1939" priority="3545" operator="equal">
      <formula>0</formula>
    </cfRule>
    <cfRule type="cellIs" dxfId="1938" priority="3550" operator="lessThan">
      <formula>W165</formula>
    </cfRule>
  </conditionalFormatting>
  <conditionalFormatting sqref="W165">
    <cfRule type="cellIs" dxfId="1937" priority="3544" operator="equal">
      <formula>0</formula>
    </cfRule>
    <cfRule type="cellIs" dxfId="1936" priority="3551" operator="greaterThan">
      <formula>W164</formula>
    </cfRule>
  </conditionalFormatting>
  <conditionalFormatting sqref="W167">
    <cfRule type="cellIs" dxfId="1935" priority="3543" operator="equal">
      <formula>0</formula>
    </cfRule>
  </conditionalFormatting>
  <conditionalFormatting sqref="W166">
    <cfRule type="cellIs" dxfId="1934" priority="3536" operator="equal">
      <formula>0</formula>
    </cfRule>
    <cfRule type="cellIs" dxfId="1933" priority="3537" operator="lessThan">
      <formula>W167</formula>
    </cfRule>
    <cfRule type="cellIs" dxfId="1932" priority="3542" operator="lessThan">
      <formula>0</formula>
    </cfRule>
  </conditionalFormatting>
  <conditionalFormatting sqref="W169">
    <cfRule type="cellIs" dxfId="1931" priority="3541" operator="equal">
      <formula>0</formula>
    </cfRule>
  </conditionalFormatting>
  <conditionalFormatting sqref="W168">
    <cfRule type="cellIs" dxfId="1930" priority="3534" operator="equal">
      <formula>0</formula>
    </cfRule>
    <cfRule type="cellIs" dxfId="1929" priority="3535" operator="lessThan">
      <formula>W169</formula>
    </cfRule>
    <cfRule type="cellIs" dxfId="1928" priority="3540" operator="lessThan">
      <formula>0</formula>
    </cfRule>
  </conditionalFormatting>
  <conditionalFormatting sqref="W170">
    <cfRule type="cellIs" dxfId="1927" priority="3533" operator="equal">
      <formula>0</formula>
    </cfRule>
    <cfRule type="cellIs" dxfId="1926" priority="3538" operator="lessThan">
      <formula>W171</formula>
    </cfRule>
  </conditionalFormatting>
  <conditionalFormatting sqref="W171">
    <cfRule type="cellIs" dxfId="1925" priority="3532" operator="equal">
      <formula>0</formula>
    </cfRule>
    <cfRule type="cellIs" dxfId="1924" priority="3539" operator="greaterThan">
      <formula>W170</formula>
    </cfRule>
  </conditionalFormatting>
  <conditionalFormatting sqref="Z68 Z74 Z80 Z86 Z92 Z98 Z104 Z110 Z116 Z122 Z128 Z134 Z140 Z146 Z152 Z158 Z164 Z170">
    <cfRule type="colorScale" priority="3311">
      <colorScale>
        <cfvo type="min"/>
        <cfvo type="percentile" val="50"/>
        <cfvo type="max"/>
        <color rgb="FFF8696B"/>
        <color rgb="FFFFEB84"/>
        <color rgb="FF63BE7B"/>
      </colorScale>
    </cfRule>
  </conditionalFormatting>
  <conditionalFormatting sqref="W77">
    <cfRule type="cellIs" dxfId="1923" priority="3303" operator="lessThan">
      <formula>W76</formula>
    </cfRule>
    <cfRule type="cellIs" dxfId="1922" priority="3308" operator="equal">
      <formula>0</formula>
    </cfRule>
  </conditionalFormatting>
  <conditionalFormatting sqref="W76">
    <cfRule type="cellIs" dxfId="1921" priority="3304" operator="lessThan">
      <formula>W77</formula>
    </cfRule>
    <cfRule type="cellIs" dxfId="1920" priority="3305" operator="equal">
      <formula>0</formula>
    </cfRule>
    <cfRule type="cellIs" dxfId="1919" priority="3306" operator="lessThan">
      <formula>W77</formula>
    </cfRule>
    <cfRule type="cellIs" dxfId="1918" priority="3307" operator="lessThan">
      <formula>0</formula>
    </cfRule>
  </conditionalFormatting>
  <conditionalFormatting sqref="W83">
    <cfRule type="cellIs" dxfId="1917" priority="3297" operator="lessThan">
      <formula>W82</formula>
    </cfRule>
    <cfRule type="cellIs" dxfId="1916" priority="3302" operator="equal">
      <formula>0</formula>
    </cfRule>
  </conditionalFormatting>
  <conditionalFormatting sqref="W82">
    <cfRule type="cellIs" dxfId="1915" priority="3298" operator="lessThan">
      <formula>W83</formula>
    </cfRule>
    <cfRule type="cellIs" dxfId="1914" priority="3299" operator="equal">
      <formula>0</formula>
    </cfRule>
    <cfRule type="cellIs" dxfId="1913" priority="3300" operator="lessThan">
      <formula>W83</formula>
    </cfRule>
    <cfRule type="cellIs" dxfId="1912" priority="3301" operator="lessThan">
      <formula>0</formula>
    </cfRule>
  </conditionalFormatting>
  <conditionalFormatting sqref="W89">
    <cfRule type="cellIs" dxfId="1911" priority="3291" operator="lessThan">
      <formula>W88</formula>
    </cfRule>
    <cfRule type="cellIs" dxfId="1910" priority="3296" operator="equal">
      <formula>0</formula>
    </cfRule>
  </conditionalFormatting>
  <conditionalFormatting sqref="W88">
    <cfRule type="cellIs" dxfId="1909" priority="3292" operator="lessThan">
      <formula>W89</formula>
    </cfRule>
    <cfRule type="cellIs" dxfId="1908" priority="3293" operator="equal">
      <formula>0</formula>
    </cfRule>
    <cfRule type="cellIs" dxfId="1907" priority="3294" operator="lessThan">
      <formula>W89</formula>
    </cfRule>
    <cfRule type="cellIs" dxfId="1906" priority="3295" operator="lessThan">
      <formula>0</formula>
    </cfRule>
  </conditionalFormatting>
  <conditionalFormatting sqref="W95">
    <cfRule type="cellIs" dxfId="1905" priority="3285" operator="lessThan">
      <formula>W94</formula>
    </cfRule>
    <cfRule type="cellIs" dxfId="1904" priority="3290" operator="equal">
      <formula>0</formula>
    </cfRule>
  </conditionalFormatting>
  <conditionalFormatting sqref="W94">
    <cfRule type="cellIs" dxfId="1903" priority="3286" operator="lessThan">
      <formula>W95</formula>
    </cfRule>
    <cfRule type="cellIs" dxfId="1902" priority="3287" operator="equal">
      <formula>0</formula>
    </cfRule>
    <cfRule type="cellIs" dxfId="1901" priority="3288" operator="lessThan">
      <formula>W95</formula>
    </cfRule>
    <cfRule type="cellIs" dxfId="1900" priority="3289" operator="lessThan">
      <formula>0</formula>
    </cfRule>
  </conditionalFormatting>
  <conditionalFormatting sqref="W101">
    <cfRule type="cellIs" dxfId="1899" priority="3279" operator="lessThan">
      <formula>W100</formula>
    </cfRule>
    <cfRule type="cellIs" dxfId="1898" priority="3284" operator="equal">
      <formula>0</formula>
    </cfRule>
  </conditionalFormatting>
  <conditionalFormatting sqref="W100">
    <cfRule type="cellIs" dxfId="1897" priority="3280" operator="lessThan">
      <formula>W101</formula>
    </cfRule>
    <cfRule type="cellIs" dxfId="1896" priority="3281" operator="equal">
      <formula>0</formula>
    </cfRule>
    <cfRule type="cellIs" dxfId="1895" priority="3282" operator="lessThan">
      <formula>W101</formula>
    </cfRule>
    <cfRule type="cellIs" dxfId="1894" priority="3283" operator="lessThan">
      <formula>0</formula>
    </cfRule>
  </conditionalFormatting>
  <conditionalFormatting sqref="W107">
    <cfRule type="cellIs" dxfId="1893" priority="3273" operator="lessThan">
      <formula>W106</formula>
    </cfRule>
    <cfRule type="cellIs" dxfId="1892" priority="3278" operator="equal">
      <formula>0</formula>
    </cfRule>
  </conditionalFormatting>
  <conditionalFormatting sqref="W106">
    <cfRule type="cellIs" dxfId="1891" priority="3274" operator="lessThan">
      <formula>W107</formula>
    </cfRule>
    <cfRule type="cellIs" dxfId="1890" priority="3275" operator="equal">
      <formula>0</formula>
    </cfRule>
    <cfRule type="cellIs" dxfId="1889" priority="3276" operator="lessThan">
      <formula>W107</formula>
    </cfRule>
    <cfRule type="cellIs" dxfId="1888" priority="3277" operator="lessThan">
      <formula>0</formula>
    </cfRule>
  </conditionalFormatting>
  <conditionalFormatting sqref="W113">
    <cfRule type="cellIs" dxfId="1887" priority="3267" operator="lessThan">
      <formula>W112</formula>
    </cfRule>
    <cfRule type="cellIs" dxfId="1886" priority="3272" operator="equal">
      <formula>0</formula>
    </cfRule>
  </conditionalFormatting>
  <conditionalFormatting sqref="W112">
    <cfRule type="cellIs" dxfId="1885" priority="3268" operator="lessThan">
      <formula>W113</formula>
    </cfRule>
    <cfRule type="cellIs" dxfId="1884" priority="3269" operator="equal">
      <formula>0</formula>
    </cfRule>
    <cfRule type="cellIs" dxfId="1883" priority="3270" operator="lessThan">
      <formula>W113</formula>
    </cfRule>
    <cfRule type="cellIs" dxfId="1882" priority="3271" operator="lessThan">
      <formula>0</formula>
    </cfRule>
  </conditionalFormatting>
  <conditionalFormatting sqref="W119">
    <cfRule type="cellIs" dxfId="1881" priority="3261" operator="lessThan">
      <formula>W118</formula>
    </cfRule>
    <cfRule type="cellIs" dxfId="1880" priority="3266" operator="equal">
      <formula>0</formula>
    </cfRule>
  </conditionalFormatting>
  <conditionalFormatting sqref="W118">
    <cfRule type="cellIs" dxfId="1879" priority="3262" operator="lessThan">
      <formula>W119</formula>
    </cfRule>
    <cfRule type="cellIs" dxfId="1878" priority="3263" operator="equal">
      <formula>0</formula>
    </cfRule>
    <cfRule type="cellIs" dxfId="1877" priority="3264" operator="lessThan">
      <formula>W119</formula>
    </cfRule>
    <cfRule type="cellIs" dxfId="1876" priority="3265" operator="lessThan">
      <formula>0</formula>
    </cfRule>
  </conditionalFormatting>
  <conditionalFormatting sqref="W125">
    <cfRule type="cellIs" dxfId="1875" priority="3255" operator="lessThan">
      <formula>W124</formula>
    </cfRule>
    <cfRule type="cellIs" dxfId="1874" priority="3260" operator="equal">
      <formula>0</formula>
    </cfRule>
  </conditionalFormatting>
  <conditionalFormatting sqref="W124">
    <cfRule type="cellIs" dxfId="1873" priority="3256" operator="lessThan">
      <formula>W125</formula>
    </cfRule>
    <cfRule type="cellIs" dxfId="1872" priority="3257" operator="equal">
      <formula>0</formula>
    </cfRule>
    <cfRule type="cellIs" dxfId="1871" priority="3258" operator="lessThan">
      <formula>W125</formula>
    </cfRule>
    <cfRule type="cellIs" dxfId="1870" priority="3259" operator="lessThan">
      <formula>0</formula>
    </cfRule>
  </conditionalFormatting>
  <conditionalFormatting sqref="W131">
    <cfRule type="cellIs" dxfId="1869" priority="3249" operator="lessThan">
      <formula>W130</formula>
    </cfRule>
    <cfRule type="cellIs" dxfId="1868" priority="3254" operator="equal">
      <formula>0</formula>
    </cfRule>
  </conditionalFormatting>
  <conditionalFormatting sqref="W130">
    <cfRule type="cellIs" dxfId="1867" priority="3250" operator="lessThan">
      <formula>W131</formula>
    </cfRule>
    <cfRule type="cellIs" dxfId="1866" priority="3251" operator="equal">
      <formula>0</formula>
    </cfRule>
    <cfRule type="cellIs" dxfId="1865" priority="3252" operator="lessThan">
      <formula>W131</formula>
    </cfRule>
    <cfRule type="cellIs" dxfId="1864" priority="3253" operator="lessThan">
      <formula>0</formula>
    </cfRule>
  </conditionalFormatting>
  <conditionalFormatting sqref="W137">
    <cfRule type="cellIs" dxfId="1863" priority="3243" operator="lessThan">
      <formula>W136</formula>
    </cfRule>
    <cfRule type="cellIs" dxfId="1862" priority="3248" operator="equal">
      <formula>0</formula>
    </cfRule>
  </conditionalFormatting>
  <conditionalFormatting sqref="W136">
    <cfRule type="cellIs" dxfId="1861" priority="3244" operator="lessThan">
      <formula>W137</formula>
    </cfRule>
    <cfRule type="cellIs" dxfId="1860" priority="3245" operator="equal">
      <formula>0</formula>
    </cfRule>
    <cfRule type="cellIs" dxfId="1859" priority="3246" operator="lessThan">
      <formula>W137</formula>
    </cfRule>
    <cfRule type="cellIs" dxfId="1858" priority="3247" operator="lessThan">
      <formula>0</formula>
    </cfRule>
  </conditionalFormatting>
  <conditionalFormatting sqref="W143">
    <cfRule type="cellIs" dxfId="1857" priority="3237" operator="lessThan">
      <formula>W142</formula>
    </cfRule>
    <cfRule type="cellIs" dxfId="1856" priority="3242" operator="equal">
      <formula>0</formula>
    </cfRule>
  </conditionalFormatting>
  <conditionalFormatting sqref="W142">
    <cfRule type="cellIs" dxfId="1855" priority="3238" operator="lessThan">
      <formula>W143</formula>
    </cfRule>
    <cfRule type="cellIs" dxfId="1854" priority="3239" operator="equal">
      <formula>0</formula>
    </cfRule>
    <cfRule type="cellIs" dxfId="1853" priority="3240" operator="lessThan">
      <formula>W143</formula>
    </cfRule>
    <cfRule type="cellIs" dxfId="1852" priority="3241" operator="lessThan">
      <formula>0</formula>
    </cfRule>
  </conditionalFormatting>
  <conditionalFormatting sqref="W149">
    <cfRule type="cellIs" dxfId="1851" priority="3231" operator="lessThan">
      <formula>W148</formula>
    </cfRule>
    <cfRule type="cellIs" dxfId="1850" priority="3236" operator="equal">
      <formula>0</formula>
    </cfRule>
  </conditionalFormatting>
  <conditionalFormatting sqref="W148">
    <cfRule type="cellIs" dxfId="1849" priority="3232" operator="lessThan">
      <formula>W149</formula>
    </cfRule>
    <cfRule type="cellIs" dxfId="1848" priority="3233" operator="equal">
      <formula>0</formula>
    </cfRule>
    <cfRule type="cellIs" dxfId="1847" priority="3234" operator="lessThan">
      <formula>W149</formula>
    </cfRule>
    <cfRule type="cellIs" dxfId="1846" priority="3235" operator="lessThan">
      <formula>0</formula>
    </cfRule>
  </conditionalFormatting>
  <conditionalFormatting sqref="V82:V87">
    <cfRule type="cellIs" dxfId="1845" priority="3229" operator="lessThan">
      <formula>0</formula>
    </cfRule>
    <cfRule type="cellIs" dxfId="1844" priority="3230" operator="equal">
      <formula>0</formula>
    </cfRule>
  </conditionalFormatting>
  <conditionalFormatting sqref="V88:V93">
    <cfRule type="cellIs" dxfId="1843" priority="3227" operator="lessThan">
      <formula>0</formula>
    </cfRule>
    <cfRule type="cellIs" dxfId="1842" priority="3228" operator="equal">
      <formula>0</formula>
    </cfRule>
  </conditionalFormatting>
  <conditionalFormatting sqref="V94:V99">
    <cfRule type="cellIs" dxfId="1841" priority="3225" operator="lessThan">
      <formula>0</formula>
    </cfRule>
    <cfRule type="cellIs" dxfId="1840" priority="3226" operator="equal">
      <formula>0</formula>
    </cfRule>
  </conditionalFormatting>
  <conditionalFormatting sqref="V100:V105">
    <cfRule type="cellIs" dxfId="1839" priority="3223" operator="lessThan">
      <formula>0</formula>
    </cfRule>
    <cfRule type="cellIs" dxfId="1838" priority="3224" operator="equal">
      <formula>0</formula>
    </cfRule>
  </conditionalFormatting>
  <conditionalFormatting sqref="V106:V111">
    <cfRule type="cellIs" dxfId="1837" priority="3221" operator="lessThan">
      <formula>0</formula>
    </cfRule>
    <cfRule type="cellIs" dxfId="1836" priority="3222" operator="equal">
      <formula>0</formula>
    </cfRule>
  </conditionalFormatting>
  <conditionalFormatting sqref="V112:V117">
    <cfRule type="cellIs" dxfId="1835" priority="3219" operator="lessThan">
      <formula>0</formula>
    </cfRule>
    <cfRule type="cellIs" dxfId="1834" priority="3220" operator="equal">
      <formula>0</formula>
    </cfRule>
  </conditionalFormatting>
  <conditionalFormatting sqref="V118:V123">
    <cfRule type="cellIs" dxfId="1833" priority="3217" operator="lessThan">
      <formula>0</formula>
    </cfRule>
    <cfRule type="cellIs" dxfId="1832" priority="3218" operator="equal">
      <formula>0</formula>
    </cfRule>
  </conditionalFormatting>
  <conditionalFormatting sqref="V124:V129">
    <cfRule type="cellIs" dxfId="1831" priority="3215" operator="lessThan">
      <formula>0</formula>
    </cfRule>
    <cfRule type="cellIs" dxfId="1830" priority="3216" operator="equal">
      <formula>0</formula>
    </cfRule>
  </conditionalFormatting>
  <conditionalFormatting sqref="V130:V135">
    <cfRule type="cellIs" dxfId="1829" priority="3213" operator="lessThan">
      <formula>0</formula>
    </cfRule>
    <cfRule type="cellIs" dxfId="1828" priority="3214" operator="equal">
      <formula>0</formula>
    </cfRule>
  </conditionalFormatting>
  <conditionalFormatting sqref="V136:V141">
    <cfRule type="cellIs" dxfId="1827" priority="3211" operator="lessThan">
      <formula>0</formula>
    </cfRule>
    <cfRule type="cellIs" dxfId="1826" priority="3212" operator="equal">
      <formula>0</formula>
    </cfRule>
  </conditionalFormatting>
  <conditionalFormatting sqref="V142:V147">
    <cfRule type="cellIs" dxfId="1825" priority="3209" operator="lessThan">
      <formula>0</formula>
    </cfRule>
    <cfRule type="cellIs" dxfId="1824" priority="3210" operator="equal">
      <formula>0</formula>
    </cfRule>
  </conditionalFormatting>
  <conditionalFormatting sqref="V148:V153">
    <cfRule type="cellIs" dxfId="1823" priority="3207" operator="lessThan">
      <formula>0</formula>
    </cfRule>
    <cfRule type="cellIs" dxfId="1822" priority="3208" operator="equal">
      <formula>0</formula>
    </cfRule>
  </conditionalFormatting>
  <conditionalFormatting sqref="V154:V159">
    <cfRule type="cellIs" dxfId="1821" priority="3205" operator="lessThan">
      <formula>0</formula>
    </cfRule>
    <cfRule type="cellIs" dxfId="1820" priority="3206" operator="equal">
      <formula>0</formula>
    </cfRule>
  </conditionalFormatting>
  <conditionalFormatting sqref="V160:V165">
    <cfRule type="cellIs" dxfId="1819" priority="3203" operator="lessThan">
      <formula>0</formula>
    </cfRule>
    <cfRule type="cellIs" dxfId="1818" priority="3204" operator="equal">
      <formula>0</formula>
    </cfRule>
  </conditionalFormatting>
  <conditionalFormatting sqref="V166:V171">
    <cfRule type="cellIs" dxfId="1817" priority="3201" operator="lessThan">
      <formula>0</formula>
    </cfRule>
    <cfRule type="cellIs" dxfId="1816" priority="3202" operator="equal">
      <formula>0</formula>
    </cfRule>
  </conditionalFormatting>
  <conditionalFormatting sqref="W75">
    <cfRule type="cellIs" dxfId="1815" priority="3160" operator="equal">
      <formula>0</formula>
    </cfRule>
    <cfRule type="cellIs" dxfId="1814" priority="3161" operator="greaterThan">
      <formula>W74</formula>
    </cfRule>
  </conditionalFormatting>
  <conditionalFormatting sqref="W81">
    <cfRule type="cellIs" dxfId="1813" priority="3158" operator="equal">
      <formula>0</formula>
    </cfRule>
    <cfRule type="cellIs" dxfId="1812" priority="3159" operator="greaterThan">
      <formula>W80</formula>
    </cfRule>
  </conditionalFormatting>
  <conditionalFormatting sqref="D64">
    <cfRule type="expression" dxfId="1811" priority="2920">
      <formula>E64&gt;B64</formula>
    </cfRule>
    <cfRule type="expression" dxfId="1810" priority="3138">
      <formula>V64&lt;&gt;0</formula>
    </cfRule>
  </conditionalFormatting>
  <conditionalFormatting sqref="C64">
    <cfRule type="expression" dxfId="1809" priority="2921">
      <formula>B64&gt;E64</formula>
    </cfRule>
    <cfRule type="expression" dxfId="1808" priority="3137">
      <formula>V64&lt;&gt;0</formula>
    </cfRule>
  </conditionalFormatting>
  <conditionalFormatting sqref="E64">
    <cfRule type="cellIs" dxfId="1807" priority="2875" operator="greaterThan">
      <formula>B64</formula>
    </cfRule>
  </conditionalFormatting>
  <conditionalFormatting sqref="B65">
    <cfRule type="cellIs" dxfId="1806" priority="2125" operator="greaterThan">
      <formula>E65</formula>
    </cfRule>
  </conditionalFormatting>
  <conditionalFormatting sqref="D65">
    <cfRule type="expression" dxfId="1805" priority="2121">
      <formula>E65&gt;B65</formula>
    </cfRule>
    <cfRule type="expression" dxfId="1804" priority="2124">
      <formula>V65&lt;&gt;0</formula>
    </cfRule>
  </conditionalFormatting>
  <conditionalFormatting sqref="C65">
    <cfRule type="expression" dxfId="1803" priority="2122">
      <formula>B65&gt;E65</formula>
    </cfRule>
    <cfRule type="expression" dxfId="1802" priority="2123">
      <formula>V65&lt;&gt;0</formula>
    </cfRule>
  </conditionalFormatting>
  <conditionalFormatting sqref="E65">
    <cfRule type="cellIs" dxfId="1801" priority="2120" operator="greaterThan">
      <formula>B65</formula>
    </cfRule>
  </conditionalFormatting>
  <conditionalFormatting sqref="B66">
    <cfRule type="cellIs" dxfId="1800" priority="2119" operator="greaterThan">
      <formula>E66</formula>
    </cfRule>
  </conditionalFormatting>
  <conditionalFormatting sqref="D66">
    <cfRule type="expression" dxfId="1799" priority="2115">
      <formula>E66&gt;B66</formula>
    </cfRule>
    <cfRule type="expression" dxfId="1798" priority="2118">
      <formula>V66&lt;&gt;0</formula>
    </cfRule>
  </conditionalFormatting>
  <conditionalFormatting sqref="C66">
    <cfRule type="expression" dxfId="1797" priority="2116">
      <formula>B66&gt;E66</formula>
    </cfRule>
    <cfRule type="expression" dxfId="1796" priority="2117">
      <formula>V66&lt;&gt;0</formula>
    </cfRule>
  </conditionalFormatting>
  <conditionalFormatting sqref="E66">
    <cfRule type="cellIs" dxfId="1795" priority="2114" operator="greaterThan">
      <formula>B66</formula>
    </cfRule>
  </conditionalFormatting>
  <conditionalFormatting sqref="B67">
    <cfRule type="cellIs" dxfId="1794" priority="2113" operator="greaterThan">
      <formula>E67</formula>
    </cfRule>
  </conditionalFormatting>
  <conditionalFormatting sqref="D67">
    <cfRule type="expression" dxfId="1793" priority="2109">
      <formula>E67&gt;B67</formula>
    </cfRule>
    <cfRule type="expression" dxfId="1792" priority="2112">
      <formula>V67&lt;&gt;0</formula>
    </cfRule>
  </conditionalFormatting>
  <conditionalFormatting sqref="C67">
    <cfRule type="expression" dxfId="1791" priority="2110">
      <formula>B67&gt;E67</formula>
    </cfRule>
    <cfRule type="expression" dxfId="1790" priority="2111">
      <formula>V67&lt;&gt;0</formula>
    </cfRule>
  </conditionalFormatting>
  <conditionalFormatting sqref="E67">
    <cfRule type="cellIs" dxfId="1789" priority="2108" operator="greaterThan">
      <formula>B67</formula>
    </cfRule>
  </conditionalFormatting>
  <conditionalFormatting sqref="B68">
    <cfRule type="cellIs" dxfId="1788" priority="2107" operator="greaterThan">
      <formula>E68</formula>
    </cfRule>
  </conditionalFormatting>
  <conditionalFormatting sqref="D68">
    <cfRule type="expression" dxfId="1787" priority="2103">
      <formula>E68&gt;B68</formula>
    </cfRule>
    <cfRule type="expression" dxfId="1786" priority="2106">
      <formula>V68&lt;&gt;0</formula>
    </cfRule>
  </conditionalFormatting>
  <conditionalFormatting sqref="C68">
    <cfRule type="expression" dxfId="1785" priority="2104">
      <formula>B68&gt;E68</formula>
    </cfRule>
    <cfRule type="expression" dxfId="1784" priority="2105">
      <formula>V68&lt;&gt;0</formula>
    </cfRule>
  </conditionalFormatting>
  <conditionalFormatting sqref="E68">
    <cfRule type="cellIs" dxfId="1783" priority="2102" operator="greaterThan">
      <formula>B68</formula>
    </cfRule>
  </conditionalFormatting>
  <conditionalFormatting sqref="B69">
    <cfRule type="cellIs" dxfId="1782" priority="2101" operator="greaterThan">
      <formula>E69</formula>
    </cfRule>
  </conditionalFormatting>
  <conditionalFormatting sqref="D69">
    <cfRule type="expression" dxfId="1781" priority="2097">
      <formula>E69&gt;B69</formula>
    </cfRule>
    <cfRule type="expression" dxfId="1780" priority="2100">
      <formula>V69&lt;&gt;0</formula>
    </cfRule>
  </conditionalFormatting>
  <conditionalFormatting sqref="C69">
    <cfRule type="expression" dxfId="1779" priority="2098">
      <formula>B69&gt;E69</formula>
    </cfRule>
    <cfRule type="expression" dxfId="1778" priority="2099">
      <formula>V69&lt;&gt;0</formula>
    </cfRule>
  </conditionalFormatting>
  <conditionalFormatting sqref="E69">
    <cfRule type="cellIs" dxfId="1777" priority="2096" operator="greaterThan">
      <formula>B69</formula>
    </cfRule>
  </conditionalFormatting>
  <conditionalFormatting sqref="B70">
    <cfRule type="cellIs" dxfId="1776" priority="2095" operator="greaterThan">
      <formula>E70</formula>
    </cfRule>
  </conditionalFormatting>
  <conditionalFormatting sqref="D70">
    <cfRule type="expression" dxfId="1775" priority="2091">
      <formula>E70&gt;B70</formula>
    </cfRule>
    <cfRule type="expression" dxfId="1774" priority="2094">
      <formula>V70&lt;&gt;0</formula>
    </cfRule>
  </conditionalFormatting>
  <conditionalFormatting sqref="C70">
    <cfRule type="expression" dxfId="1773" priority="2092">
      <formula>B70&gt;E70</formula>
    </cfRule>
    <cfRule type="expression" dxfId="1772" priority="2093">
      <formula>V70&lt;&gt;0</formula>
    </cfRule>
  </conditionalFormatting>
  <conditionalFormatting sqref="E70">
    <cfRule type="cellIs" dxfId="1771" priority="2090" operator="greaterThan">
      <formula>B70</formula>
    </cfRule>
  </conditionalFormatting>
  <conditionalFormatting sqref="B71">
    <cfRule type="cellIs" dxfId="1770" priority="2089" operator="greaterThan">
      <formula>E71</formula>
    </cfRule>
  </conditionalFormatting>
  <conditionalFormatting sqref="D71">
    <cfRule type="expression" dxfId="1769" priority="2085">
      <formula>E71&gt;B71</formula>
    </cfRule>
    <cfRule type="expression" dxfId="1768" priority="2088">
      <formula>V71&lt;&gt;0</formula>
    </cfRule>
  </conditionalFormatting>
  <conditionalFormatting sqref="C71">
    <cfRule type="expression" dxfId="1767" priority="2086">
      <formula>B71&gt;E71</formula>
    </cfRule>
    <cfRule type="expression" dxfId="1766" priority="2087">
      <formula>V71&lt;&gt;0</formula>
    </cfRule>
  </conditionalFormatting>
  <conditionalFormatting sqref="E71">
    <cfRule type="cellIs" dxfId="1765" priority="2084" operator="greaterThan">
      <formula>B71</formula>
    </cfRule>
  </conditionalFormatting>
  <conditionalFormatting sqref="B72">
    <cfRule type="cellIs" dxfId="1764" priority="2083" operator="greaterThan">
      <formula>E72</formula>
    </cfRule>
  </conditionalFormatting>
  <conditionalFormatting sqref="D72">
    <cfRule type="expression" dxfId="1763" priority="2079">
      <formula>E72&gt;B72</formula>
    </cfRule>
    <cfRule type="expression" dxfId="1762" priority="2082">
      <formula>V72&lt;&gt;0</formula>
    </cfRule>
  </conditionalFormatting>
  <conditionalFormatting sqref="C72">
    <cfRule type="expression" dxfId="1761" priority="2080">
      <formula>B72&gt;E72</formula>
    </cfRule>
    <cfRule type="expression" dxfId="1760" priority="2081">
      <formula>V72&lt;&gt;0</formula>
    </cfRule>
  </conditionalFormatting>
  <conditionalFormatting sqref="E72">
    <cfRule type="cellIs" dxfId="1759" priority="2078" operator="greaterThan">
      <formula>B72</formula>
    </cfRule>
  </conditionalFormatting>
  <conditionalFormatting sqref="B73">
    <cfRule type="cellIs" dxfId="1758" priority="2077" operator="greaterThan">
      <formula>E73</formula>
    </cfRule>
  </conditionalFormatting>
  <conditionalFormatting sqref="D73">
    <cfRule type="expression" dxfId="1757" priority="2073">
      <formula>E73&gt;B73</formula>
    </cfRule>
    <cfRule type="expression" dxfId="1756" priority="2076">
      <formula>V73&lt;&gt;0</formula>
    </cfRule>
  </conditionalFormatting>
  <conditionalFormatting sqref="C73">
    <cfRule type="expression" dxfId="1755" priority="2074">
      <formula>B73&gt;E73</formula>
    </cfRule>
    <cfRule type="expression" dxfId="1754" priority="2075">
      <formula>V73&lt;&gt;0</formula>
    </cfRule>
  </conditionalFormatting>
  <conditionalFormatting sqref="E73">
    <cfRule type="cellIs" dxfId="1753" priority="2072" operator="greaterThan">
      <formula>B73</formula>
    </cfRule>
  </conditionalFormatting>
  <conditionalFormatting sqref="B74">
    <cfRule type="cellIs" dxfId="1752" priority="2071" operator="greaterThan">
      <formula>E74</formula>
    </cfRule>
  </conditionalFormatting>
  <conditionalFormatting sqref="D74">
    <cfRule type="expression" dxfId="1751" priority="2067">
      <formula>E74&gt;B74</formula>
    </cfRule>
    <cfRule type="expression" dxfId="1750" priority="2070">
      <formula>V74&lt;&gt;0</formula>
    </cfRule>
  </conditionalFormatting>
  <conditionalFormatting sqref="C74">
    <cfRule type="expression" dxfId="1749" priority="2068">
      <formula>B74&gt;E74</formula>
    </cfRule>
    <cfRule type="expression" dxfId="1748" priority="2069">
      <formula>V74&lt;&gt;0</formula>
    </cfRule>
  </conditionalFormatting>
  <conditionalFormatting sqref="E74">
    <cfRule type="cellIs" dxfId="1747" priority="2066" operator="greaterThan">
      <formula>B74</formula>
    </cfRule>
  </conditionalFormatting>
  <conditionalFormatting sqref="B75">
    <cfRule type="cellIs" dxfId="1746" priority="2065" operator="greaterThan">
      <formula>E75</formula>
    </cfRule>
  </conditionalFormatting>
  <conditionalFormatting sqref="D75">
    <cfRule type="expression" dxfId="1745" priority="2061">
      <formula>E75&gt;B75</formula>
    </cfRule>
    <cfRule type="expression" dxfId="1744" priority="2064">
      <formula>V75&lt;&gt;0</formula>
    </cfRule>
  </conditionalFormatting>
  <conditionalFormatting sqref="C75">
    <cfRule type="expression" dxfId="1743" priority="2062">
      <formula>B75&gt;E75</formula>
    </cfRule>
    <cfRule type="expression" dxfId="1742" priority="2063">
      <formula>V75&lt;&gt;0</formula>
    </cfRule>
  </conditionalFormatting>
  <conditionalFormatting sqref="E75">
    <cfRule type="cellIs" dxfId="1741" priority="2060" operator="greaterThan">
      <formula>B75</formula>
    </cfRule>
  </conditionalFormatting>
  <conditionalFormatting sqref="B76">
    <cfRule type="cellIs" dxfId="1740" priority="2059" operator="greaterThan">
      <formula>E76</formula>
    </cfRule>
  </conditionalFormatting>
  <conditionalFormatting sqref="D76">
    <cfRule type="expression" dxfId="1739" priority="2055">
      <formula>E76&gt;B76</formula>
    </cfRule>
    <cfRule type="expression" dxfId="1738" priority="2058">
      <formula>V76&lt;&gt;0</formula>
    </cfRule>
  </conditionalFormatting>
  <conditionalFormatting sqref="C76">
    <cfRule type="expression" dxfId="1737" priority="2056">
      <formula>B76&gt;E76</formula>
    </cfRule>
    <cfRule type="expression" dxfId="1736" priority="2057">
      <formula>V76&lt;&gt;0</formula>
    </cfRule>
  </conditionalFormatting>
  <conditionalFormatting sqref="E76">
    <cfRule type="cellIs" dxfId="1735" priority="2054" operator="greaterThan">
      <formula>B76</formula>
    </cfRule>
  </conditionalFormatting>
  <conditionalFormatting sqref="B77">
    <cfRule type="cellIs" dxfId="1734" priority="2053" operator="greaterThan">
      <formula>E77</formula>
    </cfRule>
  </conditionalFormatting>
  <conditionalFormatting sqref="D77">
    <cfRule type="expression" dxfId="1733" priority="2049">
      <formula>E77&gt;B77</formula>
    </cfRule>
    <cfRule type="expression" dxfId="1732" priority="2052">
      <formula>V77&lt;&gt;0</formula>
    </cfRule>
  </conditionalFormatting>
  <conditionalFormatting sqref="C77">
    <cfRule type="expression" dxfId="1731" priority="2050">
      <formula>B77&gt;E77</formula>
    </cfRule>
    <cfRule type="expression" dxfId="1730" priority="2051">
      <formula>V77&lt;&gt;0</formula>
    </cfRule>
  </conditionalFormatting>
  <conditionalFormatting sqref="E77">
    <cfRule type="cellIs" dxfId="1729" priority="2048" operator="greaterThan">
      <formula>B77</formula>
    </cfRule>
  </conditionalFormatting>
  <conditionalFormatting sqref="B78">
    <cfRule type="cellIs" dxfId="1728" priority="2047" operator="greaterThan">
      <formula>E78</formula>
    </cfRule>
  </conditionalFormatting>
  <conditionalFormatting sqref="D78">
    <cfRule type="expression" dxfId="1727" priority="2043">
      <formula>E78&gt;B78</formula>
    </cfRule>
    <cfRule type="expression" dxfId="1726" priority="2046">
      <formula>V78&lt;&gt;0</formula>
    </cfRule>
  </conditionalFormatting>
  <conditionalFormatting sqref="C78">
    <cfRule type="expression" dxfId="1725" priority="2044">
      <formula>B78&gt;E78</formula>
    </cfRule>
    <cfRule type="expression" dxfId="1724" priority="2045">
      <formula>V78&lt;&gt;0</formula>
    </cfRule>
  </conditionalFormatting>
  <conditionalFormatting sqref="E78">
    <cfRule type="cellIs" dxfId="1723" priority="2042" operator="greaterThan">
      <formula>B78</formula>
    </cfRule>
  </conditionalFormatting>
  <conditionalFormatting sqref="B79">
    <cfRule type="cellIs" dxfId="1722" priority="2041" operator="greaterThan">
      <formula>E79</formula>
    </cfRule>
  </conditionalFormatting>
  <conditionalFormatting sqref="D79">
    <cfRule type="expression" dxfId="1721" priority="2037">
      <formula>E79&gt;B79</formula>
    </cfRule>
    <cfRule type="expression" dxfId="1720" priority="2040">
      <formula>V79&lt;&gt;0</formula>
    </cfRule>
  </conditionalFormatting>
  <conditionalFormatting sqref="C79">
    <cfRule type="expression" dxfId="1719" priority="2038">
      <formula>B79&gt;E79</formula>
    </cfRule>
    <cfRule type="expression" dxfId="1718" priority="2039">
      <formula>V79&lt;&gt;0</formula>
    </cfRule>
  </conditionalFormatting>
  <conditionalFormatting sqref="E79">
    <cfRule type="cellIs" dxfId="1717" priority="2036" operator="greaterThan">
      <formula>B79</formula>
    </cfRule>
  </conditionalFormatting>
  <conditionalFormatting sqref="B80">
    <cfRule type="cellIs" dxfId="1716" priority="2035" operator="greaterThan">
      <formula>E80</formula>
    </cfRule>
  </conditionalFormatting>
  <conditionalFormatting sqref="D80">
    <cfRule type="expression" dxfId="1715" priority="2031">
      <formula>E80&gt;B80</formula>
    </cfRule>
    <cfRule type="expression" dxfId="1714" priority="2034">
      <formula>V80&lt;&gt;0</formula>
    </cfRule>
  </conditionalFormatting>
  <conditionalFormatting sqref="C80">
    <cfRule type="expression" dxfId="1713" priority="2032">
      <formula>B80&gt;E80</formula>
    </cfRule>
    <cfRule type="expression" dxfId="1712" priority="2033">
      <formula>V80&lt;&gt;0</formula>
    </cfRule>
  </conditionalFormatting>
  <conditionalFormatting sqref="E80">
    <cfRule type="cellIs" dxfId="1711" priority="2030" operator="greaterThan">
      <formula>B80</formula>
    </cfRule>
  </conditionalFormatting>
  <conditionalFormatting sqref="B81">
    <cfRule type="cellIs" dxfId="1710" priority="2029" operator="greaterThan">
      <formula>E81</formula>
    </cfRule>
  </conditionalFormatting>
  <conditionalFormatting sqref="D81">
    <cfRule type="expression" dxfId="1709" priority="2025">
      <formula>E81&gt;B81</formula>
    </cfRule>
    <cfRule type="expression" dxfId="1708" priority="2028">
      <formula>V81&lt;&gt;0</formula>
    </cfRule>
  </conditionalFormatting>
  <conditionalFormatting sqref="C81">
    <cfRule type="expression" dxfId="1707" priority="2026">
      <formula>B81&gt;E81</formula>
    </cfRule>
    <cfRule type="expression" dxfId="1706" priority="2027">
      <formula>V81&lt;&gt;0</formula>
    </cfRule>
  </conditionalFormatting>
  <conditionalFormatting sqref="E81">
    <cfRule type="cellIs" dxfId="1705" priority="2024" operator="greaterThan">
      <formula>B81</formula>
    </cfRule>
  </conditionalFormatting>
  <conditionalFormatting sqref="B82">
    <cfRule type="cellIs" dxfId="1704" priority="2023" operator="greaterThan">
      <formula>E82</formula>
    </cfRule>
  </conditionalFormatting>
  <conditionalFormatting sqref="D82">
    <cfRule type="expression" dxfId="1703" priority="2019">
      <formula>E82&gt;B82</formula>
    </cfRule>
    <cfRule type="expression" dxfId="1702" priority="2022">
      <formula>V82&lt;&gt;0</formula>
    </cfRule>
  </conditionalFormatting>
  <conditionalFormatting sqref="C82">
    <cfRule type="expression" dxfId="1701" priority="2020">
      <formula>B82&gt;E82</formula>
    </cfRule>
    <cfRule type="expression" dxfId="1700" priority="2021">
      <formula>V82&lt;&gt;0</formula>
    </cfRule>
  </conditionalFormatting>
  <conditionalFormatting sqref="E82">
    <cfRule type="cellIs" dxfId="1699" priority="2018" operator="greaterThan">
      <formula>B82</formula>
    </cfRule>
  </conditionalFormatting>
  <conditionalFormatting sqref="B83">
    <cfRule type="cellIs" dxfId="1698" priority="2017" operator="greaterThan">
      <formula>E83</formula>
    </cfRule>
  </conditionalFormatting>
  <conditionalFormatting sqref="D83">
    <cfRule type="expression" dxfId="1697" priority="2013">
      <formula>E83&gt;B83</formula>
    </cfRule>
    <cfRule type="expression" dxfId="1696" priority="2016">
      <formula>V83&lt;&gt;0</formula>
    </cfRule>
  </conditionalFormatting>
  <conditionalFormatting sqref="C83">
    <cfRule type="expression" dxfId="1695" priority="2014">
      <formula>B83&gt;E83</formula>
    </cfRule>
    <cfRule type="expression" dxfId="1694" priority="2015">
      <formula>V83&lt;&gt;0</formula>
    </cfRule>
  </conditionalFormatting>
  <conditionalFormatting sqref="E83">
    <cfRule type="cellIs" dxfId="1693" priority="2012" operator="greaterThan">
      <formula>B83</formula>
    </cfRule>
  </conditionalFormatting>
  <conditionalFormatting sqref="B84">
    <cfRule type="cellIs" dxfId="1692" priority="2011" operator="greaterThan">
      <formula>E84</formula>
    </cfRule>
  </conditionalFormatting>
  <conditionalFormatting sqref="D84">
    <cfRule type="expression" dxfId="1691" priority="2007">
      <formula>E84&gt;B84</formula>
    </cfRule>
    <cfRule type="expression" dxfId="1690" priority="2010">
      <formula>V84&lt;&gt;0</formula>
    </cfRule>
  </conditionalFormatting>
  <conditionalFormatting sqref="C84">
    <cfRule type="expression" dxfId="1689" priority="2008">
      <formula>B84&gt;E84</formula>
    </cfRule>
    <cfRule type="expression" dxfId="1688" priority="2009">
      <formula>V84&lt;&gt;0</formula>
    </cfRule>
  </conditionalFormatting>
  <conditionalFormatting sqref="E84">
    <cfRule type="cellIs" dxfId="1687" priority="2006" operator="greaterThan">
      <formula>B84</formula>
    </cfRule>
  </conditionalFormatting>
  <conditionalFormatting sqref="B85">
    <cfRule type="cellIs" dxfId="1686" priority="2005" operator="greaterThan">
      <formula>E85</formula>
    </cfRule>
  </conditionalFormatting>
  <conditionalFormatting sqref="D85">
    <cfRule type="expression" dxfId="1685" priority="2001">
      <formula>E85&gt;B85</formula>
    </cfRule>
    <cfRule type="expression" dxfId="1684" priority="2004">
      <formula>V85&lt;&gt;0</formula>
    </cfRule>
  </conditionalFormatting>
  <conditionalFormatting sqref="C85">
    <cfRule type="expression" dxfId="1683" priority="2002">
      <formula>B85&gt;E85</formula>
    </cfRule>
    <cfRule type="expression" dxfId="1682" priority="2003">
      <formula>V85&lt;&gt;0</formula>
    </cfRule>
  </conditionalFormatting>
  <conditionalFormatting sqref="E85">
    <cfRule type="cellIs" dxfId="1681" priority="2000" operator="greaterThan">
      <formula>B85</formula>
    </cfRule>
  </conditionalFormatting>
  <conditionalFormatting sqref="B86">
    <cfRule type="cellIs" dxfId="1680" priority="1999" operator="greaterThan">
      <formula>E86</formula>
    </cfRule>
  </conditionalFormatting>
  <conditionalFormatting sqref="D86">
    <cfRule type="expression" dxfId="1679" priority="1995">
      <formula>E86&gt;B86</formula>
    </cfRule>
    <cfRule type="expression" dxfId="1678" priority="1998">
      <formula>V86&lt;&gt;0</formula>
    </cfRule>
  </conditionalFormatting>
  <conditionalFormatting sqref="C86">
    <cfRule type="expression" dxfId="1677" priority="1996">
      <formula>B86&gt;E86</formula>
    </cfRule>
    <cfRule type="expression" dxfId="1676" priority="1997">
      <formula>V86&lt;&gt;0</formula>
    </cfRule>
  </conditionalFormatting>
  <conditionalFormatting sqref="E86">
    <cfRule type="cellIs" dxfId="1675" priority="1994" operator="greaterThan">
      <formula>B86</formula>
    </cfRule>
  </conditionalFormatting>
  <conditionalFormatting sqref="B87">
    <cfRule type="cellIs" dxfId="1674" priority="1993" operator="greaterThan">
      <formula>E87</formula>
    </cfRule>
  </conditionalFormatting>
  <conditionalFormatting sqref="D87">
    <cfRule type="expression" dxfId="1673" priority="1989">
      <formula>E87&gt;B87</formula>
    </cfRule>
    <cfRule type="expression" dxfId="1672" priority="1992">
      <formula>V87&lt;&gt;0</formula>
    </cfRule>
  </conditionalFormatting>
  <conditionalFormatting sqref="C87">
    <cfRule type="expression" dxfId="1671" priority="1990">
      <formula>B87&gt;E87</formula>
    </cfRule>
    <cfRule type="expression" dxfId="1670" priority="1991">
      <formula>V87&lt;&gt;0</formula>
    </cfRule>
  </conditionalFormatting>
  <conditionalFormatting sqref="E87">
    <cfRule type="cellIs" dxfId="1669" priority="1988" operator="greaterThan">
      <formula>B87</formula>
    </cfRule>
  </conditionalFormatting>
  <conditionalFormatting sqref="B88">
    <cfRule type="cellIs" dxfId="1668" priority="1987" operator="greaterThan">
      <formula>E88</formula>
    </cfRule>
  </conditionalFormatting>
  <conditionalFormatting sqref="D88">
    <cfRule type="expression" dxfId="1667" priority="1983">
      <formula>E88&gt;B88</formula>
    </cfRule>
    <cfRule type="expression" dxfId="1666" priority="1986">
      <formula>V88&lt;&gt;0</formula>
    </cfRule>
  </conditionalFormatting>
  <conditionalFormatting sqref="C88">
    <cfRule type="expression" dxfId="1665" priority="1984">
      <formula>B88&gt;E88</formula>
    </cfRule>
    <cfRule type="expression" dxfId="1664" priority="1985">
      <formula>V88&lt;&gt;0</formula>
    </cfRule>
  </conditionalFormatting>
  <conditionalFormatting sqref="E88">
    <cfRule type="cellIs" dxfId="1663" priority="1982" operator="greaterThan">
      <formula>B88</formula>
    </cfRule>
  </conditionalFormatting>
  <conditionalFormatting sqref="B89">
    <cfRule type="cellIs" dxfId="1662" priority="1981" operator="greaterThan">
      <formula>E89</formula>
    </cfRule>
  </conditionalFormatting>
  <conditionalFormatting sqref="D89">
    <cfRule type="expression" dxfId="1661" priority="1977">
      <formula>E89&gt;B89</formula>
    </cfRule>
    <cfRule type="expression" dxfId="1660" priority="1980">
      <formula>V89&lt;&gt;0</formula>
    </cfRule>
  </conditionalFormatting>
  <conditionalFormatting sqref="C89">
    <cfRule type="expression" dxfId="1659" priority="1978">
      <formula>B89&gt;E89</formula>
    </cfRule>
    <cfRule type="expression" dxfId="1658" priority="1979">
      <formula>V89&lt;&gt;0</formula>
    </cfRule>
  </conditionalFormatting>
  <conditionalFormatting sqref="E89">
    <cfRule type="cellIs" dxfId="1657" priority="1976" operator="greaterThan">
      <formula>B89</formula>
    </cfRule>
  </conditionalFormatting>
  <conditionalFormatting sqref="B90">
    <cfRule type="cellIs" dxfId="1656" priority="1975" operator="greaterThan">
      <formula>E90</formula>
    </cfRule>
  </conditionalFormatting>
  <conditionalFormatting sqref="D90">
    <cfRule type="expression" dxfId="1655" priority="1971">
      <formula>E90&gt;B90</formula>
    </cfRule>
    <cfRule type="expression" dxfId="1654" priority="1974">
      <formula>V90&lt;&gt;0</formula>
    </cfRule>
  </conditionalFormatting>
  <conditionalFormatting sqref="C90">
    <cfRule type="expression" dxfId="1653" priority="1972">
      <formula>B90&gt;E90</formula>
    </cfRule>
    <cfRule type="expression" dxfId="1652" priority="1973">
      <formula>V90&lt;&gt;0</formula>
    </cfRule>
  </conditionalFormatting>
  <conditionalFormatting sqref="E90">
    <cfRule type="cellIs" dxfId="1651" priority="1970" operator="greaterThan">
      <formula>B90</formula>
    </cfRule>
  </conditionalFormatting>
  <conditionalFormatting sqref="B91">
    <cfRule type="cellIs" dxfId="1650" priority="1969" operator="greaterThan">
      <formula>E91</formula>
    </cfRule>
  </conditionalFormatting>
  <conditionalFormatting sqref="D91">
    <cfRule type="expression" dxfId="1649" priority="1965">
      <formula>E91&gt;B91</formula>
    </cfRule>
    <cfRule type="expression" dxfId="1648" priority="1968">
      <formula>V91&lt;&gt;0</formula>
    </cfRule>
  </conditionalFormatting>
  <conditionalFormatting sqref="C91">
    <cfRule type="expression" dxfId="1647" priority="1966">
      <formula>B91&gt;E91</formula>
    </cfRule>
    <cfRule type="expression" dxfId="1646" priority="1967">
      <formula>V91&lt;&gt;0</formula>
    </cfRule>
  </conditionalFormatting>
  <conditionalFormatting sqref="E91">
    <cfRule type="cellIs" dxfId="1645" priority="1964" operator="greaterThan">
      <formula>B91</formula>
    </cfRule>
  </conditionalFormatting>
  <conditionalFormatting sqref="B92">
    <cfRule type="cellIs" dxfId="1644" priority="1963" operator="greaterThan">
      <formula>E92</formula>
    </cfRule>
  </conditionalFormatting>
  <conditionalFormatting sqref="D92">
    <cfRule type="expression" dxfId="1643" priority="1959">
      <formula>E92&gt;B92</formula>
    </cfRule>
    <cfRule type="expression" dxfId="1642" priority="1962">
      <formula>V92&lt;&gt;0</formula>
    </cfRule>
  </conditionalFormatting>
  <conditionalFormatting sqref="C92">
    <cfRule type="expression" dxfId="1641" priority="1960">
      <formula>B92&gt;E92</formula>
    </cfRule>
    <cfRule type="expression" dxfId="1640" priority="1961">
      <formula>V92&lt;&gt;0</formula>
    </cfRule>
  </conditionalFormatting>
  <conditionalFormatting sqref="E92">
    <cfRule type="cellIs" dxfId="1639" priority="1958" operator="greaterThan">
      <formula>B92</formula>
    </cfRule>
  </conditionalFormatting>
  <conditionalFormatting sqref="B93">
    <cfRule type="cellIs" dxfId="1638" priority="1957" operator="greaterThan">
      <formula>E93</formula>
    </cfRule>
  </conditionalFormatting>
  <conditionalFormatting sqref="D93">
    <cfRule type="expression" dxfId="1637" priority="1953">
      <formula>E93&gt;B93</formula>
    </cfRule>
    <cfRule type="expression" dxfId="1636" priority="1956">
      <formula>V93&lt;&gt;0</formula>
    </cfRule>
  </conditionalFormatting>
  <conditionalFormatting sqref="C93">
    <cfRule type="expression" dxfId="1635" priority="1954">
      <formula>B93&gt;E93</formula>
    </cfRule>
    <cfRule type="expression" dxfId="1634" priority="1955">
      <formula>V93&lt;&gt;0</formula>
    </cfRule>
  </conditionalFormatting>
  <conditionalFormatting sqref="E93">
    <cfRule type="cellIs" dxfId="1633" priority="1952" operator="greaterThan">
      <formula>B93</formula>
    </cfRule>
  </conditionalFormatting>
  <conditionalFormatting sqref="B94">
    <cfRule type="cellIs" dxfId="1632" priority="1951" operator="greaterThan">
      <formula>E94</formula>
    </cfRule>
  </conditionalFormatting>
  <conditionalFormatting sqref="D94">
    <cfRule type="expression" dxfId="1631" priority="1947">
      <formula>E94&gt;B94</formula>
    </cfRule>
    <cfRule type="expression" dxfId="1630" priority="1950">
      <formula>V94&lt;&gt;0</formula>
    </cfRule>
  </conditionalFormatting>
  <conditionalFormatting sqref="C94">
    <cfRule type="expression" dxfId="1629" priority="1948">
      <formula>B94&gt;E94</formula>
    </cfRule>
    <cfRule type="expression" dxfId="1628" priority="1949">
      <formula>V94&lt;&gt;0</formula>
    </cfRule>
  </conditionalFormatting>
  <conditionalFormatting sqref="E94">
    <cfRule type="cellIs" dxfId="1627" priority="1946" operator="greaterThan">
      <formula>B94</formula>
    </cfRule>
  </conditionalFormatting>
  <conditionalFormatting sqref="B95">
    <cfRule type="cellIs" dxfId="1626" priority="1945" operator="greaterThan">
      <formula>E95</formula>
    </cfRule>
  </conditionalFormatting>
  <conditionalFormatting sqref="D95">
    <cfRule type="expression" dxfId="1625" priority="1941">
      <formula>E95&gt;B95</formula>
    </cfRule>
    <cfRule type="expression" dxfId="1624" priority="1944">
      <formula>V95&lt;&gt;0</formula>
    </cfRule>
  </conditionalFormatting>
  <conditionalFormatting sqref="C95">
    <cfRule type="expression" dxfId="1623" priority="1942">
      <formula>B95&gt;E95</formula>
    </cfRule>
    <cfRule type="expression" dxfId="1622" priority="1943">
      <formula>V95&lt;&gt;0</formula>
    </cfRule>
  </conditionalFormatting>
  <conditionalFormatting sqref="E95">
    <cfRule type="cellIs" dxfId="1621" priority="1940" operator="greaterThan">
      <formula>B95</formula>
    </cfRule>
  </conditionalFormatting>
  <conditionalFormatting sqref="B96">
    <cfRule type="cellIs" dxfId="1620" priority="1939" operator="greaterThan">
      <formula>E96</formula>
    </cfRule>
  </conditionalFormatting>
  <conditionalFormatting sqref="D96">
    <cfRule type="expression" dxfId="1619" priority="1935">
      <formula>E96&gt;B96</formula>
    </cfRule>
    <cfRule type="expression" dxfId="1618" priority="1938">
      <formula>V96&lt;&gt;0</formula>
    </cfRule>
  </conditionalFormatting>
  <conditionalFormatting sqref="C96">
    <cfRule type="expression" dxfId="1617" priority="1936">
      <formula>B96&gt;E96</formula>
    </cfRule>
    <cfRule type="expression" dxfId="1616" priority="1937">
      <formula>V96&lt;&gt;0</formula>
    </cfRule>
  </conditionalFormatting>
  <conditionalFormatting sqref="E96">
    <cfRule type="cellIs" dxfId="1615" priority="1934" operator="greaterThan">
      <formula>B96</formula>
    </cfRule>
  </conditionalFormatting>
  <conditionalFormatting sqref="B97">
    <cfRule type="cellIs" dxfId="1614" priority="1933" operator="greaterThan">
      <formula>E97</formula>
    </cfRule>
  </conditionalFormatting>
  <conditionalFormatting sqref="D97">
    <cfRule type="expression" dxfId="1613" priority="1929">
      <formula>E97&gt;B97</formula>
    </cfRule>
    <cfRule type="expression" dxfId="1612" priority="1932">
      <formula>V97&lt;&gt;0</formula>
    </cfRule>
  </conditionalFormatting>
  <conditionalFormatting sqref="C97">
    <cfRule type="expression" dxfId="1611" priority="1930">
      <formula>B97&gt;E97</formula>
    </cfRule>
    <cfRule type="expression" dxfId="1610" priority="1931">
      <formula>V97&lt;&gt;0</formula>
    </cfRule>
  </conditionalFormatting>
  <conditionalFormatting sqref="E97">
    <cfRule type="cellIs" dxfId="1609" priority="1928" operator="greaterThan">
      <formula>B97</formula>
    </cfRule>
  </conditionalFormatting>
  <conditionalFormatting sqref="B98">
    <cfRule type="cellIs" dxfId="1608" priority="1927" operator="greaterThan">
      <formula>E98</formula>
    </cfRule>
  </conditionalFormatting>
  <conditionalFormatting sqref="D98">
    <cfRule type="expression" dxfId="1607" priority="1923">
      <formula>E98&gt;B98</formula>
    </cfRule>
    <cfRule type="expression" dxfId="1606" priority="1926">
      <formula>V98&lt;&gt;0</formula>
    </cfRule>
  </conditionalFormatting>
  <conditionalFormatting sqref="C98">
    <cfRule type="expression" dxfId="1605" priority="1924">
      <formula>B98&gt;E98</formula>
    </cfRule>
    <cfRule type="expression" dxfId="1604" priority="1925">
      <formula>V98&lt;&gt;0</formula>
    </cfRule>
  </conditionalFormatting>
  <conditionalFormatting sqref="E98">
    <cfRule type="cellIs" dxfId="1603" priority="1922" operator="greaterThan">
      <formula>B98</formula>
    </cfRule>
  </conditionalFormatting>
  <conditionalFormatting sqref="B99">
    <cfRule type="cellIs" dxfId="1602" priority="1921" operator="greaterThan">
      <formula>E99</formula>
    </cfRule>
  </conditionalFormatting>
  <conditionalFormatting sqref="D99">
    <cfRule type="expression" dxfId="1601" priority="1917">
      <formula>E99&gt;B99</formula>
    </cfRule>
    <cfRule type="expression" dxfId="1600" priority="1920">
      <formula>V99&lt;&gt;0</formula>
    </cfRule>
  </conditionalFormatting>
  <conditionalFormatting sqref="C99">
    <cfRule type="expression" dxfId="1599" priority="1918">
      <formula>B99&gt;E99</formula>
    </cfRule>
    <cfRule type="expression" dxfId="1598" priority="1919">
      <formula>V99&lt;&gt;0</formula>
    </cfRule>
  </conditionalFormatting>
  <conditionalFormatting sqref="E99">
    <cfRule type="cellIs" dxfId="1597" priority="1916" operator="greaterThan">
      <formula>B99</formula>
    </cfRule>
  </conditionalFormatting>
  <conditionalFormatting sqref="B100">
    <cfRule type="cellIs" dxfId="1596" priority="1915" operator="greaterThan">
      <formula>E100</formula>
    </cfRule>
  </conditionalFormatting>
  <conditionalFormatting sqref="D100">
    <cfRule type="expression" dxfId="1595" priority="1911">
      <formula>E100&gt;B100</formula>
    </cfRule>
    <cfRule type="expression" dxfId="1594" priority="1914">
      <formula>V100&lt;&gt;0</formula>
    </cfRule>
  </conditionalFormatting>
  <conditionalFormatting sqref="C100">
    <cfRule type="expression" dxfId="1593" priority="1912">
      <formula>B100&gt;E100</formula>
    </cfRule>
    <cfRule type="expression" dxfId="1592" priority="1913">
      <formula>V100&lt;&gt;0</formula>
    </cfRule>
  </conditionalFormatting>
  <conditionalFormatting sqref="E100">
    <cfRule type="cellIs" dxfId="1591" priority="1910" operator="greaterThan">
      <formula>B100</formula>
    </cfRule>
  </conditionalFormatting>
  <conditionalFormatting sqref="B101">
    <cfRule type="cellIs" dxfId="1590" priority="1909" operator="greaterThan">
      <formula>E101</formula>
    </cfRule>
  </conditionalFormatting>
  <conditionalFormatting sqref="D101">
    <cfRule type="expression" dxfId="1589" priority="1905">
      <formula>E101&gt;B101</formula>
    </cfRule>
    <cfRule type="expression" dxfId="1588" priority="1908">
      <formula>V101&lt;&gt;0</formula>
    </cfRule>
  </conditionalFormatting>
  <conditionalFormatting sqref="C101">
    <cfRule type="expression" dxfId="1587" priority="1906">
      <formula>B101&gt;E101</formula>
    </cfRule>
    <cfRule type="expression" dxfId="1586" priority="1907">
      <formula>V101&lt;&gt;0</formula>
    </cfRule>
  </conditionalFormatting>
  <conditionalFormatting sqref="E101">
    <cfRule type="cellIs" dxfId="1585" priority="1904" operator="greaterThan">
      <formula>B101</formula>
    </cfRule>
  </conditionalFormatting>
  <conditionalFormatting sqref="B102">
    <cfRule type="cellIs" dxfId="1584" priority="1903" operator="greaterThan">
      <formula>E102</formula>
    </cfRule>
  </conditionalFormatting>
  <conditionalFormatting sqref="D102">
    <cfRule type="expression" dxfId="1583" priority="1899">
      <formula>E102&gt;B102</formula>
    </cfRule>
    <cfRule type="expression" dxfId="1582" priority="1902">
      <formula>V102&lt;&gt;0</formula>
    </cfRule>
  </conditionalFormatting>
  <conditionalFormatting sqref="C102">
    <cfRule type="expression" dxfId="1581" priority="1900">
      <formula>B102&gt;E102</formula>
    </cfRule>
    <cfRule type="expression" dxfId="1580" priority="1901">
      <formula>V102&lt;&gt;0</formula>
    </cfRule>
  </conditionalFormatting>
  <conditionalFormatting sqref="E102">
    <cfRule type="cellIs" dxfId="1579" priority="1898" operator="greaterThan">
      <formula>B102</formula>
    </cfRule>
  </conditionalFormatting>
  <conditionalFormatting sqref="B103">
    <cfRule type="cellIs" dxfId="1578" priority="1897" operator="greaterThan">
      <formula>E103</formula>
    </cfRule>
  </conditionalFormatting>
  <conditionalFormatting sqref="D103">
    <cfRule type="expression" dxfId="1577" priority="1893">
      <formula>E103&gt;B103</formula>
    </cfRule>
    <cfRule type="expression" dxfId="1576" priority="1896">
      <formula>V103&lt;&gt;0</formula>
    </cfRule>
  </conditionalFormatting>
  <conditionalFormatting sqref="C103">
    <cfRule type="expression" dxfId="1575" priority="1894">
      <formula>B103&gt;E103</formula>
    </cfRule>
    <cfRule type="expression" dxfId="1574" priority="1895">
      <formula>V103&lt;&gt;0</formula>
    </cfRule>
  </conditionalFormatting>
  <conditionalFormatting sqref="E103">
    <cfRule type="cellIs" dxfId="1573" priority="1892" operator="greaterThan">
      <formula>B103</formula>
    </cfRule>
  </conditionalFormatting>
  <conditionalFormatting sqref="B104">
    <cfRule type="cellIs" dxfId="1572" priority="1891" operator="greaterThan">
      <formula>E104</formula>
    </cfRule>
  </conditionalFormatting>
  <conditionalFormatting sqref="D104">
    <cfRule type="expression" dxfId="1571" priority="1887">
      <formula>E104&gt;B104</formula>
    </cfRule>
    <cfRule type="expression" dxfId="1570" priority="1890">
      <formula>V104&lt;&gt;0</formula>
    </cfRule>
  </conditionalFormatting>
  <conditionalFormatting sqref="C104">
    <cfRule type="expression" dxfId="1569" priority="1888">
      <formula>B104&gt;E104</formula>
    </cfRule>
    <cfRule type="expression" dxfId="1568" priority="1889">
      <formula>V104&lt;&gt;0</formula>
    </cfRule>
  </conditionalFormatting>
  <conditionalFormatting sqref="E104">
    <cfRule type="cellIs" dxfId="1567" priority="1886" operator="greaterThan">
      <formula>B104</formula>
    </cfRule>
  </conditionalFormatting>
  <conditionalFormatting sqref="B105">
    <cfRule type="cellIs" dxfId="1566" priority="1885" operator="greaterThan">
      <formula>E105</formula>
    </cfRule>
  </conditionalFormatting>
  <conditionalFormatting sqref="D105">
    <cfRule type="expression" dxfId="1565" priority="1881">
      <formula>E105&gt;B105</formula>
    </cfRule>
    <cfRule type="expression" dxfId="1564" priority="1884">
      <formula>V105&lt;&gt;0</formula>
    </cfRule>
  </conditionalFormatting>
  <conditionalFormatting sqref="C105">
    <cfRule type="expression" dxfId="1563" priority="1882">
      <formula>B105&gt;E105</formula>
    </cfRule>
    <cfRule type="expression" dxfId="1562" priority="1883">
      <formula>V105&lt;&gt;0</formula>
    </cfRule>
  </conditionalFormatting>
  <conditionalFormatting sqref="E105">
    <cfRule type="cellIs" dxfId="1561" priority="1880" operator="greaterThan">
      <formula>B105</formula>
    </cfRule>
  </conditionalFormatting>
  <conditionalFormatting sqref="B106">
    <cfRule type="cellIs" dxfId="1560" priority="1879" operator="greaterThan">
      <formula>E106</formula>
    </cfRule>
  </conditionalFormatting>
  <conditionalFormatting sqref="D106">
    <cfRule type="expression" dxfId="1559" priority="1875">
      <formula>E106&gt;B106</formula>
    </cfRule>
    <cfRule type="expression" dxfId="1558" priority="1878">
      <formula>V106&lt;&gt;0</formula>
    </cfRule>
  </conditionalFormatting>
  <conditionalFormatting sqref="C106">
    <cfRule type="expression" dxfId="1557" priority="1876">
      <formula>B106&gt;E106</formula>
    </cfRule>
    <cfRule type="expression" dxfId="1556" priority="1877">
      <formula>V106&lt;&gt;0</formula>
    </cfRule>
  </conditionalFormatting>
  <conditionalFormatting sqref="E106">
    <cfRule type="cellIs" dxfId="1555" priority="1874" operator="greaterThan">
      <formula>B106</formula>
    </cfRule>
  </conditionalFormatting>
  <conditionalFormatting sqref="B107">
    <cfRule type="cellIs" dxfId="1554" priority="1873" operator="greaterThan">
      <formula>E107</formula>
    </cfRule>
  </conditionalFormatting>
  <conditionalFormatting sqref="D107">
    <cfRule type="expression" dxfId="1553" priority="1869">
      <formula>E107&gt;B107</formula>
    </cfRule>
    <cfRule type="expression" dxfId="1552" priority="1872">
      <formula>V107&lt;&gt;0</formula>
    </cfRule>
  </conditionalFormatting>
  <conditionalFormatting sqref="C107">
    <cfRule type="expression" dxfId="1551" priority="1870">
      <formula>B107&gt;E107</formula>
    </cfRule>
    <cfRule type="expression" dxfId="1550" priority="1871">
      <formula>V107&lt;&gt;0</formula>
    </cfRule>
  </conditionalFormatting>
  <conditionalFormatting sqref="E107">
    <cfRule type="cellIs" dxfId="1549" priority="1868" operator="greaterThan">
      <formula>B107</formula>
    </cfRule>
  </conditionalFormatting>
  <conditionalFormatting sqref="B108">
    <cfRule type="cellIs" dxfId="1548" priority="1867" operator="greaterThan">
      <formula>E108</formula>
    </cfRule>
  </conditionalFormatting>
  <conditionalFormatting sqref="D108">
    <cfRule type="expression" dxfId="1547" priority="1863">
      <formula>E108&gt;B108</formula>
    </cfRule>
    <cfRule type="expression" dxfId="1546" priority="1866">
      <formula>V108&lt;&gt;0</formula>
    </cfRule>
  </conditionalFormatting>
  <conditionalFormatting sqref="C108">
    <cfRule type="expression" dxfId="1545" priority="1864">
      <formula>B108&gt;E108</formula>
    </cfRule>
    <cfRule type="expression" dxfId="1544" priority="1865">
      <formula>V108&lt;&gt;0</formula>
    </cfRule>
  </conditionalFormatting>
  <conditionalFormatting sqref="E108">
    <cfRule type="cellIs" dxfId="1543" priority="1862" operator="greaterThan">
      <formula>B108</formula>
    </cfRule>
  </conditionalFormatting>
  <conditionalFormatting sqref="B109">
    <cfRule type="cellIs" dxfId="1542" priority="1861" operator="greaterThan">
      <formula>E109</formula>
    </cfRule>
  </conditionalFormatting>
  <conditionalFormatting sqref="D109">
    <cfRule type="expression" dxfId="1541" priority="1857">
      <formula>E109&gt;B109</formula>
    </cfRule>
    <cfRule type="expression" dxfId="1540" priority="1860">
      <formula>V109&lt;&gt;0</formula>
    </cfRule>
  </conditionalFormatting>
  <conditionalFormatting sqref="C109">
    <cfRule type="expression" dxfId="1539" priority="1858">
      <formula>B109&gt;E109</formula>
    </cfRule>
    <cfRule type="expression" dxfId="1538" priority="1859">
      <formula>V109&lt;&gt;0</formula>
    </cfRule>
  </conditionalFormatting>
  <conditionalFormatting sqref="E109">
    <cfRule type="cellIs" dxfId="1537" priority="1856" operator="greaterThan">
      <formula>B109</formula>
    </cfRule>
  </conditionalFormatting>
  <conditionalFormatting sqref="B110">
    <cfRule type="cellIs" dxfId="1536" priority="1855" operator="greaterThan">
      <formula>E110</formula>
    </cfRule>
  </conditionalFormatting>
  <conditionalFormatting sqref="D110">
    <cfRule type="expression" dxfId="1535" priority="1851">
      <formula>E110&gt;B110</formula>
    </cfRule>
    <cfRule type="expression" dxfId="1534" priority="1854">
      <formula>V110&lt;&gt;0</formula>
    </cfRule>
  </conditionalFormatting>
  <conditionalFormatting sqref="C110">
    <cfRule type="expression" dxfId="1533" priority="1852">
      <formula>B110&gt;E110</formula>
    </cfRule>
    <cfRule type="expression" dxfId="1532" priority="1853">
      <formula>V110&lt;&gt;0</formula>
    </cfRule>
  </conditionalFormatting>
  <conditionalFormatting sqref="E110">
    <cfRule type="cellIs" dxfId="1531" priority="1850" operator="greaterThan">
      <formula>B110</formula>
    </cfRule>
  </conditionalFormatting>
  <conditionalFormatting sqref="B111">
    <cfRule type="cellIs" dxfId="1530" priority="1849" operator="greaterThan">
      <formula>E111</formula>
    </cfRule>
  </conditionalFormatting>
  <conditionalFormatting sqref="D111">
    <cfRule type="expression" dxfId="1529" priority="1845">
      <formula>E111&gt;B111</formula>
    </cfRule>
    <cfRule type="expression" dxfId="1528" priority="1848">
      <formula>V111&lt;&gt;0</formula>
    </cfRule>
  </conditionalFormatting>
  <conditionalFormatting sqref="C111">
    <cfRule type="expression" dxfId="1527" priority="1846">
      <formula>B111&gt;E111</formula>
    </cfRule>
    <cfRule type="expression" dxfId="1526" priority="1847">
      <formula>V111&lt;&gt;0</formula>
    </cfRule>
  </conditionalFormatting>
  <conditionalFormatting sqref="E111">
    <cfRule type="cellIs" dxfId="1525" priority="1844" operator="greaterThan">
      <formula>B111</formula>
    </cfRule>
  </conditionalFormatting>
  <conditionalFormatting sqref="B112">
    <cfRule type="cellIs" dxfId="1524" priority="1843" operator="greaterThan">
      <formula>E112</formula>
    </cfRule>
  </conditionalFormatting>
  <conditionalFormatting sqref="D112">
    <cfRule type="expression" dxfId="1523" priority="1839">
      <formula>E112&gt;B112</formula>
    </cfRule>
    <cfRule type="expression" dxfId="1522" priority="1842">
      <formula>V112&lt;&gt;0</formula>
    </cfRule>
  </conditionalFormatting>
  <conditionalFormatting sqref="C112">
    <cfRule type="expression" dxfId="1521" priority="1840">
      <formula>B112&gt;E112</formula>
    </cfRule>
    <cfRule type="expression" dxfId="1520" priority="1841">
      <formula>V112&lt;&gt;0</formula>
    </cfRule>
  </conditionalFormatting>
  <conditionalFormatting sqref="E112">
    <cfRule type="cellIs" dxfId="1519" priority="1838" operator="greaterThan">
      <formula>B112</formula>
    </cfRule>
  </conditionalFormatting>
  <conditionalFormatting sqref="B113">
    <cfRule type="cellIs" dxfId="1518" priority="1837" operator="greaterThan">
      <formula>E113</formula>
    </cfRule>
  </conditionalFormatting>
  <conditionalFormatting sqref="D113">
    <cfRule type="expression" dxfId="1517" priority="1833">
      <formula>E113&gt;B113</formula>
    </cfRule>
    <cfRule type="expression" dxfId="1516" priority="1836">
      <formula>V113&lt;&gt;0</formula>
    </cfRule>
  </conditionalFormatting>
  <conditionalFormatting sqref="C113">
    <cfRule type="expression" dxfId="1515" priority="1834">
      <formula>B113&gt;E113</formula>
    </cfRule>
    <cfRule type="expression" dxfId="1514" priority="1835">
      <formula>V113&lt;&gt;0</formula>
    </cfRule>
  </conditionalFormatting>
  <conditionalFormatting sqref="E113">
    <cfRule type="cellIs" dxfId="1513" priority="1832" operator="greaterThan">
      <formula>B113</formula>
    </cfRule>
  </conditionalFormatting>
  <conditionalFormatting sqref="B114">
    <cfRule type="cellIs" dxfId="1512" priority="1831" operator="greaterThan">
      <formula>E114</formula>
    </cfRule>
  </conditionalFormatting>
  <conditionalFormatting sqref="D114">
    <cfRule type="expression" dxfId="1511" priority="1827">
      <formula>E114&gt;B114</formula>
    </cfRule>
    <cfRule type="expression" dxfId="1510" priority="1830">
      <formula>V114&lt;&gt;0</formula>
    </cfRule>
  </conditionalFormatting>
  <conditionalFormatting sqref="C114">
    <cfRule type="expression" dxfId="1509" priority="1828">
      <formula>B114&gt;E114</formula>
    </cfRule>
    <cfRule type="expression" dxfId="1508" priority="1829">
      <formula>V114&lt;&gt;0</formula>
    </cfRule>
  </conditionalFormatting>
  <conditionalFormatting sqref="E114">
    <cfRule type="cellIs" dxfId="1507" priority="1826" operator="greaterThan">
      <formula>B114</formula>
    </cfRule>
  </conditionalFormatting>
  <conditionalFormatting sqref="B115">
    <cfRule type="cellIs" dxfId="1506" priority="1825" operator="greaterThan">
      <formula>E115</formula>
    </cfRule>
  </conditionalFormatting>
  <conditionalFormatting sqref="D115">
    <cfRule type="expression" dxfId="1505" priority="1821">
      <formula>E115&gt;B115</formula>
    </cfRule>
    <cfRule type="expression" dxfId="1504" priority="1824">
      <formula>V115&lt;&gt;0</formula>
    </cfRule>
  </conditionalFormatting>
  <conditionalFormatting sqref="C115">
    <cfRule type="expression" dxfId="1503" priority="1822">
      <formula>B115&gt;E115</formula>
    </cfRule>
    <cfRule type="expression" dxfId="1502" priority="1823">
      <formula>V115&lt;&gt;0</formula>
    </cfRule>
  </conditionalFormatting>
  <conditionalFormatting sqref="E115">
    <cfRule type="cellIs" dxfId="1501" priority="1820" operator="greaterThan">
      <formula>B115</formula>
    </cfRule>
  </conditionalFormatting>
  <conditionalFormatting sqref="B116">
    <cfRule type="cellIs" dxfId="1500" priority="1819" operator="greaterThan">
      <formula>E116</formula>
    </cfRule>
  </conditionalFormatting>
  <conditionalFormatting sqref="D116">
    <cfRule type="expression" dxfId="1499" priority="1815">
      <formula>E116&gt;B116</formula>
    </cfRule>
    <cfRule type="expression" dxfId="1498" priority="1818">
      <formula>V116&lt;&gt;0</formula>
    </cfRule>
  </conditionalFormatting>
  <conditionalFormatting sqref="C116">
    <cfRule type="expression" dxfId="1497" priority="1816">
      <formula>B116&gt;E116</formula>
    </cfRule>
    <cfRule type="expression" dxfId="1496" priority="1817">
      <formula>V116&lt;&gt;0</formula>
    </cfRule>
  </conditionalFormatting>
  <conditionalFormatting sqref="E116">
    <cfRule type="cellIs" dxfId="1495" priority="1814" operator="greaterThan">
      <formula>B116</formula>
    </cfRule>
  </conditionalFormatting>
  <conditionalFormatting sqref="B117">
    <cfRule type="cellIs" dxfId="1494" priority="1813" operator="greaterThan">
      <formula>E117</formula>
    </cfRule>
  </conditionalFormatting>
  <conditionalFormatting sqref="D117">
    <cfRule type="expression" dxfId="1493" priority="1809">
      <formula>E117&gt;B117</formula>
    </cfRule>
    <cfRule type="expression" dxfId="1492" priority="1812">
      <formula>V117&lt;&gt;0</formula>
    </cfRule>
  </conditionalFormatting>
  <conditionalFormatting sqref="C117">
    <cfRule type="expression" dxfId="1491" priority="1810">
      <formula>B117&gt;E117</formula>
    </cfRule>
    <cfRule type="expression" dxfId="1490" priority="1811">
      <formula>V117&lt;&gt;0</formula>
    </cfRule>
  </conditionalFormatting>
  <conditionalFormatting sqref="E117">
    <cfRule type="cellIs" dxfId="1489" priority="1808" operator="greaterThan">
      <formula>B117</formula>
    </cfRule>
  </conditionalFormatting>
  <conditionalFormatting sqref="B118">
    <cfRule type="cellIs" dxfId="1488" priority="1807" operator="greaterThan">
      <formula>E118</formula>
    </cfRule>
  </conditionalFormatting>
  <conditionalFormatting sqref="D118">
    <cfRule type="expression" dxfId="1487" priority="1803">
      <formula>E118&gt;B118</formula>
    </cfRule>
    <cfRule type="expression" dxfId="1486" priority="1806">
      <formula>V118&lt;&gt;0</formula>
    </cfRule>
  </conditionalFormatting>
  <conditionalFormatting sqref="C118">
    <cfRule type="expression" dxfId="1485" priority="1804">
      <formula>B118&gt;E118</formula>
    </cfRule>
    <cfRule type="expression" dxfId="1484" priority="1805">
      <formula>V118&lt;&gt;0</formula>
    </cfRule>
  </conditionalFormatting>
  <conditionalFormatting sqref="E118">
    <cfRule type="cellIs" dxfId="1483" priority="1802" operator="greaterThan">
      <formula>B118</formula>
    </cfRule>
  </conditionalFormatting>
  <conditionalFormatting sqref="B119">
    <cfRule type="cellIs" dxfId="1482" priority="1801" operator="greaterThan">
      <formula>E119</formula>
    </cfRule>
  </conditionalFormatting>
  <conditionalFormatting sqref="D119">
    <cfRule type="expression" dxfId="1481" priority="1797">
      <formula>E119&gt;B119</formula>
    </cfRule>
    <cfRule type="expression" dxfId="1480" priority="1800">
      <formula>V119&lt;&gt;0</formula>
    </cfRule>
  </conditionalFormatting>
  <conditionalFormatting sqref="C119">
    <cfRule type="expression" dxfId="1479" priority="1798">
      <formula>B119&gt;E119</formula>
    </cfRule>
    <cfRule type="expression" dxfId="1478" priority="1799">
      <formula>V119&lt;&gt;0</formula>
    </cfRule>
  </conditionalFormatting>
  <conditionalFormatting sqref="E119">
    <cfRule type="cellIs" dxfId="1477" priority="1796" operator="greaterThan">
      <formula>B119</formula>
    </cfRule>
  </conditionalFormatting>
  <conditionalFormatting sqref="B120">
    <cfRule type="cellIs" dxfId="1476" priority="1795" operator="greaterThan">
      <formula>E120</formula>
    </cfRule>
  </conditionalFormatting>
  <conditionalFormatting sqref="D120">
    <cfRule type="expression" dxfId="1475" priority="1791">
      <formula>E120&gt;B120</formula>
    </cfRule>
    <cfRule type="expression" dxfId="1474" priority="1794">
      <formula>V120&lt;&gt;0</formula>
    </cfRule>
  </conditionalFormatting>
  <conditionalFormatting sqref="C120">
    <cfRule type="expression" dxfId="1473" priority="1792">
      <formula>B120&gt;E120</formula>
    </cfRule>
    <cfRule type="expression" dxfId="1472" priority="1793">
      <formula>V120&lt;&gt;0</formula>
    </cfRule>
  </conditionalFormatting>
  <conditionalFormatting sqref="E120">
    <cfRule type="cellIs" dxfId="1471" priority="1790" operator="greaterThan">
      <formula>B120</formula>
    </cfRule>
  </conditionalFormatting>
  <conditionalFormatting sqref="B121">
    <cfRule type="cellIs" dxfId="1470" priority="1789" operator="greaterThan">
      <formula>E121</formula>
    </cfRule>
  </conditionalFormatting>
  <conditionalFormatting sqref="D121">
    <cfRule type="expression" dxfId="1469" priority="1785">
      <formula>E121&gt;B121</formula>
    </cfRule>
    <cfRule type="expression" dxfId="1468" priority="1788">
      <formula>V121&lt;&gt;0</formula>
    </cfRule>
  </conditionalFormatting>
  <conditionalFormatting sqref="C121">
    <cfRule type="expression" dxfId="1467" priority="1786">
      <formula>B121&gt;E121</formula>
    </cfRule>
    <cfRule type="expression" dxfId="1466" priority="1787">
      <formula>V121&lt;&gt;0</formula>
    </cfRule>
  </conditionalFormatting>
  <conditionalFormatting sqref="E121">
    <cfRule type="cellIs" dxfId="1465" priority="1784" operator="greaterThan">
      <formula>B121</formula>
    </cfRule>
  </conditionalFormatting>
  <conditionalFormatting sqref="B122">
    <cfRule type="cellIs" dxfId="1464" priority="1783" operator="greaterThan">
      <formula>E122</formula>
    </cfRule>
  </conditionalFormatting>
  <conditionalFormatting sqref="D122">
    <cfRule type="expression" dxfId="1463" priority="1779">
      <formula>E122&gt;B122</formula>
    </cfRule>
    <cfRule type="expression" dxfId="1462" priority="1782">
      <formula>V122&lt;&gt;0</formula>
    </cfRule>
  </conditionalFormatting>
  <conditionalFormatting sqref="C122">
    <cfRule type="expression" dxfId="1461" priority="1780">
      <formula>B122&gt;E122</formula>
    </cfRule>
    <cfRule type="expression" dxfId="1460" priority="1781">
      <formula>V122&lt;&gt;0</formula>
    </cfRule>
  </conditionalFormatting>
  <conditionalFormatting sqref="E122">
    <cfRule type="cellIs" dxfId="1459" priority="1778" operator="greaterThan">
      <formula>B122</formula>
    </cfRule>
  </conditionalFormatting>
  <conditionalFormatting sqref="B123">
    <cfRule type="cellIs" dxfId="1458" priority="1777" operator="greaterThan">
      <formula>E123</formula>
    </cfRule>
  </conditionalFormatting>
  <conditionalFormatting sqref="D123">
    <cfRule type="expression" dxfId="1457" priority="1773">
      <formula>E123&gt;B123</formula>
    </cfRule>
    <cfRule type="expression" dxfId="1456" priority="1776">
      <formula>V123&lt;&gt;0</formula>
    </cfRule>
  </conditionalFormatting>
  <conditionalFormatting sqref="C123">
    <cfRule type="expression" dxfId="1455" priority="1774">
      <formula>B123&gt;E123</formula>
    </cfRule>
    <cfRule type="expression" dxfId="1454" priority="1775">
      <formula>V123&lt;&gt;0</formula>
    </cfRule>
  </conditionalFormatting>
  <conditionalFormatting sqref="E123">
    <cfRule type="cellIs" dxfId="1453" priority="1772" operator="greaterThan">
      <formula>B123</formula>
    </cfRule>
  </conditionalFormatting>
  <conditionalFormatting sqref="B124">
    <cfRule type="cellIs" dxfId="1452" priority="1771" operator="greaterThan">
      <formula>E124</formula>
    </cfRule>
  </conditionalFormatting>
  <conditionalFormatting sqref="D124">
    <cfRule type="expression" dxfId="1451" priority="1767">
      <formula>E124&gt;B124</formula>
    </cfRule>
    <cfRule type="expression" dxfId="1450" priority="1770">
      <formula>V124&lt;&gt;0</formula>
    </cfRule>
  </conditionalFormatting>
  <conditionalFormatting sqref="C124">
    <cfRule type="expression" dxfId="1449" priority="1768">
      <formula>B124&gt;E124</formula>
    </cfRule>
    <cfRule type="expression" dxfId="1448" priority="1769">
      <formula>V124&lt;&gt;0</formula>
    </cfRule>
  </conditionalFormatting>
  <conditionalFormatting sqref="E124">
    <cfRule type="cellIs" dxfId="1447" priority="1766" operator="greaterThan">
      <formula>B124</formula>
    </cfRule>
  </conditionalFormatting>
  <conditionalFormatting sqref="B125">
    <cfRule type="cellIs" dxfId="1446" priority="1765" operator="greaterThan">
      <formula>E125</formula>
    </cfRule>
  </conditionalFormatting>
  <conditionalFormatting sqref="D125">
    <cfRule type="expression" dxfId="1445" priority="1761">
      <formula>E125&gt;B125</formula>
    </cfRule>
    <cfRule type="expression" dxfId="1444" priority="1764">
      <formula>V125&lt;&gt;0</formula>
    </cfRule>
  </conditionalFormatting>
  <conditionalFormatting sqref="C125">
    <cfRule type="expression" dxfId="1443" priority="1762">
      <formula>B125&gt;E125</formula>
    </cfRule>
    <cfRule type="expression" dxfId="1442" priority="1763">
      <formula>V125&lt;&gt;0</formula>
    </cfRule>
  </conditionalFormatting>
  <conditionalFormatting sqref="E125">
    <cfRule type="cellIs" dxfId="1441" priority="1760" operator="greaterThan">
      <formula>B125</formula>
    </cfRule>
  </conditionalFormatting>
  <conditionalFormatting sqref="B126">
    <cfRule type="cellIs" dxfId="1440" priority="1759" operator="greaterThan">
      <formula>E126</formula>
    </cfRule>
  </conditionalFormatting>
  <conditionalFormatting sqref="D126">
    <cfRule type="expression" dxfId="1439" priority="1755">
      <formula>E126&gt;B126</formula>
    </cfRule>
    <cfRule type="expression" dxfId="1438" priority="1758">
      <formula>V126&lt;&gt;0</formula>
    </cfRule>
  </conditionalFormatting>
  <conditionalFormatting sqref="C126">
    <cfRule type="expression" dxfId="1437" priority="1756">
      <formula>B126&gt;E126</formula>
    </cfRule>
    <cfRule type="expression" dxfId="1436" priority="1757">
      <formula>V126&lt;&gt;0</formula>
    </cfRule>
  </conditionalFormatting>
  <conditionalFormatting sqref="E126">
    <cfRule type="cellIs" dxfId="1435" priority="1754" operator="greaterThan">
      <formula>B126</formula>
    </cfRule>
  </conditionalFormatting>
  <conditionalFormatting sqref="B127">
    <cfRule type="cellIs" dxfId="1434" priority="1753" operator="greaterThan">
      <formula>E127</formula>
    </cfRule>
  </conditionalFormatting>
  <conditionalFormatting sqref="D127">
    <cfRule type="expression" dxfId="1433" priority="1749">
      <formula>E127&gt;B127</formula>
    </cfRule>
    <cfRule type="expression" dxfId="1432" priority="1752">
      <formula>V127&lt;&gt;0</formula>
    </cfRule>
  </conditionalFormatting>
  <conditionalFormatting sqref="C127">
    <cfRule type="expression" dxfId="1431" priority="1750">
      <formula>B127&gt;E127</formula>
    </cfRule>
    <cfRule type="expression" dxfId="1430" priority="1751">
      <formula>V127&lt;&gt;0</formula>
    </cfRule>
  </conditionalFormatting>
  <conditionalFormatting sqref="E127">
    <cfRule type="cellIs" dxfId="1429" priority="1748" operator="greaterThan">
      <formula>B127</formula>
    </cfRule>
  </conditionalFormatting>
  <conditionalFormatting sqref="B128">
    <cfRule type="cellIs" dxfId="1428" priority="1747" operator="greaterThan">
      <formula>E128</formula>
    </cfRule>
  </conditionalFormatting>
  <conditionalFormatting sqref="D128">
    <cfRule type="expression" dxfId="1427" priority="1743">
      <formula>E128&gt;B128</formula>
    </cfRule>
    <cfRule type="expression" dxfId="1426" priority="1746">
      <formula>V128&lt;&gt;0</formula>
    </cfRule>
  </conditionalFormatting>
  <conditionalFormatting sqref="C128">
    <cfRule type="expression" dxfId="1425" priority="1744">
      <formula>B128&gt;E128</formula>
    </cfRule>
    <cfRule type="expression" dxfId="1424" priority="1745">
      <formula>V128&lt;&gt;0</formula>
    </cfRule>
  </conditionalFormatting>
  <conditionalFormatting sqref="E128">
    <cfRule type="cellIs" dxfId="1423" priority="1742" operator="greaterThan">
      <formula>B128</formula>
    </cfRule>
  </conditionalFormatting>
  <conditionalFormatting sqref="B129">
    <cfRule type="cellIs" dxfId="1422" priority="1741" operator="greaterThan">
      <formula>E129</formula>
    </cfRule>
  </conditionalFormatting>
  <conditionalFormatting sqref="D129">
    <cfRule type="expression" dxfId="1421" priority="1737">
      <formula>E129&gt;B129</formula>
    </cfRule>
    <cfRule type="expression" dxfId="1420" priority="1740">
      <formula>V129&lt;&gt;0</formula>
    </cfRule>
  </conditionalFormatting>
  <conditionalFormatting sqref="C129">
    <cfRule type="expression" dxfId="1419" priority="1738">
      <formula>B129&gt;E129</formula>
    </cfRule>
    <cfRule type="expression" dxfId="1418" priority="1739">
      <formula>V129&lt;&gt;0</formula>
    </cfRule>
  </conditionalFormatting>
  <conditionalFormatting sqref="E129">
    <cfRule type="cellIs" dxfId="1417" priority="1736" operator="greaterThan">
      <formula>B129</formula>
    </cfRule>
  </conditionalFormatting>
  <conditionalFormatting sqref="B130">
    <cfRule type="cellIs" dxfId="1416" priority="1735" operator="greaterThan">
      <formula>E130</formula>
    </cfRule>
  </conditionalFormatting>
  <conditionalFormatting sqref="D130">
    <cfRule type="expression" dxfId="1415" priority="1731">
      <formula>E130&gt;B130</formula>
    </cfRule>
    <cfRule type="expression" dxfId="1414" priority="1734">
      <formula>V130&lt;&gt;0</formula>
    </cfRule>
  </conditionalFormatting>
  <conditionalFormatting sqref="C130">
    <cfRule type="expression" dxfId="1413" priority="1732">
      <formula>B130&gt;E130</formula>
    </cfRule>
    <cfRule type="expression" dxfId="1412" priority="1733">
      <formula>V130&lt;&gt;0</formula>
    </cfRule>
  </conditionalFormatting>
  <conditionalFormatting sqref="E130">
    <cfRule type="cellIs" dxfId="1411" priority="1730" operator="greaterThan">
      <formula>B130</formula>
    </cfRule>
  </conditionalFormatting>
  <conditionalFormatting sqref="B131">
    <cfRule type="cellIs" dxfId="1410" priority="1729" operator="greaterThan">
      <formula>E131</formula>
    </cfRule>
  </conditionalFormatting>
  <conditionalFormatting sqref="D131">
    <cfRule type="expression" dxfId="1409" priority="1725">
      <formula>E131&gt;B131</formula>
    </cfRule>
    <cfRule type="expression" dxfId="1408" priority="1728">
      <formula>V131&lt;&gt;0</formula>
    </cfRule>
  </conditionalFormatting>
  <conditionalFormatting sqref="C131">
    <cfRule type="expression" dxfId="1407" priority="1726">
      <formula>B131&gt;E131</formula>
    </cfRule>
    <cfRule type="expression" dxfId="1406" priority="1727">
      <formula>V131&lt;&gt;0</formula>
    </cfRule>
  </conditionalFormatting>
  <conditionalFormatting sqref="E131">
    <cfRule type="cellIs" dxfId="1405" priority="1724" operator="greaterThan">
      <formula>B131</formula>
    </cfRule>
  </conditionalFormatting>
  <conditionalFormatting sqref="B132">
    <cfRule type="cellIs" dxfId="1404" priority="1723" operator="greaterThan">
      <formula>E132</formula>
    </cfRule>
  </conditionalFormatting>
  <conditionalFormatting sqref="D132">
    <cfRule type="expression" dxfId="1403" priority="1719">
      <formula>E132&gt;B132</formula>
    </cfRule>
    <cfRule type="expression" dxfId="1402" priority="1722">
      <formula>V132&lt;&gt;0</formula>
    </cfRule>
  </conditionalFormatting>
  <conditionalFormatting sqref="C132">
    <cfRule type="expression" dxfId="1401" priority="1720">
      <formula>B132&gt;E132</formula>
    </cfRule>
    <cfRule type="expression" dxfId="1400" priority="1721">
      <formula>V132&lt;&gt;0</formula>
    </cfRule>
  </conditionalFormatting>
  <conditionalFormatting sqref="E132">
    <cfRule type="cellIs" dxfId="1399" priority="1718" operator="greaterThan">
      <formula>B132</formula>
    </cfRule>
  </conditionalFormatting>
  <conditionalFormatting sqref="B133">
    <cfRule type="cellIs" dxfId="1398" priority="1717" operator="greaterThan">
      <formula>E133</formula>
    </cfRule>
  </conditionalFormatting>
  <conditionalFormatting sqref="D133">
    <cfRule type="expression" dxfId="1397" priority="1713">
      <formula>E133&gt;B133</formula>
    </cfRule>
    <cfRule type="expression" dxfId="1396" priority="1716">
      <formula>V133&lt;&gt;0</formula>
    </cfRule>
  </conditionalFormatting>
  <conditionalFormatting sqref="C133">
    <cfRule type="expression" dxfId="1395" priority="1714">
      <formula>B133&gt;E133</formula>
    </cfRule>
    <cfRule type="expression" dxfId="1394" priority="1715">
      <formula>V133&lt;&gt;0</formula>
    </cfRule>
  </conditionalFormatting>
  <conditionalFormatting sqref="E133">
    <cfRule type="cellIs" dxfId="1393" priority="1712" operator="greaterThan">
      <formula>B133</formula>
    </cfRule>
  </conditionalFormatting>
  <conditionalFormatting sqref="B134">
    <cfRule type="cellIs" dxfId="1392" priority="1711" operator="greaterThan">
      <formula>E134</formula>
    </cfRule>
  </conditionalFormatting>
  <conditionalFormatting sqref="D134">
    <cfRule type="expression" dxfId="1391" priority="1707">
      <formula>E134&gt;B134</formula>
    </cfRule>
    <cfRule type="expression" dxfId="1390" priority="1710">
      <formula>V134&lt;&gt;0</formula>
    </cfRule>
  </conditionalFormatting>
  <conditionalFormatting sqref="C134">
    <cfRule type="expression" dxfId="1389" priority="1708">
      <formula>B134&gt;E134</formula>
    </cfRule>
    <cfRule type="expression" dxfId="1388" priority="1709">
      <formula>V134&lt;&gt;0</formula>
    </cfRule>
  </conditionalFormatting>
  <conditionalFormatting sqref="E134">
    <cfRule type="cellIs" dxfId="1387" priority="1706" operator="greaterThan">
      <formula>B134</formula>
    </cfRule>
  </conditionalFormatting>
  <conditionalFormatting sqref="B135">
    <cfRule type="cellIs" dxfId="1386" priority="1705" operator="greaterThan">
      <formula>E135</formula>
    </cfRule>
  </conditionalFormatting>
  <conditionalFormatting sqref="D135">
    <cfRule type="expression" dxfId="1385" priority="1701">
      <formula>E135&gt;B135</formula>
    </cfRule>
    <cfRule type="expression" dxfId="1384" priority="1704">
      <formula>V135&lt;&gt;0</formula>
    </cfRule>
  </conditionalFormatting>
  <conditionalFormatting sqref="C135">
    <cfRule type="expression" dxfId="1383" priority="1702">
      <formula>B135&gt;E135</formula>
    </cfRule>
    <cfRule type="expression" dxfId="1382" priority="1703">
      <formula>V135&lt;&gt;0</formula>
    </cfRule>
  </conditionalFormatting>
  <conditionalFormatting sqref="E135">
    <cfRule type="cellIs" dxfId="1381" priority="1700" operator="greaterThan">
      <formula>B135</formula>
    </cfRule>
  </conditionalFormatting>
  <conditionalFormatting sqref="B136">
    <cfRule type="cellIs" dxfId="1380" priority="1699" operator="greaterThan">
      <formula>E136</formula>
    </cfRule>
  </conditionalFormatting>
  <conditionalFormatting sqref="D136">
    <cfRule type="expression" dxfId="1379" priority="1695">
      <formula>E136&gt;B136</formula>
    </cfRule>
    <cfRule type="expression" dxfId="1378" priority="1698">
      <formula>V136&lt;&gt;0</formula>
    </cfRule>
  </conditionalFormatting>
  <conditionalFormatting sqref="C136">
    <cfRule type="expression" dxfId="1377" priority="1696">
      <formula>B136&gt;E136</formula>
    </cfRule>
    <cfRule type="expression" dxfId="1376" priority="1697">
      <formula>V136&lt;&gt;0</formula>
    </cfRule>
  </conditionalFormatting>
  <conditionalFormatting sqref="E136">
    <cfRule type="cellIs" dxfId="1375" priority="1694" operator="greaterThan">
      <formula>B136</formula>
    </cfRule>
  </conditionalFormatting>
  <conditionalFormatting sqref="B137">
    <cfRule type="cellIs" dxfId="1374" priority="1693" operator="greaterThan">
      <formula>E137</formula>
    </cfRule>
  </conditionalFormatting>
  <conditionalFormatting sqref="D137">
    <cfRule type="expression" dxfId="1373" priority="1689">
      <formula>E137&gt;B137</formula>
    </cfRule>
    <cfRule type="expression" dxfId="1372" priority="1692">
      <formula>V137&lt;&gt;0</formula>
    </cfRule>
  </conditionalFormatting>
  <conditionalFormatting sqref="C137">
    <cfRule type="expression" dxfId="1371" priority="1690">
      <formula>B137&gt;E137</formula>
    </cfRule>
    <cfRule type="expression" dxfId="1370" priority="1691">
      <formula>V137&lt;&gt;0</formula>
    </cfRule>
  </conditionalFormatting>
  <conditionalFormatting sqref="E137">
    <cfRule type="cellIs" dxfId="1369" priority="1688" operator="greaterThan">
      <formula>B137</formula>
    </cfRule>
  </conditionalFormatting>
  <conditionalFormatting sqref="B138">
    <cfRule type="cellIs" dxfId="1368" priority="1687" operator="greaterThan">
      <formula>E138</formula>
    </cfRule>
  </conditionalFormatting>
  <conditionalFormatting sqref="D138">
    <cfRule type="expression" dxfId="1367" priority="1683">
      <formula>E138&gt;B138</formula>
    </cfRule>
    <cfRule type="expression" dxfId="1366" priority="1686">
      <formula>V138&lt;&gt;0</formula>
    </cfRule>
  </conditionalFormatting>
  <conditionalFormatting sqref="C138">
    <cfRule type="expression" dxfId="1365" priority="1684">
      <formula>B138&gt;E138</formula>
    </cfRule>
    <cfRule type="expression" dxfId="1364" priority="1685">
      <formula>V138&lt;&gt;0</formula>
    </cfRule>
  </conditionalFormatting>
  <conditionalFormatting sqref="E138">
    <cfRule type="cellIs" dxfId="1363" priority="1682" operator="greaterThan">
      <formula>B138</formula>
    </cfRule>
  </conditionalFormatting>
  <conditionalFormatting sqref="B139">
    <cfRule type="cellIs" dxfId="1362" priority="1681" operator="greaterThan">
      <formula>E139</formula>
    </cfRule>
  </conditionalFormatting>
  <conditionalFormatting sqref="D139">
    <cfRule type="expression" dxfId="1361" priority="1677">
      <formula>E139&gt;B139</formula>
    </cfRule>
    <cfRule type="expression" dxfId="1360" priority="1680">
      <formula>V139&lt;&gt;0</formula>
    </cfRule>
  </conditionalFormatting>
  <conditionalFormatting sqref="C139">
    <cfRule type="expression" dxfId="1359" priority="1678">
      <formula>B139&gt;E139</formula>
    </cfRule>
    <cfRule type="expression" dxfId="1358" priority="1679">
      <formula>V139&lt;&gt;0</formula>
    </cfRule>
  </conditionalFormatting>
  <conditionalFormatting sqref="E139">
    <cfRule type="cellIs" dxfId="1357" priority="1676" operator="greaterThan">
      <formula>B139</formula>
    </cfRule>
  </conditionalFormatting>
  <conditionalFormatting sqref="B140">
    <cfRule type="cellIs" dxfId="1356" priority="1675" operator="greaterThan">
      <formula>E140</formula>
    </cfRule>
  </conditionalFormatting>
  <conditionalFormatting sqref="D140">
    <cfRule type="expression" dxfId="1355" priority="1671">
      <formula>E140&gt;B140</formula>
    </cfRule>
    <cfRule type="expression" dxfId="1354" priority="1674">
      <formula>V140&lt;&gt;0</formula>
    </cfRule>
  </conditionalFormatting>
  <conditionalFormatting sqref="C140">
    <cfRule type="expression" dxfId="1353" priority="1672">
      <formula>B140&gt;E140</formula>
    </cfRule>
    <cfRule type="expression" dxfId="1352" priority="1673">
      <formula>V140&lt;&gt;0</formula>
    </cfRule>
  </conditionalFormatting>
  <conditionalFormatting sqref="E140">
    <cfRule type="cellIs" dxfId="1351" priority="1670" operator="greaterThan">
      <formula>B140</formula>
    </cfRule>
  </conditionalFormatting>
  <conditionalFormatting sqref="B141">
    <cfRule type="cellIs" dxfId="1350" priority="1669" operator="greaterThan">
      <formula>E141</formula>
    </cfRule>
  </conditionalFormatting>
  <conditionalFormatting sqref="D141">
    <cfRule type="expression" dxfId="1349" priority="1665">
      <formula>E141&gt;B141</formula>
    </cfRule>
    <cfRule type="expression" dxfId="1348" priority="1668">
      <formula>V141&lt;&gt;0</formula>
    </cfRule>
  </conditionalFormatting>
  <conditionalFormatting sqref="C141">
    <cfRule type="expression" dxfId="1347" priority="1666">
      <formula>B141&gt;E141</formula>
    </cfRule>
    <cfRule type="expression" dxfId="1346" priority="1667">
      <formula>V141&lt;&gt;0</formula>
    </cfRule>
  </conditionalFormatting>
  <conditionalFormatting sqref="E141">
    <cfRule type="cellIs" dxfId="1345" priority="1664" operator="greaterThan">
      <formula>B141</formula>
    </cfRule>
  </conditionalFormatting>
  <conditionalFormatting sqref="B142">
    <cfRule type="cellIs" dxfId="1344" priority="1663" operator="greaterThan">
      <formula>E142</formula>
    </cfRule>
  </conditionalFormatting>
  <conditionalFormatting sqref="D142">
    <cfRule type="expression" dxfId="1343" priority="1659">
      <formula>E142&gt;B142</formula>
    </cfRule>
    <cfRule type="expression" dxfId="1342" priority="1662">
      <formula>V142&lt;&gt;0</formula>
    </cfRule>
  </conditionalFormatting>
  <conditionalFormatting sqref="C142">
    <cfRule type="expression" dxfId="1341" priority="1660">
      <formula>B142&gt;E142</formula>
    </cfRule>
    <cfRule type="expression" dxfId="1340" priority="1661">
      <formula>V142&lt;&gt;0</formula>
    </cfRule>
  </conditionalFormatting>
  <conditionalFormatting sqref="E142">
    <cfRule type="cellIs" dxfId="1339" priority="1658" operator="greaterThan">
      <formula>B142</formula>
    </cfRule>
  </conditionalFormatting>
  <conditionalFormatting sqref="B143">
    <cfRule type="cellIs" dxfId="1338" priority="1657" operator="greaterThan">
      <formula>E143</formula>
    </cfRule>
  </conditionalFormatting>
  <conditionalFormatting sqref="D143">
    <cfRule type="expression" dxfId="1337" priority="1653">
      <formula>E143&gt;B143</formula>
    </cfRule>
    <cfRule type="expression" dxfId="1336" priority="1656">
      <formula>V143&lt;&gt;0</formula>
    </cfRule>
  </conditionalFormatting>
  <conditionalFormatting sqref="C143">
    <cfRule type="expression" dxfId="1335" priority="1654">
      <formula>B143&gt;E143</formula>
    </cfRule>
    <cfRule type="expression" dxfId="1334" priority="1655">
      <formula>V143&lt;&gt;0</formula>
    </cfRule>
  </conditionalFormatting>
  <conditionalFormatting sqref="E143">
    <cfRule type="cellIs" dxfId="1333" priority="1652" operator="greaterThan">
      <formula>B143</formula>
    </cfRule>
  </conditionalFormatting>
  <conditionalFormatting sqref="B144">
    <cfRule type="cellIs" dxfId="1332" priority="1651" operator="greaterThan">
      <formula>E144</formula>
    </cfRule>
  </conditionalFormatting>
  <conditionalFormatting sqref="D144">
    <cfRule type="expression" dxfId="1331" priority="1647">
      <formula>E144&gt;B144</formula>
    </cfRule>
    <cfRule type="expression" dxfId="1330" priority="1650">
      <formula>V144&lt;&gt;0</formula>
    </cfRule>
  </conditionalFormatting>
  <conditionalFormatting sqref="C144">
    <cfRule type="expression" dxfId="1329" priority="1648">
      <formula>B144&gt;E144</formula>
    </cfRule>
    <cfRule type="expression" dxfId="1328" priority="1649">
      <formula>V144&lt;&gt;0</formula>
    </cfRule>
  </conditionalFormatting>
  <conditionalFormatting sqref="E144">
    <cfRule type="cellIs" dxfId="1327" priority="1646" operator="greaterThan">
      <formula>B144</formula>
    </cfRule>
  </conditionalFormatting>
  <conditionalFormatting sqref="B145">
    <cfRule type="cellIs" dxfId="1326" priority="1645" operator="greaterThan">
      <formula>E145</formula>
    </cfRule>
  </conditionalFormatting>
  <conditionalFormatting sqref="D145">
    <cfRule type="expression" dxfId="1325" priority="1641">
      <formula>E145&gt;B145</formula>
    </cfRule>
    <cfRule type="expression" dxfId="1324" priority="1644">
      <formula>V145&lt;&gt;0</formula>
    </cfRule>
  </conditionalFormatting>
  <conditionalFormatting sqref="C145">
    <cfRule type="expression" dxfId="1323" priority="1642">
      <formula>B145&gt;E145</formula>
    </cfRule>
    <cfRule type="expression" dxfId="1322" priority="1643">
      <formula>V145&lt;&gt;0</formula>
    </cfRule>
  </conditionalFormatting>
  <conditionalFormatting sqref="E145">
    <cfRule type="cellIs" dxfId="1321" priority="1640" operator="greaterThan">
      <formula>B145</formula>
    </cfRule>
  </conditionalFormatting>
  <conditionalFormatting sqref="B146">
    <cfRule type="cellIs" dxfId="1320" priority="1639" operator="greaterThan">
      <formula>E146</formula>
    </cfRule>
  </conditionalFormatting>
  <conditionalFormatting sqref="D146">
    <cfRule type="expression" dxfId="1319" priority="1635">
      <formula>E146&gt;B146</formula>
    </cfRule>
    <cfRule type="expression" dxfId="1318" priority="1638">
      <formula>V146&lt;&gt;0</formula>
    </cfRule>
  </conditionalFormatting>
  <conditionalFormatting sqref="C146">
    <cfRule type="expression" dxfId="1317" priority="1636">
      <formula>B146&gt;E146</formula>
    </cfRule>
    <cfRule type="expression" dxfId="1316" priority="1637">
      <formula>V146&lt;&gt;0</formula>
    </cfRule>
  </conditionalFormatting>
  <conditionalFormatting sqref="E146">
    <cfRule type="cellIs" dxfId="1315" priority="1634" operator="greaterThan">
      <formula>B146</formula>
    </cfRule>
  </conditionalFormatting>
  <conditionalFormatting sqref="B147">
    <cfRule type="cellIs" dxfId="1314" priority="1633" operator="greaterThan">
      <formula>E147</formula>
    </cfRule>
  </conditionalFormatting>
  <conditionalFormatting sqref="D147">
    <cfRule type="expression" dxfId="1313" priority="1629">
      <formula>E147&gt;B147</formula>
    </cfRule>
    <cfRule type="expression" dxfId="1312" priority="1632">
      <formula>V147&lt;&gt;0</formula>
    </cfRule>
  </conditionalFormatting>
  <conditionalFormatting sqref="C147">
    <cfRule type="expression" dxfId="1311" priority="1630">
      <formula>B147&gt;E147</formula>
    </cfRule>
    <cfRule type="expression" dxfId="1310" priority="1631">
      <formula>V147&lt;&gt;0</formula>
    </cfRule>
  </conditionalFormatting>
  <conditionalFormatting sqref="E147">
    <cfRule type="cellIs" dxfId="1309" priority="1628" operator="greaterThan">
      <formula>B147</formula>
    </cfRule>
  </conditionalFormatting>
  <conditionalFormatting sqref="B148">
    <cfRule type="cellIs" dxfId="1308" priority="1627" operator="greaterThan">
      <formula>E148</formula>
    </cfRule>
  </conditionalFormatting>
  <conditionalFormatting sqref="D148">
    <cfRule type="expression" dxfId="1307" priority="1623">
      <formula>E148&gt;B148</formula>
    </cfRule>
    <cfRule type="expression" dxfId="1306" priority="1626">
      <formula>V148&lt;&gt;0</formula>
    </cfRule>
  </conditionalFormatting>
  <conditionalFormatting sqref="C148">
    <cfRule type="expression" dxfId="1305" priority="1624">
      <formula>B148&gt;E148</formula>
    </cfRule>
    <cfRule type="expression" dxfId="1304" priority="1625">
      <formula>V148&lt;&gt;0</formula>
    </cfRule>
  </conditionalFormatting>
  <conditionalFormatting sqref="E148">
    <cfRule type="cellIs" dxfId="1303" priority="1622" operator="greaterThan">
      <formula>B148</formula>
    </cfRule>
  </conditionalFormatting>
  <conditionalFormatting sqref="B149">
    <cfRule type="cellIs" dxfId="1302" priority="1621" operator="greaterThan">
      <formula>E149</formula>
    </cfRule>
  </conditionalFormatting>
  <conditionalFormatting sqref="D149">
    <cfRule type="expression" dxfId="1301" priority="1617">
      <formula>E149&gt;B149</formula>
    </cfRule>
    <cfRule type="expression" dxfId="1300" priority="1620">
      <formula>V149&lt;&gt;0</formula>
    </cfRule>
  </conditionalFormatting>
  <conditionalFormatting sqref="C149">
    <cfRule type="expression" dxfId="1299" priority="1618">
      <formula>B149&gt;E149</formula>
    </cfRule>
    <cfRule type="expression" dxfId="1298" priority="1619">
      <formula>V149&lt;&gt;0</formula>
    </cfRule>
  </conditionalFormatting>
  <conditionalFormatting sqref="E149">
    <cfRule type="cellIs" dxfId="1297" priority="1616" operator="greaterThan">
      <formula>B149</formula>
    </cfRule>
  </conditionalFormatting>
  <conditionalFormatting sqref="B150">
    <cfRule type="cellIs" dxfId="1296" priority="1615" operator="greaterThan">
      <formula>E150</formula>
    </cfRule>
  </conditionalFormatting>
  <conditionalFormatting sqref="D150">
    <cfRule type="expression" dxfId="1295" priority="1611">
      <formula>E150&gt;B150</formula>
    </cfRule>
    <cfRule type="expression" dxfId="1294" priority="1614">
      <formula>V150&lt;&gt;0</formula>
    </cfRule>
  </conditionalFormatting>
  <conditionalFormatting sqref="C150">
    <cfRule type="expression" dxfId="1293" priority="1612">
      <formula>B150&gt;E150</formula>
    </cfRule>
    <cfRule type="expression" dxfId="1292" priority="1613">
      <formula>V150&lt;&gt;0</formula>
    </cfRule>
  </conditionalFormatting>
  <conditionalFormatting sqref="E150">
    <cfRule type="cellIs" dxfId="1291" priority="1610" operator="greaterThan">
      <formula>B150</formula>
    </cfRule>
  </conditionalFormatting>
  <conditionalFormatting sqref="B151">
    <cfRule type="cellIs" dxfId="1290" priority="1609" operator="greaterThan">
      <formula>E151</formula>
    </cfRule>
  </conditionalFormatting>
  <conditionalFormatting sqref="D151">
    <cfRule type="expression" dxfId="1289" priority="1605">
      <formula>E151&gt;B151</formula>
    </cfRule>
    <cfRule type="expression" dxfId="1288" priority="1608">
      <formula>V151&lt;&gt;0</formula>
    </cfRule>
  </conditionalFormatting>
  <conditionalFormatting sqref="C151">
    <cfRule type="expression" dxfId="1287" priority="1606">
      <formula>B151&gt;E151</formula>
    </cfRule>
    <cfRule type="expression" dxfId="1286" priority="1607">
      <formula>V151&lt;&gt;0</formula>
    </cfRule>
  </conditionalFormatting>
  <conditionalFormatting sqref="E151">
    <cfRule type="cellIs" dxfId="1285" priority="1604" operator="greaterThan">
      <formula>B151</formula>
    </cfRule>
  </conditionalFormatting>
  <conditionalFormatting sqref="B152">
    <cfRule type="cellIs" dxfId="1284" priority="1603" operator="greaterThan">
      <formula>E152</formula>
    </cfRule>
  </conditionalFormatting>
  <conditionalFormatting sqref="D152">
    <cfRule type="expression" dxfId="1283" priority="1599">
      <formula>E152&gt;B152</formula>
    </cfRule>
    <cfRule type="expression" dxfId="1282" priority="1602">
      <formula>V152&lt;&gt;0</formula>
    </cfRule>
  </conditionalFormatting>
  <conditionalFormatting sqref="C152">
    <cfRule type="expression" dxfId="1281" priority="1600">
      <formula>B152&gt;E152</formula>
    </cfRule>
    <cfRule type="expression" dxfId="1280" priority="1601">
      <formula>V152&lt;&gt;0</formula>
    </cfRule>
  </conditionalFormatting>
  <conditionalFormatting sqref="E152">
    <cfRule type="cellIs" dxfId="1279" priority="1598" operator="greaterThan">
      <formula>B152</formula>
    </cfRule>
  </conditionalFormatting>
  <conditionalFormatting sqref="B153">
    <cfRule type="cellIs" dxfId="1278" priority="1597" operator="greaterThan">
      <formula>E153</formula>
    </cfRule>
  </conditionalFormatting>
  <conditionalFormatting sqref="D153">
    <cfRule type="expression" dxfId="1277" priority="1593">
      <formula>E153&gt;B153</formula>
    </cfRule>
    <cfRule type="expression" dxfId="1276" priority="1596">
      <formula>V153&lt;&gt;0</formula>
    </cfRule>
  </conditionalFormatting>
  <conditionalFormatting sqref="C153">
    <cfRule type="expression" dxfId="1275" priority="1594">
      <formula>B153&gt;E153</formula>
    </cfRule>
    <cfRule type="expression" dxfId="1274" priority="1595">
      <formula>V153&lt;&gt;0</formula>
    </cfRule>
  </conditionalFormatting>
  <conditionalFormatting sqref="E153">
    <cfRule type="cellIs" dxfId="1273" priority="1592" operator="greaterThan">
      <formula>B153</formula>
    </cfRule>
  </conditionalFormatting>
  <conditionalFormatting sqref="B154">
    <cfRule type="cellIs" dxfId="1272" priority="1591" operator="greaterThan">
      <formula>E154</formula>
    </cfRule>
  </conditionalFormatting>
  <conditionalFormatting sqref="D154">
    <cfRule type="expression" dxfId="1271" priority="1587">
      <formula>E154&gt;B154</formula>
    </cfRule>
    <cfRule type="expression" dxfId="1270" priority="1590">
      <formula>V154&lt;&gt;0</formula>
    </cfRule>
  </conditionalFormatting>
  <conditionalFormatting sqref="C154">
    <cfRule type="expression" dxfId="1269" priority="1588">
      <formula>B154&gt;E154</formula>
    </cfRule>
    <cfRule type="expression" dxfId="1268" priority="1589">
      <formula>V154&lt;&gt;0</formula>
    </cfRule>
  </conditionalFormatting>
  <conditionalFormatting sqref="E154">
    <cfRule type="cellIs" dxfId="1267" priority="1586" operator="greaterThan">
      <formula>B154</formula>
    </cfRule>
  </conditionalFormatting>
  <conditionalFormatting sqref="B155">
    <cfRule type="cellIs" dxfId="1266" priority="1585" operator="greaterThan">
      <formula>E155</formula>
    </cfRule>
  </conditionalFormatting>
  <conditionalFormatting sqref="D155">
    <cfRule type="expression" dxfId="1265" priority="1581">
      <formula>E155&gt;B155</formula>
    </cfRule>
    <cfRule type="expression" dxfId="1264" priority="1584">
      <formula>V155&lt;&gt;0</formula>
    </cfRule>
  </conditionalFormatting>
  <conditionalFormatting sqref="C155">
    <cfRule type="expression" dxfId="1263" priority="1582">
      <formula>B155&gt;E155</formula>
    </cfRule>
    <cfRule type="expression" dxfId="1262" priority="1583">
      <formula>V155&lt;&gt;0</formula>
    </cfRule>
  </conditionalFormatting>
  <conditionalFormatting sqref="E155">
    <cfRule type="cellIs" dxfId="1261" priority="1580" operator="greaterThan">
      <formula>B155</formula>
    </cfRule>
  </conditionalFormatting>
  <conditionalFormatting sqref="B156">
    <cfRule type="cellIs" dxfId="1260" priority="1579" operator="greaterThan">
      <formula>E156</formula>
    </cfRule>
  </conditionalFormatting>
  <conditionalFormatting sqref="D156">
    <cfRule type="expression" dxfId="1259" priority="1575">
      <formula>E156&gt;B156</formula>
    </cfRule>
    <cfRule type="expression" dxfId="1258" priority="1578">
      <formula>V156&lt;&gt;0</formula>
    </cfRule>
  </conditionalFormatting>
  <conditionalFormatting sqref="C156">
    <cfRule type="expression" dxfId="1257" priority="1576">
      <formula>B156&gt;E156</formula>
    </cfRule>
    <cfRule type="expression" dxfId="1256" priority="1577">
      <formula>V156&lt;&gt;0</formula>
    </cfRule>
  </conditionalFormatting>
  <conditionalFormatting sqref="E156">
    <cfRule type="cellIs" dxfId="1255" priority="1574" operator="greaterThan">
      <formula>B156</formula>
    </cfRule>
  </conditionalFormatting>
  <conditionalFormatting sqref="B157">
    <cfRule type="cellIs" dxfId="1254" priority="1573" operator="greaterThan">
      <formula>E157</formula>
    </cfRule>
  </conditionalFormatting>
  <conditionalFormatting sqref="D157">
    <cfRule type="expression" dxfId="1253" priority="1569">
      <formula>E157&gt;B157</formula>
    </cfRule>
    <cfRule type="expression" dxfId="1252" priority="1572">
      <formula>V157&lt;&gt;0</formula>
    </cfRule>
  </conditionalFormatting>
  <conditionalFormatting sqref="C157">
    <cfRule type="expression" dxfId="1251" priority="1570">
      <formula>B157&gt;E157</formula>
    </cfRule>
    <cfRule type="expression" dxfId="1250" priority="1571">
      <formula>V157&lt;&gt;0</formula>
    </cfRule>
  </conditionalFormatting>
  <conditionalFormatting sqref="E157">
    <cfRule type="cellIs" dxfId="1249" priority="1568" operator="greaterThan">
      <formula>B157</formula>
    </cfRule>
  </conditionalFormatting>
  <conditionalFormatting sqref="B158">
    <cfRule type="cellIs" dxfId="1248" priority="1567" operator="greaterThan">
      <formula>E158</formula>
    </cfRule>
  </conditionalFormatting>
  <conditionalFormatting sqref="D158">
    <cfRule type="expression" dxfId="1247" priority="1563">
      <formula>E158&gt;B158</formula>
    </cfRule>
    <cfRule type="expression" dxfId="1246" priority="1566">
      <formula>V158&lt;&gt;0</formula>
    </cfRule>
  </conditionalFormatting>
  <conditionalFormatting sqref="C158">
    <cfRule type="expression" dxfId="1245" priority="1564">
      <formula>B158&gt;E158</formula>
    </cfRule>
    <cfRule type="expression" dxfId="1244" priority="1565">
      <formula>V158&lt;&gt;0</formula>
    </cfRule>
  </conditionalFormatting>
  <conditionalFormatting sqref="E158">
    <cfRule type="cellIs" dxfId="1243" priority="1562" operator="greaterThan">
      <formula>B158</formula>
    </cfRule>
  </conditionalFormatting>
  <conditionalFormatting sqref="B159">
    <cfRule type="cellIs" dxfId="1242" priority="1561" operator="greaterThan">
      <formula>E159</formula>
    </cfRule>
  </conditionalFormatting>
  <conditionalFormatting sqref="D159">
    <cfRule type="expression" dxfId="1241" priority="1557">
      <formula>E159&gt;B159</formula>
    </cfRule>
    <cfRule type="expression" dxfId="1240" priority="1560">
      <formula>V159&lt;&gt;0</formula>
    </cfRule>
  </conditionalFormatting>
  <conditionalFormatting sqref="C159">
    <cfRule type="expression" dxfId="1239" priority="1558">
      <formula>B159&gt;E159</formula>
    </cfRule>
    <cfRule type="expression" dxfId="1238" priority="1559">
      <formula>V159&lt;&gt;0</formula>
    </cfRule>
  </conditionalFormatting>
  <conditionalFormatting sqref="E159">
    <cfRule type="cellIs" dxfId="1237" priority="1556" operator="greaterThan">
      <formula>B159</formula>
    </cfRule>
  </conditionalFormatting>
  <conditionalFormatting sqref="B160">
    <cfRule type="cellIs" dxfId="1236" priority="1555" operator="greaterThan">
      <formula>E160</formula>
    </cfRule>
  </conditionalFormatting>
  <conditionalFormatting sqref="D160">
    <cfRule type="expression" dxfId="1235" priority="1551">
      <formula>E160&gt;B160</formula>
    </cfRule>
    <cfRule type="expression" dxfId="1234" priority="1554">
      <formula>V160&lt;&gt;0</formula>
    </cfRule>
  </conditionalFormatting>
  <conditionalFormatting sqref="C160">
    <cfRule type="expression" dxfId="1233" priority="1552">
      <formula>B160&gt;E160</formula>
    </cfRule>
    <cfRule type="expression" dxfId="1232" priority="1553">
      <formula>V160&lt;&gt;0</formula>
    </cfRule>
  </conditionalFormatting>
  <conditionalFormatting sqref="E160">
    <cfRule type="cellIs" dxfId="1231" priority="1550" operator="greaterThan">
      <formula>B160</formula>
    </cfRule>
  </conditionalFormatting>
  <conditionalFormatting sqref="B161">
    <cfRule type="cellIs" dxfId="1230" priority="1549" operator="greaterThan">
      <formula>E161</formula>
    </cfRule>
  </conditionalFormatting>
  <conditionalFormatting sqref="D161">
    <cfRule type="expression" dxfId="1229" priority="1545">
      <formula>E161&gt;B161</formula>
    </cfRule>
    <cfRule type="expression" dxfId="1228" priority="1548">
      <formula>V161&lt;&gt;0</formula>
    </cfRule>
  </conditionalFormatting>
  <conditionalFormatting sqref="C161">
    <cfRule type="expression" dxfId="1227" priority="1546">
      <formula>B161&gt;E161</formula>
    </cfRule>
    <cfRule type="expression" dxfId="1226" priority="1547">
      <formula>V161&lt;&gt;0</formula>
    </cfRule>
  </conditionalFormatting>
  <conditionalFormatting sqref="E161">
    <cfRule type="cellIs" dxfId="1225" priority="1544" operator="greaterThan">
      <formula>B161</formula>
    </cfRule>
  </conditionalFormatting>
  <conditionalFormatting sqref="B162">
    <cfRule type="cellIs" dxfId="1224" priority="1543" operator="greaterThan">
      <formula>E162</formula>
    </cfRule>
  </conditionalFormatting>
  <conditionalFormatting sqref="D162">
    <cfRule type="expression" dxfId="1223" priority="1539">
      <formula>E162&gt;B162</formula>
    </cfRule>
    <cfRule type="expression" dxfId="1222" priority="1542">
      <formula>V162&lt;&gt;0</formula>
    </cfRule>
  </conditionalFormatting>
  <conditionalFormatting sqref="C162">
    <cfRule type="expression" dxfId="1221" priority="1540">
      <formula>B162&gt;E162</formula>
    </cfRule>
    <cfRule type="expression" dxfId="1220" priority="1541">
      <formula>V162&lt;&gt;0</formula>
    </cfRule>
  </conditionalFormatting>
  <conditionalFormatting sqref="E162">
    <cfRule type="cellIs" dxfId="1219" priority="1538" operator="greaterThan">
      <formula>B162</formula>
    </cfRule>
  </conditionalFormatting>
  <conditionalFormatting sqref="B163">
    <cfRule type="cellIs" dxfId="1218" priority="1537" operator="greaterThan">
      <formula>E163</formula>
    </cfRule>
  </conditionalFormatting>
  <conditionalFormatting sqref="D163">
    <cfRule type="expression" dxfId="1217" priority="1533">
      <formula>E163&gt;B163</formula>
    </cfRule>
    <cfRule type="expression" dxfId="1216" priority="1536">
      <formula>V163&lt;&gt;0</formula>
    </cfRule>
  </conditionalFormatting>
  <conditionalFormatting sqref="C163">
    <cfRule type="expression" dxfId="1215" priority="1534">
      <formula>B163&gt;E163</formula>
    </cfRule>
    <cfRule type="expression" dxfId="1214" priority="1535">
      <formula>V163&lt;&gt;0</formula>
    </cfRule>
  </conditionalFormatting>
  <conditionalFormatting sqref="E163">
    <cfRule type="cellIs" dxfId="1213" priority="1532" operator="greaterThan">
      <formula>B163</formula>
    </cfRule>
  </conditionalFormatting>
  <conditionalFormatting sqref="B164">
    <cfRule type="cellIs" dxfId="1212" priority="1531" operator="greaterThan">
      <formula>E164</formula>
    </cfRule>
  </conditionalFormatting>
  <conditionalFormatting sqref="D164">
    <cfRule type="expression" dxfId="1211" priority="1527">
      <formula>E164&gt;B164</formula>
    </cfRule>
    <cfRule type="expression" dxfId="1210" priority="1530">
      <formula>V164&lt;&gt;0</formula>
    </cfRule>
  </conditionalFormatting>
  <conditionalFormatting sqref="C164">
    <cfRule type="expression" dxfId="1209" priority="1528">
      <formula>B164&gt;E164</formula>
    </cfRule>
    <cfRule type="expression" dxfId="1208" priority="1529">
      <formula>V164&lt;&gt;0</formula>
    </cfRule>
  </conditionalFormatting>
  <conditionalFormatting sqref="E164">
    <cfRule type="cellIs" dxfId="1207" priority="1526" operator="greaterThan">
      <formula>B164</formula>
    </cfRule>
  </conditionalFormatting>
  <conditionalFormatting sqref="B165">
    <cfRule type="cellIs" dxfId="1206" priority="1525" operator="greaterThan">
      <formula>E165</formula>
    </cfRule>
  </conditionalFormatting>
  <conditionalFormatting sqref="D165">
    <cfRule type="expression" dxfId="1205" priority="1521">
      <formula>E165&gt;B165</formula>
    </cfRule>
    <cfRule type="expression" dxfId="1204" priority="1524">
      <formula>V165&lt;&gt;0</formula>
    </cfRule>
  </conditionalFormatting>
  <conditionalFormatting sqref="C165">
    <cfRule type="expression" dxfId="1203" priority="1522">
      <formula>B165&gt;E165</formula>
    </cfRule>
    <cfRule type="expression" dxfId="1202" priority="1523">
      <formula>V165&lt;&gt;0</formula>
    </cfRule>
  </conditionalFormatting>
  <conditionalFormatting sqref="E165">
    <cfRule type="cellIs" dxfId="1201" priority="1520" operator="greaterThan">
      <formula>B165</formula>
    </cfRule>
  </conditionalFormatting>
  <conditionalFormatting sqref="B166">
    <cfRule type="cellIs" dxfId="1200" priority="1519" operator="greaterThan">
      <formula>E166</formula>
    </cfRule>
  </conditionalFormatting>
  <conditionalFormatting sqref="D166">
    <cfRule type="expression" dxfId="1199" priority="1515">
      <formula>E166&gt;B166</formula>
    </cfRule>
    <cfRule type="expression" dxfId="1198" priority="1518">
      <formula>V166&lt;&gt;0</formula>
    </cfRule>
  </conditionalFormatting>
  <conditionalFormatting sqref="C166">
    <cfRule type="expression" dxfId="1197" priority="1516">
      <formula>B166&gt;E166</formula>
    </cfRule>
    <cfRule type="expression" dxfId="1196" priority="1517">
      <formula>V166&lt;&gt;0</formula>
    </cfRule>
  </conditionalFormatting>
  <conditionalFormatting sqref="E166">
    <cfRule type="cellIs" dxfId="1195" priority="1514" operator="greaterThan">
      <formula>B166</formula>
    </cfRule>
  </conditionalFormatting>
  <conditionalFormatting sqref="B167">
    <cfRule type="cellIs" dxfId="1194" priority="1513" operator="greaterThan">
      <formula>E167</formula>
    </cfRule>
  </conditionalFormatting>
  <conditionalFormatting sqref="D167">
    <cfRule type="expression" dxfId="1193" priority="1509">
      <formula>E167&gt;B167</formula>
    </cfRule>
    <cfRule type="expression" dxfId="1192" priority="1512">
      <formula>V167&lt;&gt;0</formula>
    </cfRule>
  </conditionalFormatting>
  <conditionalFormatting sqref="C167">
    <cfRule type="expression" dxfId="1191" priority="1510">
      <formula>B167&gt;E167</formula>
    </cfRule>
    <cfRule type="expression" dxfId="1190" priority="1511">
      <formula>V167&lt;&gt;0</formula>
    </cfRule>
  </conditionalFormatting>
  <conditionalFormatting sqref="E167">
    <cfRule type="cellIs" dxfId="1189" priority="1508" operator="greaterThan">
      <formula>B167</formula>
    </cfRule>
  </conditionalFormatting>
  <conditionalFormatting sqref="B168">
    <cfRule type="cellIs" dxfId="1188" priority="1507" operator="greaterThan">
      <formula>E168</formula>
    </cfRule>
  </conditionalFormatting>
  <conditionalFormatting sqref="D168">
    <cfRule type="expression" dxfId="1187" priority="1503">
      <formula>E168&gt;B168</formula>
    </cfRule>
    <cfRule type="expression" dxfId="1186" priority="1506">
      <formula>V168&lt;&gt;0</formula>
    </cfRule>
  </conditionalFormatting>
  <conditionalFormatting sqref="C168">
    <cfRule type="expression" dxfId="1185" priority="1504">
      <formula>B168&gt;E168</formula>
    </cfRule>
    <cfRule type="expression" dxfId="1184" priority="1505">
      <formula>V168&lt;&gt;0</formula>
    </cfRule>
  </conditionalFormatting>
  <conditionalFormatting sqref="E168">
    <cfRule type="cellIs" dxfId="1183" priority="1502" operator="greaterThan">
      <formula>B168</formula>
    </cfRule>
  </conditionalFormatting>
  <conditionalFormatting sqref="B169">
    <cfRule type="cellIs" dxfId="1182" priority="1501" operator="greaterThan">
      <formula>E169</formula>
    </cfRule>
  </conditionalFormatting>
  <conditionalFormatting sqref="D169">
    <cfRule type="expression" dxfId="1181" priority="1497">
      <formula>E169&gt;B169</formula>
    </cfRule>
    <cfRule type="expression" dxfId="1180" priority="1500">
      <formula>V169&lt;&gt;0</formula>
    </cfRule>
  </conditionalFormatting>
  <conditionalFormatting sqref="C169">
    <cfRule type="expression" dxfId="1179" priority="1498">
      <formula>B169&gt;E169</formula>
    </cfRule>
    <cfRule type="expression" dxfId="1178" priority="1499">
      <formula>V169&lt;&gt;0</formula>
    </cfRule>
  </conditionalFormatting>
  <conditionalFormatting sqref="E169">
    <cfRule type="cellIs" dxfId="1177" priority="1496" operator="greaterThan">
      <formula>B169</formula>
    </cfRule>
  </conditionalFormatting>
  <conditionalFormatting sqref="B170">
    <cfRule type="cellIs" dxfId="1176" priority="1495" operator="greaterThan">
      <formula>E170</formula>
    </cfRule>
  </conditionalFormatting>
  <conditionalFormatting sqref="D170">
    <cfRule type="expression" dxfId="1175" priority="1491">
      <formula>E170&gt;B170</formula>
    </cfRule>
    <cfRule type="expression" dxfId="1174" priority="1494">
      <formula>V170&lt;&gt;0</formula>
    </cfRule>
  </conditionalFormatting>
  <conditionalFormatting sqref="C170">
    <cfRule type="expression" dxfId="1173" priority="1492">
      <formula>B170&gt;E170</formula>
    </cfRule>
    <cfRule type="expression" dxfId="1172" priority="1493">
      <formula>V170&lt;&gt;0</formula>
    </cfRule>
  </conditionalFormatting>
  <conditionalFormatting sqref="E170">
    <cfRule type="cellIs" dxfId="1171" priority="1490" operator="greaterThan">
      <formula>B170</formula>
    </cfRule>
  </conditionalFormatting>
  <conditionalFormatting sqref="B171">
    <cfRule type="cellIs" dxfId="1170" priority="1489" operator="greaterThan">
      <formula>E171</formula>
    </cfRule>
  </conditionalFormatting>
  <conditionalFormatting sqref="D171">
    <cfRule type="expression" dxfId="1169" priority="1485">
      <formula>E171&gt;B171</formula>
    </cfRule>
    <cfRule type="expression" dxfId="1168" priority="1488">
      <formula>V171&lt;&gt;0</formula>
    </cfRule>
  </conditionalFormatting>
  <conditionalFormatting sqref="C171">
    <cfRule type="expression" dxfId="1167" priority="1486">
      <formula>B171&gt;E171</formula>
    </cfRule>
    <cfRule type="expression" dxfId="1166" priority="1487">
      <formula>V171&lt;&gt;0</formula>
    </cfRule>
  </conditionalFormatting>
  <conditionalFormatting sqref="E171">
    <cfRule type="cellIs" dxfId="1165" priority="1484" operator="greaterThan">
      <formula>B171</formula>
    </cfRule>
  </conditionalFormatting>
  <conditionalFormatting sqref="V45:V56">
    <cfRule type="cellIs" dxfId="1164" priority="1479" operator="lessThan">
      <formula>0</formula>
    </cfRule>
    <cfRule type="cellIs" dxfId="1163" priority="1480" operator="equal">
      <formula>0</formula>
    </cfRule>
  </conditionalFormatting>
  <conditionalFormatting sqref="Y45:Z51 Y53:Z56">
    <cfRule type="cellIs" dxfId="1162" priority="1481" operator="equal">
      <formula>0</formula>
    </cfRule>
  </conditionalFormatting>
  <conditionalFormatting sqref="A30">
    <cfRule type="expression" dxfId="1161" priority="1462">
      <formula>V30&lt;&gt;0</formula>
    </cfRule>
  </conditionalFormatting>
  <conditionalFormatting sqref="G30">
    <cfRule type="cellIs" dxfId="1160" priority="1460" operator="lessThan">
      <formula>0</formula>
    </cfRule>
  </conditionalFormatting>
  <conditionalFormatting sqref="D30">
    <cfRule type="expression" dxfId="1159" priority="1458">
      <formula>E30&gt;B30</formula>
    </cfRule>
  </conditionalFormatting>
  <conditionalFormatting sqref="C30">
    <cfRule type="expression" dxfId="1158" priority="1457">
      <formula>B30&gt;E30</formula>
    </cfRule>
  </conditionalFormatting>
  <conditionalFormatting sqref="G31">
    <cfRule type="cellIs" dxfId="1157" priority="1451" operator="lessThan">
      <formula>0</formula>
    </cfRule>
  </conditionalFormatting>
  <conditionalFormatting sqref="G32">
    <cfRule type="cellIs" dxfId="1156" priority="1395" operator="lessThan">
      <formula>0</formula>
    </cfRule>
  </conditionalFormatting>
  <conditionalFormatting sqref="G33">
    <cfRule type="cellIs" dxfId="1155" priority="1389" operator="lessThan">
      <formula>0</formula>
    </cfRule>
  </conditionalFormatting>
  <conditionalFormatting sqref="G34 G36 G38 G40 G45 G47 G49 G51 G53 G55">
    <cfRule type="cellIs" dxfId="1154" priority="1381" operator="lessThan">
      <formula>0</formula>
    </cfRule>
  </conditionalFormatting>
  <conditionalFormatting sqref="G35 G37 G39 G41 G46 G48 G50 G52 G54 G56">
    <cfRule type="cellIs" dxfId="1153" priority="1375" operator="lessThan">
      <formula>0</formula>
    </cfRule>
  </conditionalFormatting>
  <conditionalFormatting sqref="A45">
    <cfRule type="expression" dxfId="1152" priority="1354">
      <formula>V45&lt;&gt;0</formula>
    </cfRule>
  </conditionalFormatting>
  <conditionalFormatting sqref="B60">
    <cfRule type="cellIs" dxfId="1151" priority="1347" operator="greaterThan">
      <formula>E60</formula>
    </cfRule>
  </conditionalFormatting>
  <conditionalFormatting sqref="D60">
    <cfRule type="expression" dxfId="1150" priority="1343">
      <formula>E60&gt;B60</formula>
    </cfRule>
    <cfRule type="expression" dxfId="1149" priority="1346">
      <formula>V60&lt;&gt;0</formula>
    </cfRule>
  </conditionalFormatting>
  <conditionalFormatting sqref="C60">
    <cfRule type="expression" dxfId="1148" priority="1344">
      <formula>B60&gt;E60</formula>
    </cfRule>
    <cfRule type="expression" dxfId="1147" priority="1345">
      <formula>V60&lt;&gt;0</formula>
    </cfRule>
  </conditionalFormatting>
  <conditionalFormatting sqref="E60">
    <cfRule type="cellIs" dxfId="1146" priority="1342" operator="greaterThan">
      <formula>B60</formula>
    </cfRule>
  </conditionalFormatting>
  <conditionalFormatting sqref="B61">
    <cfRule type="cellIs" dxfId="1145" priority="1341" operator="greaterThan">
      <formula>E61</formula>
    </cfRule>
  </conditionalFormatting>
  <conditionalFormatting sqref="D61">
    <cfRule type="expression" dxfId="1144" priority="1337">
      <formula>E61&gt;B61</formula>
    </cfRule>
    <cfRule type="expression" dxfId="1143" priority="1340">
      <formula>V61&lt;&gt;0</formula>
    </cfRule>
  </conditionalFormatting>
  <conditionalFormatting sqref="C61">
    <cfRule type="expression" dxfId="1142" priority="1338">
      <formula>B61&gt;E61</formula>
    </cfRule>
    <cfRule type="expression" dxfId="1141" priority="1339">
      <formula>V61&lt;&gt;0</formula>
    </cfRule>
  </conditionalFormatting>
  <conditionalFormatting sqref="E61">
    <cfRule type="cellIs" dxfId="1140" priority="1336" operator="greaterThan">
      <formula>B61</formula>
    </cfRule>
  </conditionalFormatting>
  <conditionalFormatting sqref="D31">
    <cfRule type="expression" dxfId="1139" priority="1251">
      <formula>E31&gt;B31</formula>
    </cfRule>
  </conditionalFormatting>
  <conditionalFormatting sqref="C31">
    <cfRule type="expression" dxfId="1138" priority="1250">
      <formula>B31&gt;E31</formula>
    </cfRule>
  </conditionalFormatting>
  <conditionalFormatting sqref="D32 D34 D36 D38 D40 D45 D47 D49 D51 D53 D55">
    <cfRule type="expression" dxfId="1137" priority="1249">
      <formula>E32&gt;B32</formula>
    </cfRule>
  </conditionalFormatting>
  <conditionalFormatting sqref="C32 C34 C36 C38 C40 C45 C47 C49 C51 C53 C55">
    <cfRule type="expression" dxfId="1136" priority="1248">
      <formula>B32&gt;E32</formula>
    </cfRule>
  </conditionalFormatting>
  <conditionalFormatting sqref="D33 D35 D37 D39 D41 D46 D48 D50 D52 D54 D56">
    <cfRule type="expression" dxfId="1135" priority="1247">
      <formula>E33&gt;B33</formula>
    </cfRule>
  </conditionalFormatting>
  <conditionalFormatting sqref="C33 C35 C37 C39 C41 C46 C48 C50 C52 C54 C56">
    <cfRule type="expression" dxfId="1134" priority="1246">
      <formula>B33&gt;E33</formula>
    </cfRule>
  </conditionalFormatting>
  <conditionalFormatting sqref="A46">
    <cfRule type="expression" dxfId="1133" priority="1245">
      <formula>V46&lt;&gt;0</formula>
    </cfRule>
  </conditionalFormatting>
  <conditionalFormatting sqref="A47 A49 A51 A53 A55">
    <cfRule type="expression" dxfId="1132" priority="1244">
      <formula>V47&lt;&gt;0</formula>
    </cfRule>
  </conditionalFormatting>
  <conditionalFormatting sqref="A48 A50 A52 A54 A56">
    <cfRule type="expression" dxfId="1131" priority="1243">
      <formula>V48&lt;&gt;0</formula>
    </cfRule>
  </conditionalFormatting>
  <conditionalFormatting sqref="A31">
    <cfRule type="expression" dxfId="1130" priority="1242">
      <formula>V31&lt;&gt;0</formula>
    </cfRule>
  </conditionalFormatting>
  <conditionalFormatting sqref="A32 A34 A36 A38 A40">
    <cfRule type="expression" dxfId="1129" priority="1241">
      <formula>V32&lt;&gt;0</formula>
    </cfRule>
  </conditionalFormatting>
  <conditionalFormatting sqref="A33 A35 A37 A39 A41">
    <cfRule type="expression" dxfId="1128" priority="1240">
      <formula>X33&lt;&gt;0</formula>
    </cfRule>
  </conditionalFormatting>
  <conditionalFormatting sqref="Y30:Y34 Y37:Y41">
    <cfRule type="cellIs" dxfId="1127" priority="1203" operator="equal">
      <formula>0</formula>
    </cfRule>
  </conditionalFormatting>
  <conditionalFormatting sqref="AA15 AA19">
    <cfRule type="expression" dxfId="1126" priority="16746">
      <formula>IF($Y26&gt;$Y15,AND(MID($A15,5,1)="D"))</formula>
    </cfRule>
    <cfRule type="expression" dxfId="1125" priority="16747">
      <formula>IF($Y26&gt;$Y15,AND(MID($A15,5,1)="C"))</formula>
    </cfRule>
    <cfRule type="cellIs" dxfId="1124" priority="16748" operator="equal">
      <formula>0</formula>
    </cfRule>
  </conditionalFormatting>
  <conditionalFormatting sqref="AA17 AA21">
    <cfRule type="expression" dxfId="1123" priority="16752">
      <formula>IF($Y26&gt;$Y15,AND(MID($A26,5,1)="D"))</formula>
    </cfRule>
    <cfRule type="expression" dxfId="1122" priority="16753">
      <formula>IF($Y26&gt;$Y15,AND(MID($A26,5,1)="C"))</formula>
    </cfRule>
    <cfRule type="cellIs" dxfId="1121" priority="16754" operator="equal">
      <formula>0</formula>
    </cfRule>
  </conditionalFormatting>
  <conditionalFormatting sqref="W22:W29">
    <cfRule type="cellIs" dxfId="1120" priority="1156" operator="equal">
      <formula>0</formula>
    </cfRule>
  </conditionalFormatting>
  <conditionalFormatting sqref="W27 W23">
    <cfRule type="cellIs" dxfId="1119" priority="970" operator="equal">
      <formula>"STOP"</formula>
    </cfRule>
    <cfRule type="cellIs" dxfId="1118" priority="971" operator="equal">
      <formula>"TRAILING"</formula>
    </cfRule>
  </conditionalFormatting>
  <conditionalFormatting sqref="X60">
    <cfRule type="cellIs" dxfId="1117" priority="1091" operator="equal">
      <formula>0</formula>
    </cfRule>
    <cfRule type="expression" dxfId="1116" priority="1092">
      <formula>F60*100&lt;X60</formula>
    </cfRule>
    <cfRule type="expression" dxfId="1115" priority="1093">
      <formula>X60&lt;F60*100</formula>
    </cfRule>
  </conditionalFormatting>
  <conditionalFormatting sqref="X61">
    <cfRule type="cellIs" dxfId="1114" priority="1088" operator="equal">
      <formula>0</formula>
    </cfRule>
    <cfRule type="expression" dxfId="1113" priority="1089">
      <formula>F61*100&lt;X61</formula>
    </cfRule>
    <cfRule type="expression" dxfId="1112" priority="1090">
      <formula>X61&lt;F61*100</formula>
    </cfRule>
  </conditionalFormatting>
  <conditionalFormatting sqref="W60:W61">
    <cfRule type="cellIs" dxfId="1111" priority="1087" operator="equal">
      <formula>0</formula>
    </cfRule>
  </conditionalFormatting>
  <conditionalFormatting sqref="W60">
    <cfRule type="containsText" dxfId="1110" priority="1085" operator="containsText" text="STOP">
      <formula>NOT(ISERROR(SEARCH("STOP",W60)))</formula>
    </cfRule>
    <cfRule type="containsText" dxfId="1109" priority="1086" operator="containsText" text="TRAILING">
      <formula>NOT(ISERROR(SEARCH("TRAILING",W60)))</formula>
    </cfRule>
  </conditionalFormatting>
  <conditionalFormatting sqref="W61">
    <cfRule type="containsText" dxfId="1108" priority="1083" operator="containsText" text="STOP">
      <formula>NOT(ISERROR(SEARCH("STOP",W61)))</formula>
    </cfRule>
    <cfRule type="containsText" dxfId="1107" priority="1084" operator="containsText" text="TRAILING">
      <formula>NOT(ISERROR(SEARCH("TRAILING",W61)))</formula>
    </cfRule>
  </conditionalFormatting>
  <conditionalFormatting sqref="V42:V44">
    <cfRule type="cellIs" dxfId="1106" priority="1080" operator="lessThan">
      <formula>0</formula>
    </cfRule>
    <cfRule type="cellIs" dxfId="1105" priority="1081" operator="equal">
      <formula>0</formula>
    </cfRule>
  </conditionalFormatting>
  <conditionalFormatting sqref="G43">
    <cfRule type="cellIs" dxfId="1104" priority="1077" operator="lessThan">
      <formula>0</formula>
    </cfRule>
  </conditionalFormatting>
  <conditionalFormatting sqref="G42 G44">
    <cfRule type="cellIs" dxfId="1103" priority="1075" operator="lessThan">
      <formula>0</formula>
    </cfRule>
  </conditionalFormatting>
  <conditionalFormatting sqref="D43">
    <cfRule type="expression" dxfId="1102" priority="1073">
      <formula>E43&gt;B43</formula>
    </cfRule>
  </conditionalFormatting>
  <conditionalFormatting sqref="C43">
    <cfRule type="expression" dxfId="1101" priority="1072">
      <formula>B43&gt;E43</formula>
    </cfRule>
  </conditionalFormatting>
  <conditionalFormatting sqref="D42 D44">
    <cfRule type="expression" dxfId="1100" priority="1071">
      <formula>E42&gt;B42</formula>
    </cfRule>
  </conditionalFormatting>
  <conditionalFormatting sqref="C42 C44">
    <cfRule type="expression" dxfId="1099" priority="1070">
      <formula>B42&gt;E42</formula>
    </cfRule>
  </conditionalFormatting>
  <conditionalFormatting sqref="A43">
    <cfRule type="expression" dxfId="1098" priority="1069">
      <formula>V43&lt;&gt;0</formula>
    </cfRule>
  </conditionalFormatting>
  <conditionalFormatting sqref="A42 A44">
    <cfRule type="expression" dxfId="1097" priority="1068">
      <formula>V42&lt;&gt;0</formula>
    </cfRule>
  </conditionalFormatting>
  <conditionalFormatting sqref="V57:V59">
    <cfRule type="cellIs" dxfId="1096" priority="1051" operator="lessThan">
      <formula>0</formula>
    </cfRule>
    <cfRule type="cellIs" dxfId="1095" priority="1052" operator="equal">
      <formula>0</formula>
    </cfRule>
  </conditionalFormatting>
  <conditionalFormatting sqref="Y57:Z59">
    <cfRule type="cellIs" dxfId="1094" priority="1053" operator="equal">
      <formula>0</formula>
    </cfRule>
  </conditionalFormatting>
  <conditionalFormatting sqref="G58">
    <cfRule type="cellIs" dxfId="1093" priority="1048" operator="lessThan">
      <formula>0</formula>
    </cfRule>
  </conditionalFormatting>
  <conditionalFormatting sqref="G57 G59">
    <cfRule type="cellIs" dxfId="1092" priority="1046" operator="lessThan">
      <formula>0</formula>
    </cfRule>
  </conditionalFormatting>
  <conditionalFormatting sqref="D58">
    <cfRule type="expression" dxfId="1091" priority="1044">
      <formula>E58&gt;B58</formula>
    </cfRule>
  </conditionalFormatting>
  <conditionalFormatting sqref="C58">
    <cfRule type="expression" dxfId="1090" priority="1043">
      <formula>B58&gt;E58</formula>
    </cfRule>
  </conditionalFormatting>
  <conditionalFormatting sqref="D57 D59">
    <cfRule type="expression" dxfId="1089" priority="1042">
      <formula>E57&gt;B57</formula>
    </cfRule>
  </conditionalFormatting>
  <conditionalFormatting sqref="C57 C59">
    <cfRule type="expression" dxfId="1088" priority="1041">
      <formula>B57&gt;E57</formula>
    </cfRule>
  </conditionalFormatting>
  <conditionalFormatting sqref="A58">
    <cfRule type="expression" dxfId="1087" priority="1040">
      <formula>V58&lt;&gt;0</formula>
    </cfRule>
  </conditionalFormatting>
  <conditionalFormatting sqref="A57 A59">
    <cfRule type="expression" dxfId="1086" priority="1039">
      <formula>V57&lt;&gt;0</formula>
    </cfRule>
  </conditionalFormatting>
  <conditionalFormatting sqref="B45">
    <cfRule type="cellIs" dxfId="1085" priority="1022" operator="greaterThan">
      <formula>E45</formula>
    </cfRule>
  </conditionalFormatting>
  <conditionalFormatting sqref="B46">
    <cfRule type="cellIs" dxfId="1084" priority="1021" operator="greaterThan">
      <formula>E46</formula>
    </cfRule>
  </conditionalFormatting>
  <conditionalFormatting sqref="B47 B49 B51 B53 B55 B57 B59">
    <cfRule type="cellIs" dxfId="1083" priority="1020" operator="greaterThan">
      <formula>E47</formula>
    </cfRule>
  </conditionalFormatting>
  <conditionalFormatting sqref="B48 B50 B52 B54 B56 B58">
    <cfRule type="cellIs" dxfId="1082" priority="1019" operator="greaterThan">
      <formula>E48</formula>
    </cfRule>
  </conditionalFormatting>
  <conditionalFormatting sqref="E45">
    <cfRule type="cellIs" dxfId="1081" priority="1018" operator="greaterThan">
      <formula>B45</formula>
    </cfRule>
  </conditionalFormatting>
  <conditionalFormatting sqref="E46">
    <cfRule type="cellIs" dxfId="1080" priority="1017" operator="greaterThan">
      <formula>B46</formula>
    </cfRule>
  </conditionalFormatting>
  <conditionalFormatting sqref="E47 E49 E51 E55 E57 E59">
    <cfRule type="cellIs" dxfId="1079" priority="1016" operator="greaterThan">
      <formula>B47</formula>
    </cfRule>
  </conditionalFormatting>
  <conditionalFormatting sqref="E48 E50 E52 E54 E56 E58">
    <cfRule type="cellIs" dxfId="1078" priority="1015" operator="greaterThan">
      <formula>B48</formula>
    </cfRule>
  </conditionalFormatting>
  <conditionalFormatting sqref="E53">
    <cfRule type="cellIs" dxfId="1077" priority="1014" operator="greaterThan">
      <formula>H53</formula>
    </cfRule>
  </conditionalFormatting>
  <conditionalFormatting sqref="B30">
    <cfRule type="cellIs" dxfId="1076" priority="1013" operator="greaterThan">
      <formula>E30</formula>
    </cfRule>
  </conditionalFormatting>
  <conditionalFormatting sqref="B31">
    <cfRule type="cellIs" dxfId="1075" priority="1012" operator="greaterThan">
      <formula>E31</formula>
    </cfRule>
  </conditionalFormatting>
  <conditionalFormatting sqref="B32 B34 B36 B38 B40 B42 B44">
    <cfRule type="cellIs" dxfId="1074" priority="1011" operator="greaterThan">
      <formula>E32</formula>
    </cfRule>
  </conditionalFormatting>
  <conditionalFormatting sqref="B33 B35 B37 B39 B41 B43">
    <cfRule type="cellIs" dxfId="1073" priority="1010" operator="greaterThan">
      <formula>E33</formula>
    </cfRule>
  </conditionalFormatting>
  <conditionalFormatting sqref="E30">
    <cfRule type="cellIs" dxfId="1072" priority="1009" operator="greaterThan">
      <formula>B30</formula>
    </cfRule>
  </conditionalFormatting>
  <conditionalFormatting sqref="E31">
    <cfRule type="cellIs" dxfId="1071" priority="1008" operator="greaterThan">
      <formula>B31</formula>
    </cfRule>
  </conditionalFormatting>
  <conditionalFormatting sqref="E32 E34 E36 E40 E42 E44">
    <cfRule type="cellIs" dxfId="1070" priority="1007" operator="greaterThan">
      <formula>B32</formula>
    </cfRule>
  </conditionalFormatting>
  <conditionalFormatting sqref="E33 E35 E37 E39 E41 E43">
    <cfRule type="cellIs" dxfId="1069" priority="1006" operator="greaterThan">
      <formula>B33</formula>
    </cfRule>
  </conditionalFormatting>
  <conditionalFormatting sqref="E38">
    <cfRule type="cellIs" dxfId="1068" priority="1005" operator="greaterThan">
      <formula>H38</formula>
    </cfRule>
  </conditionalFormatting>
  <conditionalFormatting sqref="M45:M59">
    <cfRule type="dataBar" priority="1004">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03">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067" priority="994" operator="equal">
      <formula>0</formula>
    </cfRule>
    <cfRule type="expression" dxfId="1066" priority="995">
      <formula>G35*100&lt;Y35</formula>
    </cfRule>
    <cfRule type="expression" dxfId="1065" priority="996">
      <formula>Y35&lt;G35*100</formula>
    </cfRule>
  </conditionalFormatting>
  <conditionalFormatting sqref="Y44:Z44">
    <cfRule type="cellIs" dxfId="1064" priority="991" operator="equal">
      <formula>0</formula>
    </cfRule>
    <cfRule type="expression" dxfId="1063" priority="992">
      <formula>G44*100&lt;Y44</formula>
    </cfRule>
    <cfRule type="expression" dxfId="1062" priority="993">
      <formula>Y44&lt;G44*100</formula>
    </cfRule>
  </conditionalFormatting>
  <conditionalFormatting sqref="Y36:Z36">
    <cfRule type="cellIs" dxfId="1061" priority="988" operator="equal">
      <formula>0</formula>
    </cfRule>
    <cfRule type="expression" dxfId="1060" priority="989">
      <formula>G36*100&lt;Y36</formula>
    </cfRule>
    <cfRule type="expression" dxfId="1059" priority="990">
      <formula>Y36&lt;G36*100</formula>
    </cfRule>
  </conditionalFormatting>
  <conditionalFormatting sqref="Y52:Z52">
    <cfRule type="cellIs" dxfId="1058" priority="985" operator="equal">
      <formula>0</formula>
    </cfRule>
    <cfRule type="expression" dxfId="1057" priority="986">
      <formula>G52*100&lt;Y52</formula>
    </cfRule>
    <cfRule type="expression" dxfId="1056" priority="987">
      <formula>Y52&lt;G52*100</formula>
    </cfRule>
  </conditionalFormatting>
  <conditionalFormatting sqref="D26">
    <cfRule type="expression" dxfId="1055" priority="984">
      <formula>E26&gt;B26</formula>
    </cfRule>
  </conditionalFormatting>
  <conditionalFormatting sqref="C26">
    <cfRule type="expression" dxfId="1054" priority="983">
      <formula>B26&gt;E26</formula>
    </cfRule>
  </conditionalFormatting>
  <conditionalFormatting sqref="Y43:Z43">
    <cfRule type="cellIs" dxfId="1053" priority="980" operator="equal">
      <formula>0</formula>
    </cfRule>
    <cfRule type="expression" dxfId="1052" priority="981">
      <formula>G43*100&lt;Y43</formula>
    </cfRule>
    <cfRule type="expression" dxfId="1051" priority="982">
      <formula>Y43&lt;G43*100</formula>
    </cfRule>
  </conditionalFormatting>
  <conditionalFormatting sqref="Y42:Z42">
    <cfRule type="cellIs" dxfId="1050" priority="977" operator="equal">
      <formula>0</formula>
    </cfRule>
    <cfRule type="expression" dxfId="1049" priority="978">
      <formula>G42*100&lt;Y42</formula>
    </cfRule>
    <cfRule type="expression" dxfId="1048" priority="979">
      <formula>Y42&lt;G42*100</formula>
    </cfRule>
  </conditionalFormatting>
  <conditionalFormatting sqref="W26 W22">
    <cfRule type="cellIs" dxfId="1047" priority="964" operator="equal">
      <formula>"STOP"</formula>
    </cfRule>
    <cfRule type="cellIs" dxfId="1046" priority="965" operator="equal">
      <formula>"TRAILING"</formula>
    </cfRule>
  </conditionalFormatting>
  <conditionalFormatting sqref="W29 W25">
    <cfRule type="cellIs" dxfId="1045" priority="962" operator="equal">
      <formula>"STOP"</formula>
    </cfRule>
    <cfRule type="cellIs" dxfId="1044" priority="963" operator="equal">
      <formula>"TRAILING"</formula>
    </cfRule>
  </conditionalFormatting>
  <conditionalFormatting sqref="W28 W24">
    <cfRule type="cellIs" dxfId="1043" priority="960" operator="equal">
      <formula>"STOP"</formula>
    </cfRule>
    <cfRule type="cellIs" dxfId="1042" priority="961" operator="equal">
      <formula>"TRAILING"</formula>
    </cfRule>
  </conditionalFormatting>
  <conditionalFormatting sqref="W29 W25">
    <cfRule type="cellIs" dxfId="1041" priority="921" operator="equal">
      <formula>"STOP"</formula>
    </cfRule>
    <cfRule type="cellIs" dxfId="1040" priority="922" operator="equal">
      <formula>"TRAILING"</formula>
    </cfRule>
  </conditionalFormatting>
  <conditionalFormatting sqref="W28 W24">
    <cfRule type="cellIs" dxfId="1039" priority="919" operator="equal">
      <formula>"STOP"</formula>
    </cfRule>
    <cfRule type="cellIs" dxfId="1038" priority="920" operator="equal">
      <formula>"TRAILING"</formula>
    </cfRule>
  </conditionalFormatting>
  <conditionalFormatting sqref="S1">
    <cfRule type="cellIs" dxfId="1037" priority="904" operator="equal">
      <formula>"TRA"</formula>
    </cfRule>
  </conditionalFormatting>
  <conditionalFormatting sqref="Q1">
    <cfRule type="cellIs" dxfId="1036" priority="903" operator="equal">
      <formula>"PRC"</formula>
    </cfRule>
  </conditionalFormatting>
  <conditionalFormatting sqref="W30:W31">
    <cfRule type="cellIs" dxfId="1035" priority="902" operator="equal">
      <formula>0</formula>
    </cfRule>
  </conditionalFormatting>
  <conditionalFormatting sqref="W31">
    <cfRule type="cellIs" dxfId="1034" priority="900" operator="equal">
      <formula>"STOP"</formula>
    </cfRule>
    <cfRule type="cellIs" dxfId="1033" priority="901" operator="equal">
      <formula>"TRAILING"</formula>
    </cfRule>
  </conditionalFormatting>
  <conditionalFormatting sqref="W30">
    <cfRule type="cellIs" dxfId="1032" priority="898" operator="equal">
      <formula>"STOP"</formula>
    </cfRule>
    <cfRule type="cellIs" dxfId="1031" priority="899" operator="equal">
      <formula>"TRAILING"</formula>
    </cfRule>
  </conditionalFormatting>
  <conditionalFormatting sqref="W31">
    <cfRule type="cellIs" dxfId="1030" priority="896" operator="equal">
      <formula>"STOP"</formula>
    </cfRule>
    <cfRule type="cellIs" dxfId="1029" priority="897" operator="equal">
      <formula>"TRAILING"</formula>
    </cfRule>
  </conditionalFormatting>
  <conditionalFormatting sqref="W30">
    <cfRule type="cellIs" dxfId="1028" priority="894" operator="equal">
      <formula>"STOP"</formula>
    </cfRule>
    <cfRule type="cellIs" dxfId="1027" priority="895" operator="equal">
      <formula>"TRAILING"</formula>
    </cfRule>
  </conditionalFormatting>
  <conditionalFormatting sqref="W32:W33">
    <cfRule type="cellIs" dxfId="1026" priority="893" operator="equal">
      <formula>0</formula>
    </cfRule>
  </conditionalFormatting>
  <conditionalFormatting sqref="W33">
    <cfRule type="cellIs" dxfId="1025" priority="891" operator="equal">
      <formula>"STOP"</formula>
    </cfRule>
    <cfRule type="cellIs" dxfId="1024" priority="892" operator="equal">
      <formula>"TRAILING"</formula>
    </cfRule>
  </conditionalFormatting>
  <conditionalFormatting sqref="W32">
    <cfRule type="cellIs" dxfId="1023" priority="889" operator="equal">
      <formula>"STOP"</formula>
    </cfRule>
    <cfRule type="cellIs" dxfId="1022" priority="890" operator="equal">
      <formula>"TRAILING"</formula>
    </cfRule>
  </conditionalFormatting>
  <conditionalFormatting sqref="W33">
    <cfRule type="cellIs" dxfId="1021" priority="887" operator="equal">
      <formula>"STOP"</formula>
    </cfRule>
    <cfRule type="cellIs" dxfId="1020" priority="888" operator="equal">
      <formula>"TRAILING"</formula>
    </cfRule>
  </conditionalFormatting>
  <conditionalFormatting sqref="W32">
    <cfRule type="cellIs" dxfId="1019" priority="885" operator="equal">
      <formula>"STOP"</formula>
    </cfRule>
    <cfRule type="cellIs" dxfId="1018" priority="886" operator="equal">
      <formula>"TRAILING"</formula>
    </cfRule>
  </conditionalFormatting>
  <conditionalFormatting sqref="W34:W35">
    <cfRule type="cellIs" dxfId="1017" priority="884" operator="equal">
      <formula>0</formula>
    </cfRule>
  </conditionalFormatting>
  <conditionalFormatting sqref="W35">
    <cfRule type="cellIs" dxfId="1016" priority="882" operator="equal">
      <formula>"STOP"</formula>
    </cfRule>
    <cfRule type="cellIs" dxfId="1015" priority="883" operator="equal">
      <formula>"TRAILING"</formula>
    </cfRule>
  </conditionalFormatting>
  <conditionalFormatting sqref="W34">
    <cfRule type="cellIs" dxfId="1014" priority="880" operator="equal">
      <formula>"STOP"</formula>
    </cfRule>
    <cfRule type="cellIs" dxfId="1013" priority="881" operator="equal">
      <formula>"TRAILING"</formula>
    </cfRule>
  </conditionalFormatting>
  <conditionalFormatting sqref="W35">
    <cfRule type="cellIs" dxfId="1012" priority="878" operator="equal">
      <formula>"STOP"</formula>
    </cfRule>
    <cfRule type="cellIs" dxfId="1011" priority="879" operator="equal">
      <formula>"TRAILING"</formula>
    </cfRule>
  </conditionalFormatting>
  <conditionalFormatting sqref="W34">
    <cfRule type="cellIs" dxfId="1010" priority="876" operator="equal">
      <formula>"STOP"</formula>
    </cfRule>
    <cfRule type="cellIs" dxfId="1009" priority="877" operator="equal">
      <formula>"TRAILING"</formula>
    </cfRule>
  </conditionalFormatting>
  <conditionalFormatting sqref="W36:W37">
    <cfRule type="cellIs" dxfId="1008" priority="875" operator="equal">
      <formula>0</formula>
    </cfRule>
  </conditionalFormatting>
  <conditionalFormatting sqref="W37">
    <cfRule type="cellIs" dxfId="1007" priority="873" operator="equal">
      <formula>"STOP"</formula>
    </cfRule>
    <cfRule type="cellIs" dxfId="1006" priority="874" operator="equal">
      <formula>"TRAILING"</formula>
    </cfRule>
  </conditionalFormatting>
  <conditionalFormatting sqref="W36">
    <cfRule type="cellIs" dxfId="1005" priority="871" operator="equal">
      <formula>"STOP"</formula>
    </cfRule>
    <cfRule type="cellIs" dxfId="1004" priority="872" operator="equal">
      <formula>"TRAILING"</formula>
    </cfRule>
  </conditionalFormatting>
  <conditionalFormatting sqref="W37">
    <cfRule type="cellIs" dxfId="1003" priority="869" operator="equal">
      <formula>"STOP"</formula>
    </cfRule>
    <cfRule type="cellIs" dxfId="1002" priority="870" operator="equal">
      <formula>"TRAILING"</formula>
    </cfRule>
  </conditionalFormatting>
  <conditionalFormatting sqref="W36">
    <cfRule type="cellIs" dxfId="1001" priority="867" operator="equal">
      <formula>"STOP"</formula>
    </cfRule>
    <cfRule type="cellIs" dxfId="1000" priority="868" operator="equal">
      <formula>"TRAILING"</formula>
    </cfRule>
  </conditionalFormatting>
  <conditionalFormatting sqref="W38:W39">
    <cfRule type="cellIs" dxfId="999" priority="866" operator="equal">
      <formula>0</formula>
    </cfRule>
  </conditionalFormatting>
  <conditionalFormatting sqref="W39">
    <cfRule type="cellIs" dxfId="998" priority="864" operator="equal">
      <formula>"STOP"</formula>
    </cfRule>
    <cfRule type="cellIs" dxfId="997" priority="865" operator="equal">
      <formula>"TRAILING"</formula>
    </cfRule>
  </conditionalFormatting>
  <conditionalFormatting sqref="W38">
    <cfRule type="cellIs" dxfId="996" priority="862" operator="equal">
      <formula>"STOP"</formula>
    </cfRule>
    <cfRule type="cellIs" dxfId="995" priority="863" operator="equal">
      <formula>"TRAILING"</formula>
    </cfRule>
  </conditionalFormatting>
  <conditionalFormatting sqref="W39">
    <cfRule type="cellIs" dxfId="994" priority="860" operator="equal">
      <formula>"STOP"</formula>
    </cfRule>
    <cfRule type="cellIs" dxfId="993" priority="861" operator="equal">
      <formula>"TRAILING"</formula>
    </cfRule>
  </conditionalFormatting>
  <conditionalFormatting sqref="W38">
    <cfRule type="cellIs" dxfId="992" priority="858" operator="equal">
      <formula>"STOP"</formula>
    </cfRule>
    <cfRule type="cellIs" dxfId="991" priority="859" operator="equal">
      <formula>"TRAILING"</formula>
    </cfRule>
  </conditionalFormatting>
  <conditionalFormatting sqref="W40:W41">
    <cfRule type="cellIs" dxfId="990" priority="857" operator="equal">
      <formula>0</formula>
    </cfRule>
  </conditionalFormatting>
  <conditionalFormatting sqref="W41">
    <cfRule type="cellIs" dxfId="989" priority="855" operator="equal">
      <formula>"STOP"</formula>
    </cfRule>
    <cfRule type="cellIs" dxfId="988" priority="856" operator="equal">
      <formula>"TRAILING"</formula>
    </cfRule>
  </conditionalFormatting>
  <conditionalFormatting sqref="W40">
    <cfRule type="cellIs" dxfId="987" priority="853" operator="equal">
      <formula>"STOP"</formula>
    </cfRule>
    <cfRule type="cellIs" dxfId="986" priority="854" operator="equal">
      <formula>"TRAILING"</formula>
    </cfRule>
  </conditionalFormatting>
  <conditionalFormatting sqref="W41">
    <cfRule type="cellIs" dxfId="985" priority="851" operator="equal">
      <formula>"STOP"</formula>
    </cfRule>
    <cfRule type="cellIs" dxfId="984" priority="852" operator="equal">
      <formula>"TRAILING"</formula>
    </cfRule>
  </conditionalFormatting>
  <conditionalFormatting sqref="W40">
    <cfRule type="cellIs" dxfId="983" priority="849" operator="equal">
      <formula>"STOP"</formula>
    </cfRule>
    <cfRule type="cellIs" dxfId="982" priority="850" operator="equal">
      <formula>"TRAILING"</formula>
    </cfRule>
  </conditionalFormatting>
  <conditionalFormatting sqref="W42:W43">
    <cfRule type="cellIs" dxfId="981" priority="848" operator="equal">
      <formula>0</formula>
    </cfRule>
  </conditionalFormatting>
  <conditionalFormatting sqref="W43">
    <cfRule type="cellIs" dxfId="980" priority="846" operator="equal">
      <formula>"STOP"</formula>
    </cfRule>
    <cfRule type="cellIs" dxfId="979" priority="847" operator="equal">
      <formula>"TRAILING"</formula>
    </cfRule>
  </conditionalFormatting>
  <conditionalFormatting sqref="W42">
    <cfRule type="cellIs" dxfId="978" priority="844" operator="equal">
      <formula>"STOP"</formula>
    </cfRule>
    <cfRule type="cellIs" dxfId="977" priority="845" operator="equal">
      <formula>"TRAILING"</formula>
    </cfRule>
  </conditionalFormatting>
  <conditionalFormatting sqref="W43">
    <cfRule type="cellIs" dxfId="976" priority="842" operator="equal">
      <formula>"STOP"</formula>
    </cfRule>
    <cfRule type="cellIs" dxfId="975" priority="843" operator="equal">
      <formula>"TRAILING"</formula>
    </cfRule>
  </conditionalFormatting>
  <conditionalFormatting sqref="W42">
    <cfRule type="cellIs" dxfId="974" priority="840" operator="equal">
      <formula>"STOP"</formula>
    </cfRule>
    <cfRule type="cellIs" dxfId="973" priority="841" operator="equal">
      <formula>"TRAILING"</formula>
    </cfRule>
  </conditionalFormatting>
  <conditionalFormatting sqref="W44">
    <cfRule type="cellIs" dxfId="972" priority="839" operator="equal">
      <formula>0</formula>
    </cfRule>
  </conditionalFormatting>
  <conditionalFormatting sqref="W44">
    <cfRule type="cellIs" dxfId="971" priority="837" operator="equal">
      <formula>"STOP"</formula>
    </cfRule>
    <cfRule type="cellIs" dxfId="970" priority="838" operator="equal">
      <formula>"TRAILING"</formula>
    </cfRule>
  </conditionalFormatting>
  <conditionalFormatting sqref="W44">
    <cfRule type="cellIs" dxfId="969" priority="835" operator="equal">
      <formula>"STOP"</formula>
    </cfRule>
    <cfRule type="cellIs" dxfId="968" priority="836" operator="equal">
      <formula>"TRAILING"</formula>
    </cfRule>
  </conditionalFormatting>
  <conditionalFormatting sqref="X26 X22">
    <cfRule type="expression" dxfId="967" priority="674">
      <formula>X22*100&lt;C22</formula>
    </cfRule>
    <cfRule type="cellIs" dxfId="966" priority="675" operator="equal">
      <formula>0</formula>
    </cfRule>
  </conditionalFormatting>
  <conditionalFormatting sqref="X27 X23">
    <cfRule type="expression" dxfId="965" priority="672">
      <formula>X23*100&lt;C23</formula>
    </cfRule>
    <cfRule type="cellIs" dxfId="964" priority="673" operator="equal">
      <formula>0</formula>
    </cfRule>
  </conditionalFormatting>
  <conditionalFormatting sqref="X28 X24">
    <cfRule type="expression" dxfId="963" priority="670">
      <formula>X24*100&lt;C24</formula>
    </cfRule>
    <cfRule type="cellIs" dxfId="962" priority="671" operator="equal">
      <formula>0</formula>
    </cfRule>
  </conditionalFormatting>
  <conditionalFormatting sqref="X29 X25">
    <cfRule type="expression" dxfId="961" priority="668">
      <formula>X25*100&lt;C25</formula>
    </cfRule>
    <cfRule type="cellIs" dxfId="960" priority="669" operator="equal">
      <formula>0</formula>
    </cfRule>
  </conditionalFormatting>
  <conditionalFormatting sqref="X64">
    <cfRule type="expression" dxfId="959" priority="570">
      <formula>X64*100&lt;C64</formula>
    </cfRule>
    <cfRule type="cellIs" dxfId="958" priority="571" operator="equal">
      <formula>0</formula>
    </cfRule>
  </conditionalFormatting>
  <conditionalFormatting sqref="X65">
    <cfRule type="expression" dxfId="957" priority="568">
      <formula>X65*100&lt;C65</formula>
    </cfRule>
    <cfRule type="cellIs" dxfId="956" priority="569" operator="equal">
      <formula>0</formula>
    </cfRule>
  </conditionalFormatting>
  <conditionalFormatting sqref="X66">
    <cfRule type="expression" dxfId="955" priority="566">
      <formula>X66*100&lt;C66</formula>
    </cfRule>
    <cfRule type="cellIs" dxfId="954" priority="567" operator="equal">
      <formula>0</formula>
    </cfRule>
  </conditionalFormatting>
  <conditionalFormatting sqref="X67">
    <cfRule type="expression" dxfId="953" priority="564">
      <formula>X67*100&lt;C67</formula>
    </cfRule>
    <cfRule type="cellIs" dxfId="952" priority="565" operator="equal">
      <formula>0</formula>
    </cfRule>
  </conditionalFormatting>
  <conditionalFormatting sqref="X68">
    <cfRule type="expression" dxfId="951" priority="562">
      <formula>X68*100&lt;C68</formula>
    </cfRule>
    <cfRule type="cellIs" dxfId="950" priority="563" operator="equal">
      <formula>0</formula>
    </cfRule>
  </conditionalFormatting>
  <conditionalFormatting sqref="X69">
    <cfRule type="expression" dxfId="949" priority="560">
      <formula>X69*100&lt;C69</formula>
    </cfRule>
    <cfRule type="cellIs" dxfId="948" priority="561" operator="equal">
      <formula>0</formula>
    </cfRule>
  </conditionalFormatting>
  <conditionalFormatting sqref="X70">
    <cfRule type="expression" dxfId="947" priority="558">
      <formula>X70*100&lt;C70</formula>
    </cfRule>
    <cfRule type="cellIs" dxfId="946" priority="559" operator="equal">
      <formula>0</formula>
    </cfRule>
  </conditionalFormatting>
  <conditionalFormatting sqref="X71">
    <cfRule type="expression" dxfId="945" priority="556">
      <formula>X71*100&lt;C71</formula>
    </cfRule>
    <cfRule type="cellIs" dxfId="944" priority="557" operator="equal">
      <formula>0</formula>
    </cfRule>
  </conditionalFormatting>
  <conditionalFormatting sqref="X72">
    <cfRule type="expression" dxfId="943" priority="554">
      <formula>X72*100&lt;C72</formula>
    </cfRule>
    <cfRule type="cellIs" dxfId="942" priority="555" operator="equal">
      <formula>0</formula>
    </cfRule>
  </conditionalFormatting>
  <conditionalFormatting sqref="X73">
    <cfRule type="expression" dxfId="941" priority="552">
      <formula>X73*100&lt;C73</formula>
    </cfRule>
    <cfRule type="cellIs" dxfId="940" priority="553" operator="equal">
      <formula>0</formula>
    </cfRule>
  </conditionalFormatting>
  <conditionalFormatting sqref="X74">
    <cfRule type="expression" dxfId="939" priority="550">
      <formula>X74*100&lt;C74</formula>
    </cfRule>
    <cfRule type="cellIs" dxfId="938" priority="551" operator="equal">
      <formula>0</formula>
    </cfRule>
  </conditionalFormatting>
  <conditionalFormatting sqref="X75">
    <cfRule type="expression" dxfId="937" priority="548">
      <formula>X75*100&lt;C75</formula>
    </cfRule>
    <cfRule type="cellIs" dxfId="936" priority="549" operator="equal">
      <formula>0</formula>
    </cfRule>
  </conditionalFormatting>
  <conditionalFormatting sqref="X76">
    <cfRule type="expression" dxfId="935" priority="546">
      <formula>X76*100&lt;C76</formula>
    </cfRule>
    <cfRule type="cellIs" dxfId="934" priority="547" operator="equal">
      <formula>0</formula>
    </cfRule>
  </conditionalFormatting>
  <conditionalFormatting sqref="X77">
    <cfRule type="expression" dxfId="933" priority="544">
      <formula>X77*100&lt;C77</formula>
    </cfRule>
    <cfRule type="cellIs" dxfId="932" priority="545" operator="equal">
      <formula>0</formula>
    </cfRule>
  </conditionalFormatting>
  <conditionalFormatting sqref="X78">
    <cfRule type="expression" dxfId="931" priority="542">
      <formula>X78*100&lt;C78</formula>
    </cfRule>
    <cfRule type="cellIs" dxfId="930" priority="543" operator="equal">
      <formula>0</formula>
    </cfRule>
  </conditionalFormatting>
  <conditionalFormatting sqref="X79">
    <cfRule type="expression" dxfId="929" priority="540">
      <formula>X79*100&lt;C79</formula>
    </cfRule>
    <cfRule type="cellIs" dxfId="928" priority="541" operator="equal">
      <formula>0</formula>
    </cfRule>
  </conditionalFormatting>
  <conditionalFormatting sqref="X80">
    <cfRule type="expression" dxfId="927" priority="538">
      <formula>X80*100&lt;C80</formula>
    </cfRule>
    <cfRule type="cellIs" dxfId="926" priority="539" operator="equal">
      <formula>0</formula>
    </cfRule>
  </conditionalFormatting>
  <conditionalFormatting sqref="X81">
    <cfRule type="expression" dxfId="925" priority="536">
      <formula>X81*100&lt;C81</formula>
    </cfRule>
    <cfRule type="cellIs" dxfId="924" priority="537" operator="equal">
      <formula>0</formula>
    </cfRule>
  </conditionalFormatting>
  <conditionalFormatting sqref="X82">
    <cfRule type="expression" dxfId="923" priority="534">
      <formula>X82*100&lt;C82</formula>
    </cfRule>
    <cfRule type="cellIs" dxfId="922" priority="535" operator="equal">
      <formula>0</formula>
    </cfRule>
  </conditionalFormatting>
  <conditionalFormatting sqref="X83">
    <cfRule type="expression" dxfId="921" priority="532">
      <formula>X83*100&lt;C83</formula>
    </cfRule>
    <cfRule type="cellIs" dxfId="920" priority="533" operator="equal">
      <formula>0</formula>
    </cfRule>
  </conditionalFormatting>
  <conditionalFormatting sqref="X84">
    <cfRule type="expression" dxfId="919" priority="530">
      <formula>X84*100&lt;C84</formula>
    </cfRule>
    <cfRule type="cellIs" dxfId="918" priority="531" operator="equal">
      <formula>0</formula>
    </cfRule>
  </conditionalFormatting>
  <conditionalFormatting sqref="X85">
    <cfRule type="expression" dxfId="917" priority="528">
      <formula>X85*100&lt;C85</formula>
    </cfRule>
    <cfRule type="cellIs" dxfId="916" priority="529" operator="equal">
      <formula>0</formula>
    </cfRule>
  </conditionalFormatting>
  <conditionalFormatting sqref="X86">
    <cfRule type="expression" dxfId="915" priority="526">
      <formula>X86*100&lt;C86</formula>
    </cfRule>
    <cfRule type="cellIs" dxfId="914" priority="527" operator="equal">
      <formula>0</formula>
    </cfRule>
  </conditionalFormatting>
  <conditionalFormatting sqref="X87">
    <cfRule type="expression" dxfId="913" priority="524">
      <formula>X87*100&lt;C87</formula>
    </cfRule>
    <cfRule type="cellIs" dxfId="912" priority="525" operator="equal">
      <formula>0</formula>
    </cfRule>
  </conditionalFormatting>
  <conditionalFormatting sqref="X88">
    <cfRule type="expression" dxfId="911" priority="522">
      <formula>X88*100&lt;C88</formula>
    </cfRule>
    <cfRule type="cellIs" dxfId="910" priority="523" operator="equal">
      <formula>0</formula>
    </cfRule>
  </conditionalFormatting>
  <conditionalFormatting sqref="X89">
    <cfRule type="expression" dxfId="909" priority="520">
      <formula>X89*100&lt;C89</formula>
    </cfRule>
    <cfRule type="cellIs" dxfId="908" priority="521" operator="equal">
      <formula>0</formula>
    </cfRule>
  </conditionalFormatting>
  <conditionalFormatting sqref="X90">
    <cfRule type="expression" dxfId="907" priority="518">
      <formula>X90*100&lt;C90</formula>
    </cfRule>
    <cfRule type="cellIs" dxfId="906" priority="519" operator="equal">
      <formula>0</formula>
    </cfRule>
  </conditionalFormatting>
  <conditionalFormatting sqref="X91">
    <cfRule type="expression" dxfId="905" priority="516">
      <formula>X91*100&lt;C91</formula>
    </cfRule>
    <cfRule type="cellIs" dxfId="904" priority="517" operator="equal">
      <formula>0</formula>
    </cfRule>
  </conditionalFormatting>
  <conditionalFormatting sqref="X92">
    <cfRule type="expression" dxfId="903" priority="514">
      <formula>X92*100&lt;C92</formula>
    </cfRule>
    <cfRule type="cellIs" dxfId="902" priority="515" operator="equal">
      <formula>0</formula>
    </cfRule>
  </conditionalFormatting>
  <conditionalFormatting sqref="X93">
    <cfRule type="expression" dxfId="901" priority="512">
      <formula>X93*100&lt;C93</formula>
    </cfRule>
    <cfRule type="cellIs" dxfId="900" priority="513" operator="equal">
      <formula>0</formula>
    </cfRule>
  </conditionalFormatting>
  <conditionalFormatting sqref="X94">
    <cfRule type="expression" dxfId="899" priority="510">
      <formula>X94*100&lt;C94</formula>
    </cfRule>
    <cfRule type="cellIs" dxfId="898" priority="511" operator="equal">
      <formula>0</formula>
    </cfRule>
  </conditionalFormatting>
  <conditionalFormatting sqref="X95">
    <cfRule type="expression" dxfId="897" priority="508">
      <formula>X95*100&lt;C95</formula>
    </cfRule>
    <cfRule type="cellIs" dxfId="896" priority="509" operator="equal">
      <formula>0</formula>
    </cfRule>
  </conditionalFormatting>
  <conditionalFormatting sqref="X96">
    <cfRule type="expression" dxfId="895" priority="506">
      <formula>X96*100&lt;C96</formula>
    </cfRule>
    <cfRule type="cellIs" dxfId="894" priority="507" operator="equal">
      <formula>0</formula>
    </cfRule>
  </conditionalFormatting>
  <conditionalFormatting sqref="X97">
    <cfRule type="expression" dxfId="893" priority="504">
      <formula>X97*100&lt;C97</formula>
    </cfRule>
    <cfRule type="cellIs" dxfId="892" priority="505" operator="equal">
      <formula>0</formula>
    </cfRule>
  </conditionalFormatting>
  <conditionalFormatting sqref="X98">
    <cfRule type="expression" dxfId="891" priority="502">
      <formula>X98*100&lt;C98</formula>
    </cfRule>
    <cfRule type="cellIs" dxfId="890" priority="503" operator="equal">
      <formula>0</formula>
    </cfRule>
  </conditionalFormatting>
  <conditionalFormatting sqref="X99">
    <cfRule type="expression" dxfId="889" priority="500">
      <formula>X99*100&lt;C99</formula>
    </cfRule>
    <cfRule type="cellIs" dxfId="888" priority="501" operator="equal">
      <formula>0</formula>
    </cfRule>
  </conditionalFormatting>
  <conditionalFormatting sqref="X100">
    <cfRule type="expression" dxfId="887" priority="498">
      <formula>X100*100&lt;C100</formula>
    </cfRule>
    <cfRule type="cellIs" dxfId="886" priority="499" operator="equal">
      <formula>0</formula>
    </cfRule>
  </conditionalFormatting>
  <conditionalFormatting sqref="X101">
    <cfRule type="expression" dxfId="885" priority="496">
      <formula>X101*100&lt;C101</formula>
    </cfRule>
    <cfRule type="cellIs" dxfId="884" priority="497" operator="equal">
      <formula>0</formula>
    </cfRule>
  </conditionalFormatting>
  <conditionalFormatting sqref="X102">
    <cfRule type="expression" dxfId="883" priority="494">
      <formula>X102*100&lt;C102</formula>
    </cfRule>
    <cfRule type="cellIs" dxfId="882" priority="495" operator="equal">
      <formula>0</formula>
    </cfRule>
  </conditionalFormatting>
  <conditionalFormatting sqref="X103">
    <cfRule type="expression" dxfId="881" priority="492">
      <formula>X103*100&lt;C103</formula>
    </cfRule>
    <cfRule type="cellIs" dxfId="880" priority="493" operator="equal">
      <formula>0</formula>
    </cfRule>
  </conditionalFormatting>
  <conditionalFormatting sqref="X104">
    <cfRule type="expression" dxfId="879" priority="490">
      <formula>X104*100&lt;C104</formula>
    </cfRule>
    <cfRule type="cellIs" dxfId="878" priority="491" operator="equal">
      <formula>0</formula>
    </cfRule>
  </conditionalFormatting>
  <conditionalFormatting sqref="X105">
    <cfRule type="expression" dxfId="877" priority="488">
      <formula>X105*100&lt;C105</formula>
    </cfRule>
    <cfRule type="cellIs" dxfId="876" priority="489" operator="equal">
      <formula>0</formula>
    </cfRule>
  </conditionalFormatting>
  <conditionalFormatting sqref="X106">
    <cfRule type="expression" dxfId="875" priority="486">
      <formula>X106*100&lt;C106</formula>
    </cfRule>
    <cfRule type="cellIs" dxfId="874" priority="487" operator="equal">
      <formula>0</formula>
    </cfRule>
  </conditionalFormatting>
  <conditionalFormatting sqref="X107">
    <cfRule type="expression" dxfId="873" priority="484">
      <formula>X107*100&lt;C107</formula>
    </cfRule>
    <cfRule type="cellIs" dxfId="872" priority="485" operator="equal">
      <formula>0</formula>
    </cfRule>
  </conditionalFormatting>
  <conditionalFormatting sqref="X108">
    <cfRule type="expression" dxfId="871" priority="482">
      <formula>X108*100&lt;C108</formula>
    </cfRule>
    <cfRule type="cellIs" dxfId="870" priority="483" operator="equal">
      <formula>0</formula>
    </cfRule>
  </conditionalFormatting>
  <conditionalFormatting sqref="X109">
    <cfRule type="expression" dxfId="869" priority="480">
      <formula>X109*100&lt;C109</formula>
    </cfRule>
    <cfRule type="cellIs" dxfId="868" priority="481" operator="equal">
      <formula>0</formula>
    </cfRule>
  </conditionalFormatting>
  <conditionalFormatting sqref="X110">
    <cfRule type="expression" dxfId="867" priority="478">
      <formula>X110*100&lt;C110</formula>
    </cfRule>
    <cfRule type="cellIs" dxfId="866" priority="479" operator="equal">
      <formula>0</formula>
    </cfRule>
  </conditionalFormatting>
  <conditionalFormatting sqref="X111">
    <cfRule type="expression" dxfId="865" priority="476">
      <formula>X111*100&lt;C111</formula>
    </cfRule>
    <cfRule type="cellIs" dxfId="864" priority="477" operator="equal">
      <formula>0</formula>
    </cfRule>
  </conditionalFormatting>
  <conditionalFormatting sqref="X112">
    <cfRule type="expression" dxfId="863" priority="474">
      <formula>X112*100&lt;C112</formula>
    </cfRule>
    <cfRule type="cellIs" dxfId="862" priority="475" operator="equal">
      <formula>0</formula>
    </cfRule>
  </conditionalFormatting>
  <conditionalFormatting sqref="X113">
    <cfRule type="expression" dxfId="861" priority="472">
      <formula>X113*100&lt;C113</formula>
    </cfRule>
    <cfRule type="cellIs" dxfId="860" priority="473" operator="equal">
      <formula>0</formula>
    </cfRule>
  </conditionalFormatting>
  <conditionalFormatting sqref="X114">
    <cfRule type="expression" dxfId="859" priority="470">
      <formula>X114*100&lt;C114</formula>
    </cfRule>
    <cfRule type="cellIs" dxfId="858" priority="471" operator="equal">
      <formula>0</formula>
    </cfRule>
  </conditionalFormatting>
  <conditionalFormatting sqref="X115">
    <cfRule type="expression" dxfId="857" priority="468">
      <formula>X115*100&lt;C115</formula>
    </cfRule>
    <cfRule type="cellIs" dxfId="856" priority="469" operator="equal">
      <formula>0</formula>
    </cfRule>
  </conditionalFormatting>
  <conditionalFormatting sqref="X116">
    <cfRule type="expression" dxfId="855" priority="466">
      <formula>X116*100&lt;C116</formula>
    </cfRule>
    <cfRule type="cellIs" dxfId="854" priority="467" operator="equal">
      <formula>0</formula>
    </cfRule>
  </conditionalFormatting>
  <conditionalFormatting sqref="X117">
    <cfRule type="expression" dxfId="853" priority="464">
      <formula>X117*100&lt;C117</formula>
    </cfRule>
    <cfRule type="cellIs" dxfId="852" priority="465" operator="equal">
      <formula>0</formula>
    </cfRule>
  </conditionalFormatting>
  <conditionalFormatting sqref="X118">
    <cfRule type="expression" dxfId="851" priority="462">
      <formula>X118*100&lt;C118</formula>
    </cfRule>
    <cfRule type="cellIs" dxfId="850" priority="463" operator="equal">
      <formula>0</formula>
    </cfRule>
  </conditionalFormatting>
  <conditionalFormatting sqref="X119">
    <cfRule type="expression" dxfId="849" priority="460">
      <formula>X119*100&lt;C119</formula>
    </cfRule>
    <cfRule type="cellIs" dxfId="848" priority="461" operator="equal">
      <formula>0</formula>
    </cfRule>
  </conditionalFormatting>
  <conditionalFormatting sqref="X120">
    <cfRule type="expression" dxfId="847" priority="458">
      <formula>X120*100&lt;C120</formula>
    </cfRule>
    <cfRule type="cellIs" dxfId="846" priority="459" operator="equal">
      <formula>0</formula>
    </cfRule>
  </conditionalFormatting>
  <conditionalFormatting sqref="X121">
    <cfRule type="expression" dxfId="845" priority="456">
      <formula>X121*100&lt;C121</formula>
    </cfRule>
    <cfRule type="cellIs" dxfId="844" priority="457" operator="equal">
      <formula>0</formula>
    </cfRule>
  </conditionalFormatting>
  <conditionalFormatting sqref="X122">
    <cfRule type="expression" dxfId="843" priority="454">
      <formula>X122*100&lt;C122</formula>
    </cfRule>
    <cfRule type="cellIs" dxfId="842" priority="455" operator="equal">
      <formula>0</formula>
    </cfRule>
  </conditionalFormatting>
  <conditionalFormatting sqref="X123">
    <cfRule type="expression" dxfId="841" priority="452">
      <formula>X123*100&lt;C123</formula>
    </cfRule>
    <cfRule type="cellIs" dxfId="840" priority="453" operator="equal">
      <formula>0</formula>
    </cfRule>
  </conditionalFormatting>
  <conditionalFormatting sqref="X124">
    <cfRule type="expression" dxfId="839" priority="450">
      <formula>X124*100&lt;C124</formula>
    </cfRule>
    <cfRule type="cellIs" dxfId="838" priority="451" operator="equal">
      <formula>0</formula>
    </cfRule>
  </conditionalFormatting>
  <conditionalFormatting sqref="X125">
    <cfRule type="expression" dxfId="837" priority="448">
      <formula>X125*100&lt;C125</formula>
    </cfRule>
    <cfRule type="cellIs" dxfId="836" priority="449" operator="equal">
      <formula>0</formula>
    </cfRule>
  </conditionalFormatting>
  <conditionalFormatting sqref="X126">
    <cfRule type="expression" dxfId="835" priority="446">
      <formula>X126*100&lt;C126</formula>
    </cfRule>
    <cfRule type="cellIs" dxfId="834" priority="447" operator="equal">
      <formula>0</formula>
    </cfRule>
  </conditionalFormatting>
  <conditionalFormatting sqref="X127">
    <cfRule type="expression" dxfId="833" priority="444">
      <formula>X127*100&lt;C127</formula>
    </cfRule>
    <cfRule type="cellIs" dxfId="832" priority="445" operator="equal">
      <formula>0</formula>
    </cfRule>
  </conditionalFormatting>
  <conditionalFormatting sqref="X128">
    <cfRule type="expression" dxfId="831" priority="442">
      <formula>X128*100&lt;C128</formula>
    </cfRule>
    <cfRule type="cellIs" dxfId="830" priority="443" operator="equal">
      <formula>0</formula>
    </cfRule>
  </conditionalFormatting>
  <conditionalFormatting sqref="X129">
    <cfRule type="expression" dxfId="829" priority="440">
      <formula>X129*100&lt;C129</formula>
    </cfRule>
    <cfRule type="cellIs" dxfId="828" priority="441" operator="equal">
      <formula>0</formula>
    </cfRule>
  </conditionalFormatting>
  <conditionalFormatting sqref="X130">
    <cfRule type="expression" dxfId="827" priority="438">
      <formula>X130*100&lt;C130</formula>
    </cfRule>
    <cfRule type="cellIs" dxfId="826" priority="439" operator="equal">
      <formula>0</formula>
    </cfRule>
  </conditionalFormatting>
  <conditionalFormatting sqref="X131">
    <cfRule type="expression" dxfId="825" priority="436">
      <formula>X131*100&lt;C131</formula>
    </cfRule>
    <cfRule type="cellIs" dxfId="824" priority="437" operator="equal">
      <formula>0</formula>
    </cfRule>
  </conditionalFormatting>
  <conditionalFormatting sqref="X132">
    <cfRule type="expression" dxfId="823" priority="434">
      <formula>X132*100&lt;C132</formula>
    </cfRule>
    <cfRule type="cellIs" dxfId="822" priority="435" operator="equal">
      <formula>0</formula>
    </cfRule>
  </conditionalFormatting>
  <conditionalFormatting sqref="X133">
    <cfRule type="expression" dxfId="821" priority="432">
      <formula>X133*100&lt;C133</formula>
    </cfRule>
    <cfRule type="cellIs" dxfId="820" priority="433" operator="equal">
      <formula>0</formula>
    </cfRule>
  </conditionalFormatting>
  <conditionalFormatting sqref="X134">
    <cfRule type="expression" dxfId="819" priority="430">
      <formula>X134*100&lt;C134</formula>
    </cfRule>
    <cfRule type="cellIs" dxfId="818" priority="431" operator="equal">
      <formula>0</formula>
    </cfRule>
  </conditionalFormatting>
  <conditionalFormatting sqref="X135">
    <cfRule type="expression" dxfId="817" priority="428">
      <formula>X135*100&lt;C135</formula>
    </cfRule>
    <cfRule type="cellIs" dxfId="816" priority="429" operator="equal">
      <formula>0</formula>
    </cfRule>
  </conditionalFormatting>
  <conditionalFormatting sqref="X136">
    <cfRule type="expression" dxfId="815" priority="426">
      <formula>X136*100&lt;C136</formula>
    </cfRule>
    <cfRule type="cellIs" dxfId="814" priority="427" operator="equal">
      <formula>0</formula>
    </cfRule>
  </conditionalFormatting>
  <conditionalFormatting sqref="X137">
    <cfRule type="expression" dxfId="813" priority="424">
      <formula>X137*100&lt;C137</formula>
    </cfRule>
    <cfRule type="cellIs" dxfId="812" priority="425" operator="equal">
      <formula>0</formula>
    </cfRule>
  </conditionalFormatting>
  <conditionalFormatting sqref="X138">
    <cfRule type="expression" dxfId="811" priority="422">
      <formula>X138*100&lt;C138</formula>
    </cfRule>
    <cfRule type="cellIs" dxfId="810" priority="423" operator="equal">
      <formula>0</formula>
    </cfRule>
  </conditionalFormatting>
  <conditionalFormatting sqref="X139">
    <cfRule type="expression" dxfId="809" priority="420">
      <formula>X139*100&lt;C139</formula>
    </cfRule>
    <cfRule type="cellIs" dxfId="808" priority="421" operator="equal">
      <formula>0</formula>
    </cfRule>
  </conditionalFormatting>
  <conditionalFormatting sqref="X140">
    <cfRule type="expression" dxfId="807" priority="418">
      <formula>X140*100&lt;C140</formula>
    </cfRule>
    <cfRule type="cellIs" dxfId="806" priority="419" operator="equal">
      <formula>0</formula>
    </cfRule>
  </conditionalFormatting>
  <conditionalFormatting sqref="X141">
    <cfRule type="expression" dxfId="805" priority="416">
      <formula>X141*100&lt;C141</formula>
    </cfRule>
    <cfRule type="cellIs" dxfId="804" priority="417" operator="equal">
      <formula>0</formula>
    </cfRule>
  </conditionalFormatting>
  <conditionalFormatting sqref="X142">
    <cfRule type="expression" dxfId="803" priority="414">
      <formula>X142*100&lt;C142</formula>
    </cfRule>
    <cfRule type="cellIs" dxfId="802" priority="415" operator="equal">
      <formula>0</formula>
    </cfRule>
  </conditionalFormatting>
  <conditionalFormatting sqref="X143">
    <cfRule type="expression" dxfId="801" priority="412">
      <formula>X143*100&lt;C143</formula>
    </cfRule>
    <cfRule type="cellIs" dxfId="800" priority="413" operator="equal">
      <formula>0</formula>
    </cfRule>
  </conditionalFormatting>
  <conditionalFormatting sqref="X144">
    <cfRule type="expression" dxfId="799" priority="410">
      <formula>X144*100&lt;C144</formula>
    </cfRule>
    <cfRule type="cellIs" dxfId="798" priority="411" operator="equal">
      <formula>0</formula>
    </cfRule>
  </conditionalFormatting>
  <conditionalFormatting sqref="X145">
    <cfRule type="expression" dxfId="797" priority="408">
      <formula>X145*100&lt;C145</formula>
    </cfRule>
    <cfRule type="cellIs" dxfId="796" priority="409" operator="equal">
      <formula>0</formula>
    </cfRule>
  </conditionalFormatting>
  <conditionalFormatting sqref="X146">
    <cfRule type="expression" dxfId="795" priority="406">
      <formula>X146*100&lt;C146</formula>
    </cfRule>
    <cfRule type="cellIs" dxfId="794" priority="407" operator="equal">
      <formula>0</formula>
    </cfRule>
  </conditionalFormatting>
  <conditionalFormatting sqref="X147">
    <cfRule type="expression" dxfId="793" priority="404">
      <formula>X147*100&lt;C147</formula>
    </cfRule>
    <cfRule type="cellIs" dxfId="792" priority="405" operator="equal">
      <formula>0</formula>
    </cfRule>
  </conditionalFormatting>
  <conditionalFormatting sqref="X148">
    <cfRule type="expression" dxfId="791" priority="402">
      <formula>X148*100&lt;C148</formula>
    </cfRule>
    <cfRule type="cellIs" dxfId="790" priority="403" operator="equal">
      <formula>0</formula>
    </cfRule>
  </conditionalFormatting>
  <conditionalFormatting sqref="X149">
    <cfRule type="expression" dxfId="789" priority="400">
      <formula>X149*100&lt;C149</formula>
    </cfRule>
    <cfRule type="cellIs" dxfId="788" priority="401" operator="equal">
      <formula>0</formula>
    </cfRule>
  </conditionalFormatting>
  <conditionalFormatting sqref="X150">
    <cfRule type="expression" dxfId="787" priority="398">
      <formula>X150*100&lt;C150</formula>
    </cfRule>
    <cfRule type="cellIs" dxfId="786" priority="399" operator="equal">
      <formula>0</formula>
    </cfRule>
  </conditionalFormatting>
  <conditionalFormatting sqref="X151">
    <cfRule type="expression" dxfId="785" priority="396">
      <formula>X151*100&lt;C151</formula>
    </cfRule>
    <cfRule type="cellIs" dxfId="784" priority="397" operator="equal">
      <formula>0</formula>
    </cfRule>
  </conditionalFormatting>
  <conditionalFormatting sqref="X152">
    <cfRule type="expression" dxfId="783" priority="394">
      <formula>X152*100&lt;C152</formula>
    </cfRule>
    <cfRule type="cellIs" dxfId="782" priority="395" operator="equal">
      <formula>0</formula>
    </cfRule>
  </conditionalFormatting>
  <conditionalFormatting sqref="X153">
    <cfRule type="expression" dxfId="781" priority="392">
      <formula>X153*100&lt;C153</formula>
    </cfRule>
    <cfRule type="cellIs" dxfId="780" priority="393" operator="equal">
      <formula>0</formula>
    </cfRule>
  </conditionalFormatting>
  <conditionalFormatting sqref="X154">
    <cfRule type="expression" dxfId="779" priority="390">
      <formula>X154*100&lt;C154</formula>
    </cfRule>
    <cfRule type="cellIs" dxfId="778" priority="391" operator="equal">
      <formula>0</formula>
    </cfRule>
  </conditionalFormatting>
  <conditionalFormatting sqref="X155">
    <cfRule type="expression" dxfId="777" priority="388">
      <formula>X155*100&lt;C155</formula>
    </cfRule>
    <cfRule type="cellIs" dxfId="776" priority="389" operator="equal">
      <formula>0</formula>
    </cfRule>
  </conditionalFormatting>
  <conditionalFormatting sqref="X156">
    <cfRule type="expression" dxfId="775" priority="386">
      <formula>X156*100&lt;C156</formula>
    </cfRule>
    <cfRule type="cellIs" dxfId="774" priority="387" operator="equal">
      <formula>0</formula>
    </cfRule>
  </conditionalFormatting>
  <conditionalFormatting sqref="X157">
    <cfRule type="expression" dxfId="773" priority="384">
      <formula>X157*100&lt;C157</formula>
    </cfRule>
    <cfRule type="cellIs" dxfId="772" priority="385" operator="equal">
      <formula>0</formula>
    </cfRule>
  </conditionalFormatting>
  <conditionalFormatting sqref="X158">
    <cfRule type="expression" dxfId="771" priority="382">
      <formula>X158*100&lt;C158</formula>
    </cfRule>
    <cfRule type="cellIs" dxfId="770" priority="383" operator="equal">
      <formula>0</formula>
    </cfRule>
  </conditionalFormatting>
  <conditionalFormatting sqref="X159">
    <cfRule type="expression" dxfId="769" priority="380">
      <formula>X159*100&lt;C159</formula>
    </cfRule>
    <cfRule type="cellIs" dxfId="768" priority="381" operator="equal">
      <formula>0</formula>
    </cfRule>
  </conditionalFormatting>
  <conditionalFormatting sqref="X160">
    <cfRule type="expression" dxfId="767" priority="378">
      <formula>X160*100&lt;C160</formula>
    </cfRule>
    <cfRule type="cellIs" dxfId="766" priority="379" operator="equal">
      <formula>0</formula>
    </cfRule>
  </conditionalFormatting>
  <conditionalFormatting sqref="X161">
    <cfRule type="expression" dxfId="765" priority="376">
      <formula>X161*100&lt;C161</formula>
    </cfRule>
    <cfRule type="cellIs" dxfId="764" priority="377" operator="equal">
      <formula>0</formula>
    </cfRule>
  </conditionalFormatting>
  <conditionalFormatting sqref="X162">
    <cfRule type="expression" dxfId="763" priority="374">
      <formula>X162*100&lt;C162</formula>
    </cfRule>
    <cfRule type="cellIs" dxfId="762" priority="375" operator="equal">
      <formula>0</formula>
    </cfRule>
  </conditionalFormatting>
  <conditionalFormatting sqref="X163">
    <cfRule type="expression" dxfId="761" priority="372">
      <formula>X163*100&lt;C163</formula>
    </cfRule>
    <cfRule type="cellIs" dxfId="760" priority="373" operator="equal">
      <formula>0</formula>
    </cfRule>
  </conditionalFormatting>
  <conditionalFormatting sqref="X164">
    <cfRule type="expression" dxfId="759" priority="370">
      <formula>X164*100&lt;C164</formula>
    </cfRule>
    <cfRule type="cellIs" dxfId="758" priority="371" operator="equal">
      <formula>0</formula>
    </cfRule>
  </conditionalFormatting>
  <conditionalFormatting sqref="X165">
    <cfRule type="expression" dxfId="757" priority="368">
      <formula>X165*100&lt;C165</formula>
    </cfRule>
    <cfRule type="cellIs" dxfId="756" priority="369" operator="equal">
      <formula>0</formula>
    </cfRule>
  </conditionalFormatting>
  <conditionalFormatting sqref="X166">
    <cfRule type="expression" dxfId="755" priority="366">
      <formula>X166*100&lt;C166</formula>
    </cfRule>
    <cfRule type="cellIs" dxfId="754" priority="367" operator="equal">
      <formula>0</formula>
    </cfRule>
  </conditionalFormatting>
  <conditionalFormatting sqref="X167">
    <cfRule type="expression" dxfId="753" priority="364">
      <formula>X167*100&lt;C167</formula>
    </cfRule>
    <cfRule type="cellIs" dxfId="752" priority="365" operator="equal">
      <formula>0</formula>
    </cfRule>
  </conditionalFormatting>
  <conditionalFormatting sqref="X168">
    <cfRule type="expression" dxfId="751" priority="362">
      <formula>X168*100&lt;C168</formula>
    </cfRule>
    <cfRule type="cellIs" dxfId="750" priority="363" operator="equal">
      <formula>0</formula>
    </cfRule>
  </conditionalFormatting>
  <conditionalFormatting sqref="X169">
    <cfRule type="expression" dxfId="749" priority="360">
      <formula>X169*100&lt;C169</formula>
    </cfRule>
    <cfRule type="cellIs" dxfId="748" priority="361" operator="equal">
      <formula>0</formula>
    </cfRule>
  </conditionalFormatting>
  <conditionalFormatting sqref="X170">
    <cfRule type="expression" dxfId="747" priority="358">
      <formula>X170*100&lt;C170</formula>
    </cfRule>
    <cfRule type="cellIs" dxfId="746" priority="359" operator="equal">
      <formula>0</formula>
    </cfRule>
  </conditionalFormatting>
  <conditionalFormatting sqref="X171">
    <cfRule type="expression" dxfId="745" priority="356">
      <formula>X171*100&lt;C171</formula>
    </cfRule>
    <cfRule type="cellIs" dxfId="744" priority="357" operator="equal">
      <formula>0</formula>
    </cfRule>
  </conditionalFormatting>
  <conditionalFormatting sqref="W2:W3">
    <cfRule type="cellIs" dxfId="743" priority="355" operator="equal">
      <formula>0</formula>
    </cfRule>
  </conditionalFormatting>
  <conditionalFormatting sqref="W3">
    <cfRule type="cellIs" dxfId="742" priority="353" operator="equal">
      <formula>"STOP"</formula>
    </cfRule>
    <cfRule type="cellIs" dxfId="741" priority="354" operator="equal">
      <formula>"TRAILING"</formula>
    </cfRule>
  </conditionalFormatting>
  <conditionalFormatting sqref="W2">
    <cfRule type="cellIs" dxfId="740" priority="351" operator="equal">
      <formula>"STOP"</formula>
    </cfRule>
    <cfRule type="cellIs" dxfId="739" priority="352" operator="equal">
      <formula>"TRAILING"</formula>
    </cfRule>
  </conditionalFormatting>
  <conditionalFormatting sqref="X2">
    <cfRule type="expression" dxfId="738" priority="349">
      <formula>X2*100&lt;C2</formula>
    </cfRule>
    <cfRule type="cellIs" dxfId="737" priority="350" operator="equal">
      <formula>0</formula>
    </cfRule>
  </conditionalFormatting>
  <conditionalFormatting sqref="X3">
    <cfRule type="expression" dxfId="736" priority="347">
      <formula>X3*100&lt;C3</formula>
    </cfRule>
    <cfRule type="cellIs" dxfId="735" priority="348" operator="equal">
      <formula>0</formula>
    </cfRule>
  </conditionalFormatting>
  <conditionalFormatting sqref="W4:W5">
    <cfRule type="cellIs" dxfId="734" priority="346" operator="equal">
      <formula>0</formula>
    </cfRule>
  </conditionalFormatting>
  <conditionalFormatting sqref="W5">
    <cfRule type="cellIs" dxfId="733" priority="344" operator="equal">
      <formula>"STOP"</formula>
    </cfRule>
    <cfRule type="cellIs" dxfId="732" priority="345" operator="equal">
      <formula>"TRAILING"</formula>
    </cfRule>
  </conditionalFormatting>
  <conditionalFormatting sqref="W4">
    <cfRule type="cellIs" dxfId="731" priority="342" operator="equal">
      <formula>"STOP"</formula>
    </cfRule>
    <cfRule type="cellIs" dxfId="730" priority="343" operator="equal">
      <formula>"TRAILING"</formula>
    </cfRule>
  </conditionalFormatting>
  <conditionalFormatting sqref="X4">
    <cfRule type="expression" dxfId="729" priority="340">
      <formula>X4*100&lt;C4</formula>
    </cfRule>
    <cfRule type="cellIs" dxfId="728" priority="341" operator="equal">
      <formula>0</formula>
    </cfRule>
  </conditionalFormatting>
  <conditionalFormatting sqref="X5">
    <cfRule type="expression" dxfId="727" priority="338">
      <formula>X5*100&lt;C5</formula>
    </cfRule>
    <cfRule type="cellIs" dxfId="726" priority="339" operator="equal">
      <formula>0</formula>
    </cfRule>
  </conditionalFormatting>
  <conditionalFormatting sqref="W6:W7">
    <cfRule type="cellIs" dxfId="725" priority="337" operator="equal">
      <formula>0</formula>
    </cfRule>
  </conditionalFormatting>
  <conditionalFormatting sqref="W7">
    <cfRule type="cellIs" dxfId="724" priority="335" operator="equal">
      <formula>"STOP"</formula>
    </cfRule>
    <cfRule type="cellIs" dxfId="723" priority="336" operator="equal">
      <formula>"TRAILING"</formula>
    </cfRule>
  </conditionalFormatting>
  <conditionalFormatting sqref="W6">
    <cfRule type="cellIs" dxfId="722" priority="333" operator="equal">
      <formula>"STOP"</formula>
    </cfRule>
    <cfRule type="cellIs" dxfId="721" priority="334" operator="equal">
      <formula>"TRAILING"</formula>
    </cfRule>
  </conditionalFormatting>
  <conditionalFormatting sqref="X6">
    <cfRule type="expression" dxfId="720" priority="331">
      <formula>X6*100&lt;C6</formula>
    </cfRule>
    <cfRule type="cellIs" dxfId="719" priority="332" operator="equal">
      <formula>0</formula>
    </cfRule>
  </conditionalFormatting>
  <conditionalFormatting sqref="X7">
    <cfRule type="expression" dxfId="718" priority="329">
      <formula>X7*100&lt;C7</formula>
    </cfRule>
    <cfRule type="cellIs" dxfId="717" priority="330" operator="equal">
      <formula>0</formula>
    </cfRule>
  </conditionalFormatting>
  <conditionalFormatting sqref="W8:W9">
    <cfRule type="cellIs" dxfId="716" priority="328" operator="equal">
      <formula>0</formula>
    </cfRule>
  </conditionalFormatting>
  <conditionalFormatting sqref="W9">
    <cfRule type="cellIs" dxfId="715" priority="326" operator="equal">
      <formula>"STOP"</formula>
    </cfRule>
    <cfRule type="cellIs" dxfId="714" priority="327" operator="equal">
      <formula>"TRAILING"</formula>
    </cfRule>
  </conditionalFormatting>
  <conditionalFormatting sqref="W8">
    <cfRule type="cellIs" dxfId="713" priority="324" operator="equal">
      <formula>"STOP"</formula>
    </cfRule>
    <cfRule type="cellIs" dxfId="712" priority="325" operator="equal">
      <formula>"TRAILING"</formula>
    </cfRule>
  </conditionalFormatting>
  <conditionalFormatting sqref="X8">
    <cfRule type="expression" dxfId="711" priority="322">
      <formula>X8*100&lt;C8</formula>
    </cfRule>
    <cfRule type="cellIs" dxfId="710" priority="323" operator="equal">
      <formula>0</formula>
    </cfRule>
  </conditionalFormatting>
  <conditionalFormatting sqref="X9">
    <cfRule type="expression" dxfId="709" priority="320">
      <formula>X9*100&lt;C9</formula>
    </cfRule>
    <cfRule type="cellIs" dxfId="708" priority="321" operator="equal">
      <formula>0</formula>
    </cfRule>
  </conditionalFormatting>
  <conditionalFormatting sqref="W10:W11">
    <cfRule type="cellIs" dxfId="707" priority="319" operator="equal">
      <formula>0</formula>
    </cfRule>
  </conditionalFormatting>
  <conditionalFormatting sqref="W11">
    <cfRule type="cellIs" dxfId="706" priority="317" operator="equal">
      <formula>"STOP"</formula>
    </cfRule>
    <cfRule type="cellIs" dxfId="705" priority="318" operator="equal">
      <formula>"TRAILING"</formula>
    </cfRule>
  </conditionalFormatting>
  <conditionalFormatting sqref="W10">
    <cfRule type="cellIs" dxfId="704" priority="315" operator="equal">
      <formula>"STOP"</formula>
    </cfRule>
    <cfRule type="cellIs" dxfId="703" priority="316" operator="equal">
      <formula>"TRAILING"</formula>
    </cfRule>
  </conditionalFormatting>
  <conditionalFormatting sqref="X10">
    <cfRule type="expression" dxfId="702" priority="313">
      <formula>X10*100&lt;C10</formula>
    </cfRule>
    <cfRule type="cellIs" dxfId="701" priority="314" operator="equal">
      <formula>0</formula>
    </cfRule>
  </conditionalFormatting>
  <conditionalFormatting sqref="X11">
    <cfRule type="expression" dxfId="700" priority="311">
      <formula>X11*100&lt;C11</formula>
    </cfRule>
    <cfRule type="cellIs" dxfId="699" priority="312" operator="equal">
      <formula>0</formula>
    </cfRule>
  </conditionalFormatting>
  <conditionalFormatting sqref="W12:W13">
    <cfRule type="cellIs" dxfId="698" priority="310" operator="equal">
      <formula>0</formula>
    </cfRule>
  </conditionalFormatting>
  <conditionalFormatting sqref="W13">
    <cfRule type="cellIs" dxfId="697" priority="308" operator="equal">
      <formula>"STOP"</formula>
    </cfRule>
    <cfRule type="cellIs" dxfId="696" priority="309" operator="equal">
      <formula>"TRAILING"</formula>
    </cfRule>
  </conditionalFormatting>
  <conditionalFormatting sqref="W12">
    <cfRule type="cellIs" dxfId="695" priority="306" operator="equal">
      <formula>"STOP"</formula>
    </cfRule>
    <cfRule type="cellIs" dxfId="694" priority="307" operator="equal">
      <formula>"TRAILING"</formula>
    </cfRule>
  </conditionalFormatting>
  <conditionalFormatting sqref="X12">
    <cfRule type="expression" dxfId="693" priority="304">
      <formula>X12*100&lt;C12</formula>
    </cfRule>
    <cfRule type="cellIs" dxfId="692" priority="305" operator="equal">
      <formula>0</formula>
    </cfRule>
  </conditionalFormatting>
  <conditionalFormatting sqref="X13">
    <cfRule type="expression" dxfId="691" priority="302">
      <formula>X13*100&lt;C13</formula>
    </cfRule>
    <cfRule type="cellIs" dxfId="690" priority="303" operator="equal">
      <formula>0</formula>
    </cfRule>
  </conditionalFormatting>
  <conditionalFormatting sqref="W14:W15 W18:W19">
    <cfRule type="cellIs" dxfId="689" priority="301" operator="equal">
      <formula>0</formula>
    </cfRule>
  </conditionalFormatting>
  <conditionalFormatting sqref="W15 W19">
    <cfRule type="cellIs" dxfId="688" priority="299" operator="equal">
      <formula>"STOP"</formula>
    </cfRule>
    <cfRule type="cellIs" dxfId="687" priority="300" operator="equal">
      <formula>"TRAILING"</formula>
    </cfRule>
  </conditionalFormatting>
  <conditionalFormatting sqref="W14 W18">
    <cfRule type="cellIs" dxfId="686" priority="297" operator="equal">
      <formula>"STOP"</formula>
    </cfRule>
    <cfRule type="cellIs" dxfId="685" priority="298" operator="equal">
      <formula>"TRAILING"</formula>
    </cfRule>
  </conditionalFormatting>
  <conditionalFormatting sqref="X14 X18">
    <cfRule type="expression" dxfId="684" priority="295">
      <formula>X14*100&lt;C14</formula>
    </cfRule>
    <cfRule type="cellIs" dxfId="683" priority="296" operator="equal">
      <formula>0</formula>
    </cfRule>
  </conditionalFormatting>
  <conditionalFormatting sqref="X15 X19">
    <cfRule type="expression" dxfId="682" priority="293">
      <formula>X15*100&lt;C15</formula>
    </cfRule>
    <cfRule type="cellIs" dxfId="681" priority="294" operator="equal">
      <formula>0</formula>
    </cfRule>
  </conditionalFormatting>
  <conditionalFormatting sqref="W16:W17 W20:W21">
    <cfRule type="cellIs" dxfId="680" priority="292" operator="equal">
      <formula>0</formula>
    </cfRule>
  </conditionalFormatting>
  <conditionalFormatting sqref="W17 W21">
    <cfRule type="cellIs" dxfId="679" priority="290" operator="equal">
      <formula>"STOP"</formula>
    </cfRule>
    <cfRule type="cellIs" dxfId="678" priority="291" operator="equal">
      <formula>"TRAILING"</formula>
    </cfRule>
  </conditionalFormatting>
  <conditionalFormatting sqref="W16 W20">
    <cfRule type="cellIs" dxfId="677" priority="288" operator="equal">
      <formula>"STOP"</formula>
    </cfRule>
    <cfRule type="cellIs" dxfId="676" priority="289" operator="equal">
      <formula>"TRAILING"</formula>
    </cfRule>
  </conditionalFormatting>
  <conditionalFormatting sqref="X16 X20">
    <cfRule type="expression" dxfId="675" priority="286">
      <formula>X16*100&lt;C16</formula>
    </cfRule>
    <cfRule type="cellIs" dxfId="674" priority="287" operator="equal">
      <formula>0</formula>
    </cfRule>
  </conditionalFormatting>
  <conditionalFormatting sqref="X17 X21">
    <cfRule type="expression" dxfId="673" priority="284">
      <formula>X17*100&lt;C17</formula>
    </cfRule>
    <cfRule type="cellIs" dxfId="672" priority="285" operator="equal">
      <formula>0</formula>
    </cfRule>
  </conditionalFormatting>
  <conditionalFormatting sqref="X30">
    <cfRule type="expression" dxfId="671" priority="246">
      <formula>X30*100&lt;C30</formula>
    </cfRule>
    <cfRule type="cellIs" dxfId="670" priority="247" operator="equal">
      <formula>0</formula>
    </cfRule>
  </conditionalFormatting>
  <conditionalFormatting sqref="X31">
    <cfRule type="expression" dxfId="669" priority="244">
      <formula>X31*100&lt;C31</formula>
    </cfRule>
    <cfRule type="cellIs" dxfId="668" priority="245" operator="equal">
      <formula>0</formula>
    </cfRule>
  </conditionalFormatting>
  <conditionalFormatting sqref="X32">
    <cfRule type="expression" dxfId="667" priority="242">
      <formula>X32*100&lt;C32</formula>
    </cfRule>
    <cfRule type="cellIs" dxfId="666" priority="243" operator="equal">
      <formula>0</formula>
    </cfRule>
  </conditionalFormatting>
  <conditionalFormatting sqref="X33">
    <cfRule type="expression" dxfId="665" priority="240">
      <formula>X33*100&lt;C33</formula>
    </cfRule>
    <cfRule type="cellIs" dxfId="664" priority="241" operator="equal">
      <formula>0</formula>
    </cfRule>
  </conditionalFormatting>
  <conditionalFormatting sqref="X34">
    <cfRule type="expression" dxfId="663" priority="238">
      <formula>X34*100&lt;C34</formula>
    </cfRule>
    <cfRule type="cellIs" dxfId="662" priority="239" operator="equal">
      <formula>0</formula>
    </cfRule>
  </conditionalFormatting>
  <conditionalFormatting sqref="X35">
    <cfRule type="expression" dxfId="661" priority="236">
      <formula>X35*100&lt;C35</formula>
    </cfRule>
    <cfRule type="cellIs" dxfId="660" priority="237" operator="equal">
      <formula>0</formula>
    </cfRule>
  </conditionalFormatting>
  <conditionalFormatting sqref="X36">
    <cfRule type="expression" dxfId="659" priority="234">
      <formula>X36*100&lt;C36</formula>
    </cfRule>
    <cfRule type="cellIs" dxfId="658" priority="235" operator="equal">
      <formula>0</formula>
    </cfRule>
  </conditionalFormatting>
  <conditionalFormatting sqref="X37">
    <cfRule type="expression" dxfId="657" priority="232">
      <formula>X37*100&lt;C37</formula>
    </cfRule>
    <cfRule type="cellIs" dxfId="656" priority="233" operator="equal">
      <formula>0</formula>
    </cfRule>
  </conditionalFormatting>
  <conditionalFormatting sqref="X38">
    <cfRule type="expression" dxfId="655" priority="230">
      <formula>X38*100&lt;C38</formula>
    </cfRule>
    <cfRule type="cellIs" dxfId="654" priority="231" operator="equal">
      <formula>0</formula>
    </cfRule>
  </conditionalFormatting>
  <conditionalFormatting sqref="X39">
    <cfRule type="expression" dxfId="653" priority="228">
      <formula>X39*100&lt;C39</formula>
    </cfRule>
    <cfRule type="cellIs" dxfId="652" priority="229" operator="equal">
      <formula>0</formula>
    </cfRule>
  </conditionalFormatting>
  <conditionalFormatting sqref="X40">
    <cfRule type="expression" dxfId="651" priority="226">
      <formula>X40*100&lt;C40</formula>
    </cfRule>
    <cfRule type="cellIs" dxfId="650" priority="227" operator="equal">
      <formula>0</formula>
    </cfRule>
  </conditionalFormatting>
  <conditionalFormatting sqref="X41">
    <cfRule type="expression" dxfId="649" priority="224">
      <formula>X41*100&lt;C41</formula>
    </cfRule>
    <cfRule type="cellIs" dxfId="648" priority="225" operator="equal">
      <formula>0</formula>
    </cfRule>
  </conditionalFormatting>
  <conditionalFormatting sqref="X42">
    <cfRule type="expression" dxfId="647" priority="222">
      <formula>X42*100&lt;C42</formula>
    </cfRule>
    <cfRule type="cellIs" dxfId="646" priority="223" operator="equal">
      <formula>0</formula>
    </cfRule>
  </conditionalFormatting>
  <conditionalFormatting sqref="X43">
    <cfRule type="expression" dxfId="645" priority="220">
      <formula>X43*100&lt;C43</formula>
    </cfRule>
    <cfRule type="cellIs" dxfId="644" priority="221" operator="equal">
      <formula>0</formula>
    </cfRule>
  </conditionalFormatting>
  <conditionalFormatting sqref="X44">
    <cfRule type="expression" dxfId="643" priority="218">
      <formula>X44*100&lt;C44</formula>
    </cfRule>
    <cfRule type="cellIs" dxfId="642" priority="219" operator="equal">
      <formula>0</formula>
    </cfRule>
  </conditionalFormatting>
  <conditionalFormatting sqref="W45:W46">
    <cfRule type="cellIs" dxfId="641" priority="217" operator="equal">
      <formula>0</formula>
    </cfRule>
  </conditionalFormatting>
  <conditionalFormatting sqref="W46">
    <cfRule type="cellIs" dxfId="640" priority="215" operator="equal">
      <formula>"STOP"</formula>
    </cfRule>
    <cfRule type="cellIs" dxfId="639" priority="216" operator="equal">
      <formula>"TRAILING"</formula>
    </cfRule>
  </conditionalFormatting>
  <conditionalFormatting sqref="W45">
    <cfRule type="cellIs" dxfId="638" priority="213" operator="equal">
      <formula>"STOP"</formula>
    </cfRule>
    <cfRule type="cellIs" dxfId="637" priority="214" operator="equal">
      <formula>"TRAILING"</formula>
    </cfRule>
  </conditionalFormatting>
  <conditionalFormatting sqref="W46">
    <cfRule type="cellIs" dxfId="636" priority="211" operator="equal">
      <formula>"STOP"</formula>
    </cfRule>
    <cfRule type="cellIs" dxfId="635" priority="212" operator="equal">
      <formula>"TRAILING"</formula>
    </cfRule>
  </conditionalFormatting>
  <conditionalFormatting sqref="W45">
    <cfRule type="cellIs" dxfId="634" priority="209" operator="equal">
      <formula>"STOP"</formula>
    </cfRule>
    <cfRule type="cellIs" dxfId="633" priority="210" operator="equal">
      <formula>"TRAILING"</formula>
    </cfRule>
  </conditionalFormatting>
  <conditionalFormatting sqref="W47:W48">
    <cfRule type="cellIs" dxfId="632" priority="208" operator="equal">
      <formula>0</formula>
    </cfRule>
  </conditionalFormatting>
  <conditionalFormatting sqref="W48">
    <cfRule type="cellIs" dxfId="631" priority="206" operator="equal">
      <formula>"STOP"</formula>
    </cfRule>
    <cfRule type="cellIs" dxfId="630" priority="207" operator="equal">
      <formula>"TRAILING"</formula>
    </cfRule>
  </conditionalFormatting>
  <conditionalFormatting sqref="W47">
    <cfRule type="cellIs" dxfId="629" priority="204" operator="equal">
      <formula>"STOP"</formula>
    </cfRule>
    <cfRule type="cellIs" dxfId="628" priority="205" operator="equal">
      <formula>"TRAILING"</formula>
    </cfRule>
  </conditionalFormatting>
  <conditionalFormatting sqref="W48">
    <cfRule type="cellIs" dxfId="627" priority="202" operator="equal">
      <formula>"STOP"</formula>
    </cfRule>
    <cfRule type="cellIs" dxfId="626" priority="203" operator="equal">
      <formula>"TRAILING"</formula>
    </cfRule>
  </conditionalFormatting>
  <conditionalFormatting sqref="W47">
    <cfRule type="cellIs" dxfId="625" priority="200" operator="equal">
      <formula>"STOP"</formula>
    </cfRule>
    <cfRule type="cellIs" dxfId="624" priority="201" operator="equal">
      <formula>"TRAILING"</formula>
    </cfRule>
  </conditionalFormatting>
  <conditionalFormatting sqref="W49:W50">
    <cfRule type="cellIs" dxfId="623" priority="199" operator="equal">
      <formula>0</formula>
    </cfRule>
  </conditionalFormatting>
  <conditionalFormatting sqref="W50">
    <cfRule type="cellIs" dxfId="622" priority="197" operator="equal">
      <formula>"STOP"</formula>
    </cfRule>
    <cfRule type="cellIs" dxfId="621" priority="198" operator="equal">
      <formula>"TRAILING"</formula>
    </cfRule>
  </conditionalFormatting>
  <conditionalFormatting sqref="W49">
    <cfRule type="cellIs" dxfId="620" priority="195" operator="equal">
      <formula>"STOP"</formula>
    </cfRule>
    <cfRule type="cellIs" dxfId="619" priority="196" operator="equal">
      <formula>"TRAILING"</formula>
    </cfRule>
  </conditionalFormatting>
  <conditionalFormatting sqref="W50">
    <cfRule type="cellIs" dxfId="618" priority="193" operator="equal">
      <formula>"STOP"</formula>
    </cfRule>
    <cfRule type="cellIs" dxfId="617" priority="194" operator="equal">
      <formula>"TRAILING"</formula>
    </cfRule>
  </conditionalFormatting>
  <conditionalFormatting sqref="W49">
    <cfRule type="cellIs" dxfId="616" priority="191" operator="equal">
      <formula>"STOP"</formula>
    </cfRule>
    <cfRule type="cellIs" dxfId="615" priority="192" operator="equal">
      <formula>"TRAILING"</formula>
    </cfRule>
  </conditionalFormatting>
  <conditionalFormatting sqref="W51:W52">
    <cfRule type="cellIs" dxfId="614" priority="190" operator="equal">
      <formula>0</formula>
    </cfRule>
  </conditionalFormatting>
  <conditionalFormatting sqref="W52">
    <cfRule type="cellIs" dxfId="613" priority="188" operator="equal">
      <formula>"STOP"</formula>
    </cfRule>
    <cfRule type="cellIs" dxfId="612" priority="189" operator="equal">
      <formula>"TRAILING"</formula>
    </cfRule>
  </conditionalFormatting>
  <conditionalFormatting sqref="W51">
    <cfRule type="cellIs" dxfId="611" priority="186" operator="equal">
      <formula>"STOP"</formula>
    </cfRule>
    <cfRule type="cellIs" dxfId="610" priority="187" operator="equal">
      <formula>"TRAILING"</formula>
    </cfRule>
  </conditionalFormatting>
  <conditionalFormatting sqref="W52">
    <cfRule type="cellIs" dxfId="609" priority="184" operator="equal">
      <formula>"STOP"</formula>
    </cfRule>
    <cfRule type="cellIs" dxfId="608" priority="185" operator="equal">
      <formula>"TRAILING"</formula>
    </cfRule>
  </conditionalFormatting>
  <conditionalFormatting sqref="W51">
    <cfRule type="cellIs" dxfId="607" priority="182" operator="equal">
      <formula>"STOP"</formula>
    </cfRule>
    <cfRule type="cellIs" dxfId="606" priority="183" operator="equal">
      <formula>"TRAILING"</formula>
    </cfRule>
  </conditionalFormatting>
  <conditionalFormatting sqref="W53:W54">
    <cfRule type="cellIs" dxfId="605" priority="181" operator="equal">
      <formula>0</formula>
    </cfRule>
  </conditionalFormatting>
  <conditionalFormatting sqref="W54">
    <cfRule type="cellIs" dxfId="604" priority="179" operator="equal">
      <formula>"STOP"</formula>
    </cfRule>
    <cfRule type="cellIs" dxfId="603" priority="180" operator="equal">
      <formula>"TRAILING"</formula>
    </cfRule>
  </conditionalFormatting>
  <conditionalFormatting sqref="W53">
    <cfRule type="cellIs" dxfId="602" priority="177" operator="equal">
      <formula>"STOP"</formula>
    </cfRule>
    <cfRule type="cellIs" dxfId="601" priority="178" operator="equal">
      <formula>"TRAILING"</formula>
    </cfRule>
  </conditionalFormatting>
  <conditionalFormatting sqref="W54">
    <cfRule type="cellIs" dxfId="600" priority="175" operator="equal">
      <formula>"STOP"</formula>
    </cfRule>
    <cfRule type="cellIs" dxfId="599" priority="176" operator="equal">
      <formula>"TRAILING"</formula>
    </cfRule>
  </conditionalFormatting>
  <conditionalFormatting sqref="W53">
    <cfRule type="cellIs" dxfId="598" priority="173" operator="equal">
      <formula>"STOP"</formula>
    </cfRule>
    <cfRule type="cellIs" dxfId="597" priority="174" operator="equal">
      <formula>"TRAILING"</formula>
    </cfRule>
  </conditionalFormatting>
  <conditionalFormatting sqref="W55:W56">
    <cfRule type="cellIs" dxfId="596" priority="172" operator="equal">
      <formula>0</formula>
    </cfRule>
  </conditionalFormatting>
  <conditionalFormatting sqref="W56">
    <cfRule type="cellIs" dxfId="595" priority="170" operator="equal">
      <formula>"STOP"</formula>
    </cfRule>
    <cfRule type="cellIs" dxfId="594" priority="171" operator="equal">
      <formula>"TRAILING"</formula>
    </cfRule>
  </conditionalFormatting>
  <conditionalFormatting sqref="W55">
    <cfRule type="cellIs" dxfId="593" priority="168" operator="equal">
      <formula>"STOP"</formula>
    </cfRule>
    <cfRule type="cellIs" dxfId="592" priority="169" operator="equal">
      <formula>"TRAILING"</formula>
    </cfRule>
  </conditionalFormatting>
  <conditionalFormatting sqref="W56">
    <cfRule type="cellIs" dxfId="591" priority="166" operator="equal">
      <formula>"STOP"</formula>
    </cfRule>
    <cfRule type="cellIs" dxfId="590" priority="167" operator="equal">
      <formula>"TRAILING"</formula>
    </cfRule>
  </conditionalFormatting>
  <conditionalFormatting sqref="W55">
    <cfRule type="cellIs" dxfId="589" priority="164" operator="equal">
      <formula>"STOP"</formula>
    </cfRule>
    <cfRule type="cellIs" dxfId="588" priority="165" operator="equal">
      <formula>"TRAILING"</formula>
    </cfRule>
  </conditionalFormatting>
  <conditionalFormatting sqref="W57:W58">
    <cfRule type="cellIs" dxfId="587" priority="163" operator="equal">
      <formula>0</formula>
    </cfRule>
  </conditionalFormatting>
  <conditionalFormatting sqref="W58">
    <cfRule type="cellIs" dxfId="586" priority="161" operator="equal">
      <formula>"STOP"</formula>
    </cfRule>
    <cfRule type="cellIs" dxfId="585" priority="162" operator="equal">
      <formula>"TRAILING"</formula>
    </cfRule>
  </conditionalFormatting>
  <conditionalFormatting sqref="W57">
    <cfRule type="cellIs" dxfId="584" priority="159" operator="equal">
      <formula>"STOP"</formula>
    </cfRule>
    <cfRule type="cellIs" dxfId="583" priority="160" operator="equal">
      <formula>"TRAILING"</formula>
    </cfRule>
  </conditionalFormatting>
  <conditionalFormatting sqref="W58">
    <cfRule type="cellIs" dxfId="582" priority="157" operator="equal">
      <formula>"STOP"</formula>
    </cfRule>
    <cfRule type="cellIs" dxfId="581" priority="158" operator="equal">
      <formula>"TRAILING"</formula>
    </cfRule>
  </conditionalFormatting>
  <conditionalFormatting sqref="W57">
    <cfRule type="cellIs" dxfId="580" priority="155" operator="equal">
      <formula>"STOP"</formula>
    </cfRule>
    <cfRule type="cellIs" dxfId="579" priority="156" operator="equal">
      <formula>"TRAILING"</formula>
    </cfRule>
  </conditionalFormatting>
  <conditionalFormatting sqref="W59">
    <cfRule type="cellIs" dxfId="578" priority="154" operator="equal">
      <formula>0</formula>
    </cfRule>
  </conditionalFormatting>
  <conditionalFormatting sqref="W59">
    <cfRule type="cellIs" dxfId="577" priority="152" operator="equal">
      <formula>"STOP"</formula>
    </cfRule>
    <cfRule type="cellIs" dxfId="576" priority="153" operator="equal">
      <formula>"TRAILING"</formula>
    </cfRule>
  </conditionalFormatting>
  <conditionalFormatting sqref="W59">
    <cfRule type="cellIs" dxfId="575" priority="150" operator="equal">
      <formula>"STOP"</formula>
    </cfRule>
    <cfRule type="cellIs" dxfId="574" priority="151" operator="equal">
      <formula>"TRAILING"</formula>
    </cfRule>
  </conditionalFormatting>
  <conditionalFormatting sqref="X45">
    <cfRule type="expression" dxfId="573" priority="148">
      <formula>X45*100&lt;C45</formula>
    </cfRule>
    <cfRule type="cellIs" dxfId="572" priority="149" operator="equal">
      <formula>0</formula>
    </cfRule>
  </conditionalFormatting>
  <conditionalFormatting sqref="X46">
    <cfRule type="expression" dxfId="571" priority="146">
      <formula>X46*100&lt;C46</formula>
    </cfRule>
    <cfRule type="cellIs" dxfId="570" priority="147" operator="equal">
      <formula>0</formula>
    </cfRule>
  </conditionalFormatting>
  <conditionalFormatting sqref="X47">
    <cfRule type="expression" dxfId="569" priority="144">
      <formula>X47*100&lt;C47</formula>
    </cfRule>
    <cfRule type="cellIs" dxfId="568" priority="145" operator="equal">
      <formula>0</formula>
    </cfRule>
  </conditionalFormatting>
  <conditionalFormatting sqref="X48">
    <cfRule type="expression" dxfId="567" priority="142">
      <formula>X48*100&lt;C48</formula>
    </cfRule>
    <cfRule type="cellIs" dxfId="566" priority="143" operator="equal">
      <formula>0</formula>
    </cfRule>
  </conditionalFormatting>
  <conditionalFormatting sqref="X49">
    <cfRule type="expression" dxfId="565" priority="140">
      <formula>X49*100&lt;C49</formula>
    </cfRule>
    <cfRule type="cellIs" dxfId="564" priority="141" operator="equal">
      <formula>0</formula>
    </cfRule>
  </conditionalFormatting>
  <conditionalFormatting sqref="X50">
    <cfRule type="expression" dxfId="563" priority="138">
      <formula>X50*100&lt;C50</formula>
    </cfRule>
    <cfRule type="cellIs" dxfId="562" priority="139" operator="equal">
      <formula>0</formula>
    </cfRule>
  </conditionalFormatting>
  <conditionalFormatting sqref="X51">
    <cfRule type="expression" dxfId="561" priority="136">
      <formula>X51*100&lt;C51</formula>
    </cfRule>
    <cfRule type="cellIs" dxfId="560" priority="137" operator="equal">
      <formula>0</formula>
    </cfRule>
  </conditionalFormatting>
  <conditionalFormatting sqref="X52">
    <cfRule type="expression" dxfId="559" priority="134">
      <formula>X52*100&lt;C52</formula>
    </cfRule>
    <cfRule type="cellIs" dxfId="558" priority="135" operator="equal">
      <formula>0</formula>
    </cfRule>
  </conditionalFormatting>
  <conditionalFormatting sqref="X53">
    <cfRule type="expression" dxfId="557" priority="132">
      <formula>X53*100&lt;C53</formula>
    </cfRule>
    <cfRule type="cellIs" dxfId="556" priority="133" operator="equal">
      <formula>0</formula>
    </cfRule>
  </conditionalFormatting>
  <conditionalFormatting sqref="X54">
    <cfRule type="expression" dxfId="555" priority="130">
      <formula>X54*100&lt;C54</formula>
    </cfRule>
    <cfRule type="cellIs" dxfId="554" priority="131" operator="equal">
      <formula>0</formula>
    </cfRule>
  </conditionalFormatting>
  <conditionalFormatting sqref="X55">
    <cfRule type="expression" dxfId="553" priority="128">
      <formula>X55*100&lt;C55</formula>
    </cfRule>
    <cfRule type="cellIs" dxfId="552" priority="129" operator="equal">
      <formula>0</formula>
    </cfRule>
  </conditionalFormatting>
  <conditionalFormatting sqref="X56">
    <cfRule type="expression" dxfId="551" priority="126">
      <formula>X56*100&lt;C56</formula>
    </cfRule>
    <cfRule type="cellIs" dxfId="550" priority="127" operator="equal">
      <formula>0</formula>
    </cfRule>
  </conditionalFormatting>
  <conditionalFormatting sqref="X57">
    <cfRule type="expression" dxfId="549" priority="124">
      <formula>X57*100&lt;C57</formula>
    </cfRule>
    <cfRule type="cellIs" dxfId="548" priority="125" operator="equal">
      <formula>0</formula>
    </cfRule>
  </conditionalFormatting>
  <conditionalFormatting sqref="X58">
    <cfRule type="expression" dxfId="547" priority="122">
      <formula>X58*100&lt;C58</formula>
    </cfRule>
    <cfRule type="cellIs" dxfId="546" priority="123" operator="equal">
      <formula>0</formula>
    </cfRule>
  </conditionalFormatting>
  <conditionalFormatting sqref="X59">
    <cfRule type="expression" dxfId="545" priority="120">
      <formula>X59*100&lt;C59</formula>
    </cfRule>
    <cfRule type="cellIs" dxfId="544" priority="121" operator="equal">
      <formula>0</formula>
    </cfRule>
  </conditionalFormatting>
  <conditionalFormatting sqref="Y72 Y78 Y84 Y90 Y96 Y102 Y108 Y114 Y120 Y126 Y132 Y138 Y144 Y150 Y156 Y162 Y168 Y74 Y80 Y86 Y92 Y98 Y104 Y110 Y116 Y122 Y128 Y134 Y140 Y146 Y152 Y158 Y164 Y170">
    <cfRule type="cellIs" dxfId="543" priority="100" operator="lessThanOrEqual">
      <formula>0</formula>
    </cfRule>
  </conditionalFormatting>
  <conditionalFormatting sqref="Y71 Y77 Y83 Y89 Y95 Y101 Y107 Y113 Y119 Y125 Y131 Y137 Y143 Y149 Y155 Y161 Y167">
    <cfRule type="cellIs" dxfId="542" priority="98" operator="equal">
      <formula>0</formula>
    </cfRule>
  </conditionalFormatting>
  <conditionalFormatting sqref="Y73 Y79 Y85 Y91 Y97 Y103 Y109 Y115 Y121 Y127 Y133 Y139 Y145 Y151 Y157 Y163 Y169">
    <cfRule type="cellIs" dxfId="541" priority="97" operator="equal">
      <formula>0</formula>
    </cfRule>
  </conditionalFormatting>
  <conditionalFormatting sqref="Y75 Y81 Y87 Y93 Y99 Y105 Y111 Y117 Y123 Y129 Y135 Y141 Y147 Y153 Y159 Y165 Y171">
    <cfRule type="cellIs" dxfId="540" priority="96" operator="equal">
      <formula>0</formula>
    </cfRule>
  </conditionalFormatting>
  <conditionalFormatting sqref="Y70 Y76 Y82 Y88 Y94 Y100 Y106 Y112 Y118 Y124 Y130 Y136 Y142 Y148 Y154 Y160 Y166">
    <cfRule type="expression" dxfId="539" priority="95">
      <formula>(C71)-(D70)&gt;(C71/100)*(1+$AD$1*$AE$1)</formula>
    </cfRule>
    <cfRule type="cellIs" dxfId="538" priority="99" operator="lessThanOrEqual">
      <formula>0</formula>
    </cfRule>
  </conditionalFormatting>
  <conditionalFormatting sqref="Y64">
    <cfRule type="expression" dxfId="537" priority="89">
      <formula>(C65)-(D64)&gt;(C65/100)*(1+$AD$1*$AE$1)</formula>
    </cfRule>
    <cfRule type="cellIs" dxfId="536" priority="91" operator="lessThanOrEqual">
      <formula>0</formula>
    </cfRule>
  </conditionalFormatting>
  <conditionalFormatting sqref="Y65">
    <cfRule type="cellIs" dxfId="535" priority="90" operator="equal">
      <formula>0</formula>
    </cfRule>
  </conditionalFormatting>
  <conditionalFormatting sqref="Y60">
    <cfRule type="expression" dxfId="534" priority="86">
      <formula>(C61)-(D60)&gt;(C61/100)*(1+$AD$1*$AE$1)</formula>
    </cfRule>
    <cfRule type="cellIs" dxfId="533" priority="88" operator="lessThanOrEqual">
      <formula>0</formula>
    </cfRule>
  </conditionalFormatting>
  <conditionalFormatting sqref="Y61">
    <cfRule type="cellIs" dxfId="532" priority="87" operator="equal">
      <formula>0</formula>
    </cfRule>
  </conditionalFormatting>
  <conditionalFormatting sqref="A14 A18">
    <cfRule type="expression" dxfId="531" priority="56">
      <formula>IF($Y17&gt;$Y14,AND(MID($A14,5,1)=" "))</formula>
    </cfRule>
    <cfRule type="expression" dxfId="530" priority="57">
      <formula>IF($Y17&gt;$Y14,AND(MID($A14,5,1)="C"))</formula>
    </cfRule>
    <cfRule type="expression" dxfId="529" priority="58">
      <formula>IF($Y17&gt;$Y14,AND(MID($A14,5,1)="D"))</formula>
    </cfRule>
  </conditionalFormatting>
  <conditionalFormatting sqref="A17 A21">
    <cfRule type="expression" dxfId="528" priority="59">
      <formula>$V33&lt;&gt;0</formula>
    </cfRule>
    <cfRule type="expression" dxfId="527" priority="60">
      <formula>IF($Y17&gt;$Y14,AND(MID($A17,5,1)=" "))</formula>
    </cfRule>
    <cfRule type="expression" dxfId="526" priority="61">
      <formula>IF($Y17&gt;$Y14,AND(MID($A17,5,1)="C"))</formula>
    </cfRule>
    <cfRule type="expression" dxfId="525" priority="62">
      <formula>IF($Y17&gt;$Y14,AND(MID($A17,5,1)="D"))</formula>
    </cfRule>
  </conditionalFormatting>
  <conditionalFormatting sqref="A15 A19">
    <cfRule type="expression" dxfId="524" priority="63">
      <formula>$V31&lt;&gt;0</formula>
    </cfRule>
    <cfRule type="expression" dxfId="523" priority="64">
      <formula>IF($Y17&gt;$Y14,AND(MID($A15,5,1)=" "))</formula>
    </cfRule>
    <cfRule type="expression" dxfId="522" priority="65">
      <formula>IF($Y17&gt;$Y14,AND(MID($A15,5,1)="C"))</formula>
    </cfRule>
    <cfRule type="expression" dxfId="521" priority="66">
      <formula>IF($Y17&gt;$Y14,AND(MID($A15,5,1)="D"))</formula>
    </cfRule>
  </conditionalFormatting>
  <conditionalFormatting sqref="A16 A20">
    <cfRule type="expression" dxfId="520" priority="67">
      <formula>$V32&lt;&gt;0</formula>
    </cfRule>
    <cfRule type="expression" dxfId="519" priority="68">
      <formula>IF($Y17&gt;$Y14,AND(MID($A16,5,1)=" "))</formula>
    </cfRule>
    <cfRule type="expression" dxfId="518" priority="69">
      <formula>IF($Y17&gt;$Y14,AND(MID($A16,5,1)="C"))</formula>
    </cfRule>
    <cfRule type="expression" dxfId="517" priority="70">
      <formula>IF($Y17&gt;$Y14,AND(MID($A16,5,1)="D"))</formula>
    </cfRule>
  </conditionalFormatting>
  <conditionalFormatting sqref="D27">
    <cfRule type="expression" dxfId="516" priority="32">
      <formula>E27&gt;B27</formula>
    </cfRule>
  </conditionalFormatting>
  <conditionalFormatting sqref="E27">
    <cfRule type="cellIs" dxfId="515" priority="27" operator="greaterThan">
      <formula>B27</formula>
    </cfRule>
  </conditionalFormatting>
  <conditionalFormatting sqref="A26:A27">
    <cfRule type="expression" dxfId="514" priority="24">
      <formula>V26&lt;&gt;0</formula>
    </cfRule>
  </conditionalFormatting>
  <conditionalFormatting sqref="A28:A29">
    <cfRule type="expression" dxfId="513" priority="23">
      <formula>V28&lt;&gt;0</formula>
    </cfRule>
  </conditionalFormatting>
  <conditionalFormatting sqref="B28:B29">
    <cfRule type="cellIs" dxfId="512" priority="20" operator="greaterThan">
      <formula>E28</formula>
    </cfRule>
  </conditionalFormatting>
  <conditionalFormatting sqref="E28">
    <cfRule type="cellIs" dxfId="511" priority="19" operator="greaterThan">
      <formula>B28</formula>
    </cfRule>
  </conditionalFormatting>
  <conditionalFormatting sqref="D28">
    <cfRule type="expression" dxfId="510" priority="18">
      <formula>E28&gt;B28</formula>
    </cfRule>
  </conditionalFormatting>
  <conditionalFormatting sqref="C28">
    <cfRule type="expression" dxfId="509" priority="17">
      <formula>B28&gt;E28</formula>
    </cfRule>
  </conditionalFormatting>
  <conditionalFormatting sqref="D29">
    <cfRule type="expression" dxfId="508" priority="16">
      <formula>E29&gt;B29</formula>
    </cfRule>
  </conditionalFormatting>
  <conditionalFormatting sqref="E29">
    <cfRule type="cellIs" dxfId="507" priority="15" operator="greaterThan">
      <formula>B29</formula>
    </cfRule>
  </conditionalFormatting>
  <conditionalFormatting sqref="B22:B23">
    <cfRule type="cellIs" dxfId="506" priority="14" operator="greaterThan">
      <formula>E22</formula>
    </cfRule>
  </conditionalFormatting>
  <conditionalFormatting sqref="E22">
    <cfRule type="cellIs" dxfId="505" priority="13" operator="greaterThan">
      <formula>B22</formula>
    </cfRule>
  </conditionalFormatting>
  <conditionalFormatting sqref="D22">
    <cfRule type="expression" dxfId="504" priority="12">
      <formula>E22&gt;B22</formula>
    </cfRule>
  </conditionalFormatting>
  <conditionalFormatting sqref="C22">
    <cfRule type="expression" dxfId="503" priority="11">
      <formula>B22&gt;E22</formula>
    </cfRule>
  </conditionalFormatting>
  <conditionalFormatting sqref="D23">
    <cfRule type="expression" dxfId="502" priority="10">
      <formula>E23&gt;B23</formula>
    </cfRule>
  </conditionalFormatting>
  <conditionalFormatting sqref="E23">
    <cfRule type="cellIs" dxfId="501" priority="9" operator="greaterThan">
      <formula>B23</formula>
    </cfRule>
  </conditionalFormatting>
  <conditionalFormatting sqref="A22:A23">
    <cfRule type="expression" dxfId="500" priority="8">
      <formula>V22&lt;&gt;0</formula>
    </cfRule>
  </conditionalFormatting>
  <conditionalFormatting sqref="A24:A25">
    <cfRule type="expression" dxfId="499" priority="7">
      <formula>V24&lt;&gt;0</formula>
    </cfRule>
  </conditionalFormatting>
  <conditionalFormatting sqref="B24:B25">
    <cfRule type="cellIs" dxfId="498" priority="6" operator="greaterThan">
      <formula>E24</formula>
    </cfRule>
  </conditionalFormatting>
  <conditionalFormatting sqref="E24">
    <cfRule type="cellIs" dxfId="497" priority="5" operator="greaterThan">
      <formula>B24</formula>
    </cfRule>
  </conditionalFormatting>
  <conditionalFormatting sqref="D24">
    <cfRule type="expression" dxfId="496" priority="4">
      <formula>E24&gt;B24</formula>
    </cfRule>
  </conditionalFormatting>
  <conditionalFormatting sqref="C24">
    <cfRule type="expression" dxfId="495" priority="3">
      <formula>B24&gt;E24</formula>
    </cfRule>
  </conditionalFormatting>
  <conditionalFormatting sqref="D25">
    <cfRule type="expression" dxfId="494" priority="2">
      <formula>E25&gt;B25</formula>
    </cfRule>
  </conditionalFormatting>
  <conditionalFormatting sqref="E25">
    <cfRule type="cellIs" dxfId="493" priority="1" operator="greaterThan">
      <formula>B25</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S8" sqref="S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91" t="s">
        <v>355</v>
      </c>
      <c r="X2" s="592" t="s">
        <v>356</v>
      </c>
      <c r="Y2" s="591" t="s">
        <v>357</v>
      </c>
      <c r="Z2" s="263" t="s">
        <v>620</v>
      </c>
      <c r="AA2" s="611" t="s">
        <v>358</v>
      </c>
      <c r="AB2" s="610" t="s">
        <v>359</v>
      </c>
      <c r="AC2" s="233" t="s">
        <v>340</v>
      </c>
      <c r="AD2" s="234" t="s">
        <v>341</v>
      </c>
      <c r="AE2" s="233" t="s">
        <v>360</v>
      </c>
      <c r="AF2" s="233"/>
      <c r="AG2" s="233" t="s">
        <v>354</v>
      </c>
      <c r="AH2" s="263" t="s">
        <v>620</v>
      </c>
      <c r="AI2" s="591" t="s">
        <v>355</v>
      </c>
      <c r="AJ2" s="592" t="s">
        <v>356</v>
      </c>
      <c r="AK2" s="591"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52" t="s">
        <v>401</v>
      </c>
      <c r="B3" s="204"/>
      <c r="C3" s="201"/>
      <c r="D3" s="564"/>
      <c r="E3" s="565">
        <f t="shared" ref="E3:E72" si="0">+B3*D3*-100</f>
        <v>0</v>
      </c>
      <c r="F3" s="566">
        <f t="shared" ref="F3:F34" si="1">IF(B3&gt;0,+B3*D3*(1+($N$53+0.002)*1.21)*-100,B3*D3*(1-($N$53+0.002)*1.21)*-100)</f>
        <v>0</v>
      </c>
      <c r="G3" s="203" t="str">
        <f t="shared" ref="G3:G37" si="2">IFERROR(VLOOKUP(C3,$R$3:$AA$50,7,0),"")</f>
        <v/>
      </c>
      <c r="H3" s="570">
        <f>IFERROR(+G3*B3*-100,0)</f>
        <v>0</v>
      </c>
      <c r="I3" s="571">
        <f t="shared" ref="I3:I72" si="3">+IF(G3="",0,(F3-H3))</f>
        <v>0</v>
      </c>
      <c r="J3" s="62"/>
      <c r="K3" s="106"/>
      <c r="L3" s="216">
        <f t="shared" ref="L3:L17" si="4">+L4*(1-$N$42)</f>
        <v>1129.9673103596376</v>
      </c>
      <c r="M3" s="593">
        <f t="shared" ref="M3:M34" si="5">ET3</f>
        <v>0</v>
      </c>
      <c r="N3" s="593">
        <f t="shared" ref="N3:N34" ca="1" si="6">GK3</f>
        <v>0</v>
      </c>
      <c r="O3" s="62"/>
      <c r="P3" s="199">
        <f>IF(R3="","-",ABS(R3-$L$18))</f>
        <v>39</v>
      </c>
      <c r="Q3" s="562">
        <f t="shared" ref="Q3:Q17" si="7">SUMIFS(B$3:B$37,C$3:C$37,R3)</f>
        <v>0</v>
      </c>
      <c r="R3" s="561">
        <v>2400</v>
      </c>
      <c r="S3" s="555">
        <f ca="1">IFERROR((NORMSDIST(((LN($L$18/$R3)+($N$48+($N$46^2)/2)*$N$51)/($N$46*SQRT($N$51))))*$L$18-NORMSDIST((((LN($L$18/$R3)+($N$48+($N$46^2)/2)*$N$51)/($N$46*SQRT($N$51)))-$N$46*SQRT(($N$51))))*$R3*EXP(-$N$48*$N$51)),0)</f>
        <v>292.39467168713577</v>
      </c>
      <c r="T3" s="397"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7"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5">
        <f>IFERROR(VLOOKUP($U3,HomeBroker!$A$18:$F$121,2,0),0)</f>
        <v>6</v>
      </c>
      <c r="W3" s="558">
        <f>IFERROR(VLOOKUP($U3,HomeBroker!$A$18:$F$121,3,0),0)</f>
        <v>301</v>
      </c>
      <c r="X3" s="607">
        <f>IFERROR(VLOOKUP($U3,HomeBroker!$A$18:$F$121,6,0),0)</f>
        <v>310</v>
      </c>
      <c r="Y3" s="557">
        <f>IFERROR(VLOOKUP($U3,HomeBroker!$A$18:$F$121,4,0),0)</f>
        <v>313</v>
      </c>
      <c r="Z3" s="395">
        <f>IFERROR(VLOOKUP($U3,HomeBroker!$A$18:$F$121,5,0),0)</f>
        <v>107</v>
      </c>
      <c r="AA3" s="398">
        <f>IFERROR(VLOOKUP($U3,HomeBroker!$A$18:$N$121,13,0),0)</f>
        <v>2974</v>
      </c>
      <c r="AB3" s="200">
        <f>IF(AD3="","-",AD3-$L$18)</f>
        <v>-1089</v>
      </c>
      <c r="AC3" s="563">
        <f t="shared" ref="AC3:AC17" si="9">SUMIFS(B$38:B$72,C$38:C$72,AD3)</f>
        <v>0</v>
      </c>
      <c r="AD3" s="561">
        <v>1350</v>
      </c>
      <c r="AE3" s="556">
        <f ca="1">IFERROR((NORMSDIST(-(((LN($L$18/$AD3)+($N$48+($N$47^2)/2)*$N$51)/($N$47*SQRT($N$51)))-$N$47*SQRT($N$51)))*$AD3*EXP(-$N$48*$N$51)-NORMSDIST(-((LN($L$18/$AD3)+($N$48+($N$47^2)/2)*$N$51)/($N$47*SQRT($N$51))))*$L$18),0)</f>
        <v>0.18874934586697778</v>
      </c>
      <c r="AF3" s="397"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7"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2">
        <f>IFERROR(VLOOKUP($AG3,HomeBroker!$A$18:$F$121,2,0),0)</f>
        <v>200</v>
      </c>
      <c r="AI3" s="558">
        <f>IFERROR(VLOOKUP($AG3,HomeBroker!$A$18:$F$121,3,0),0)</f>
        <v>0.35</v>
      </c>
      <c r="AJ3" s="607">
        <f>IFERROR(VLOOKUP($AG3,HomeBroker!$A$18:$F$121,6,0),0)</f>
        <v>0.32</v>
      </c>
      <c r="AK3" s="558">
        <f>IFERROR(VLOOKUP($AG3,HomeBroker!$A$18:$F$121,4,0),0)</f>
        <v>0.55000000000000004</v>
      </c>
      <c r="AL3" s="502">
        <f>IFERROR(VLOOKUP($AG3,HomeBroker!$A$18:$F$121,5,0),0)</f>
        <v>35</v>
      </c>
      <c r="AM3" s="559">
        <f>IFERROR(VLOOKUP($AG3,HomeBroker!$A$18:$N$121,13,0),0)</f>
        <v>6</v>
      </c>
      <c r="AN3" s="62"/>
      <c r="AO3" s="199">
        <f>IF(OR(R3="",X3=0,AJ3=0),"-",R3+X3-AJ3-$L$18)</f>
        <v>270.67999999999984</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1129.9673103596376</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0</v>
      </c>
      <c r="ES3" s="122"/>
      <c r="ET3" s="123">
        <f t="shared" ref="ET3:ET34" si="54">ROUND($ER$3+EP3+ET36+ET70+ET103,2)</f>
        <v>0</v>
      </c>
      <c r="EU3" s="72"/>
      <c r="EV3" s="117">
        <f t="shared" ref="EV3:EV34" si="55">$L3</f>
        <v>1129.9673103596376</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0</v>
      </c>
      <c r="GJ3" s="122"/>
      <c r="GK3" s="123">
        <f t="shared" ref="GK3:GK34" ca="1" si="57">ROUND($GI$3+GG3+GK36+GK70+GK103,2)</f>
        <v>0</v>
      </c>
    </row>
    <row r="4" spans="1:193" ht="15">
      <c r="A4" s="552" t="s">
        <v>401</v>
      </c>
      <c r="B4" s="204"/>
      <c r="C4" s="201"/>
      <c r="D4" s="564"/>
      <c r="E4" s="565">
        <f t="shared" si="0"/>
        <v>0</v>
      </c>
      <c r="F4" s="566">
        <f t="shared" si="1"/>
        <v>0</v>
      </c>
      <c r="G4" s="203" t="str">
        <f t="shared" si="2"/>
        <v/>
      </c>
      <c r="H4" s="570">
        <f t="shared" ref="H4:H67" si="58">IFERROR(+G4*B4*-100,0)</f>
        <v>0</v>
      </c>
      <c r="I4" s="571">
        <f t="shared" si="3"/>
        <v>0</v>
      </c>
      <c r="J4" s="62"/>
      <c r="K4" s="106"/>
      <c r="L4" s="217">
        <f t="shared" si="4"/>
        <v>1189.4392740627766</v>
      </c>
      <c r="M4" s="594">
        <f t="shared" si="5"/>
        <v>0</v>
      </c>
      <c r="N4" s="594">
        <f t="shared" ca="1" si="6"/>
        <v>0</v>
      </c>
      <c r="O4" s="62"/>
      <c r="P4" s="199">
        <f t="shared" ref="P4:P17" si="59">IF(R4="","-",ABS(R4-$L$18))</f>
        <v>61</v>
      </c>
      <c r="Q4" s="562">
        <f t="shared" si="7"/>
        <v>0</v>
      </c>
      <c r="R4" s="561">
        <v>2500</v>
      </c>
      <c r="S4" s="555">
        <f t="shared" ref="S4:S42" ca="1" si="60">IFERROR((NORMSDIST(((LN($L$18/$R4)+($N$48+($N$46^2)/2)*$N$51)/($N$46*SQRT($N$51))))*$L$18-NORMSDIST((((LN($L$18/$R4)+($N$48+($N$46^2)/2)*$N$51)/($N$46*SQRT($N$51)))-$N$46*SQRT(($N$51))))*$R4*EXP(-$N$48*$N$51)),0)</f>
        <v>235.87112316050411</v>
      </c>
      <c r="T4" s="397"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7"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5">
        <f>IFERROR(VLOOKUP($U4,HomeBroker!$A$18:$F$121,2,0),0)</f>
        <v>2</v>
      </c>
      <c r="W4" s="558">
        <f>IFERROR(VLOOKUP($U4,HomeBroker!$A$18:$F$121,3,0),0)</f>
        <v>242.566</v>
      </c>
      <c r="X4" s="607">
        <f>IFERROR(VLOOKUP($U4,HomeBroker!$A$18:$F$121,6,0),0)</f>
        <v>248</v>
      </c>
      <c r="Y4" s="557">
        <f>IFERROR(VLOOKUP($U4,HomeBroker!$A$18:$F$121,4,0),0)</f>
        <v>249</v>
      </c>
      <c r="Z4" s="395">
        <f>IFERROR(VLOOKUP($U4,HomeBroker!$A$18:$F$121,5,0),0)</f>
        <v>2</v>
      </c>
      <c r="AA4" s="398">
        <f>IFERROR(VLOOKUP($U4,HomeBroker!$A$18:$N$121,13,0),0)</f>
        <v>9890</v>
      </c>
      <c r="AB4" s="200">
        <f t="shared" ref="AB4:AB17" si="63">IF(AD4="","-",AD4-$L$18)</f>
        <v>-989</v>
      </c>
      <c r="AC4" s="563">
        <f t="shared" si="9"/>
        <v>0</v>
      </c>
      <c r="AD4" s="561">
        <v>1450</v>
      </c>
      <c r="AE4" s="556">
        <f t="shared" ref="AE4:AE42" ca="1" si="64">IFERROR((NORMSDIST(-(((LN($L$18/$AD4)+($N$48+($N$47^2)/2)*$N$51)/($N$47*SQRT($N$51)))-$N$47*SQRT($N$51)))*$AD4*EXP(-$N$48*$N$51)-NORMSDIST(-((LN($L$18/$AD4)+($N$48+($N$47^2)/2)*$N$51)/($N$47*SQRT($N$51))))*$L$18),0)</f>
        <v>0.56235263746525899</v>
      </c>
      <c r="AF4" s="397"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7"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2">
        <f>IFERROR(VLOOKUP($AG4,HomeBroker!$A$18:$F$121,2,0),0)</f>
        <v>200</v>
      </c>
      <c r="AI4" s="558">
        <f>IFERROR(VLOOKUP($AG4,HomeBroker!$A$18:$F$121,3,0),0)</f>
        <v>0.52</v>
      </c>
      <c r="AJ4" s="607">
        <f>IFERROR(VLOOKUP($AG4,HomeBroker!$A$18:$F$121,6,0),0)</f>
        <v>0.7</v>
      </c>
      <c r="AK4" s="558">
        <f>IFERROR(VLOOKUP($AG4,HomeBroker!$A$18:$F$121,4,0),0)</f>
        <v>0.7</v>
      </c>
      <c r="AL4" s="502">
        <f>IFERROR(VLOOKUP($AG4,HomeBroker!$A$18:$F$121,5,0),0)</f>
        <v>10</v>
      </c>
      <c r="AM4" s="560">
        <f>IFERROR(VLOOKUP($AG4,HomeBroker!$A$18:$N$121,13,0),0)</f>
        <v>169</v>
      </c>
      <c r="AN4" s="62"/>
      <c r="AO4" s="199">
        <f t="shared" ref="AO4:AO42" si="67">IF(OR(R4="",X4=0,AJ4=0),"-",R4+X4-AJ4-$L$18)</f>
        <v>308.30000000000018</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1189.4392740627766</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0</v>
      </c>
      <c r="EU4" s="72"/>
      <c r="EV4" s="117">
        <f t="shared" si="55"/>
        <v>1189.4392740627766</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0</v>
      </c>
    </row>
    <row r="5" spans="1:193" ht="15">
      <c r="A5" s="552" t="s">
        <v>401</v>
      </c>
      <c r="B5" s="204"/>
      <c r="C5" s="201"/>
      <c r="D5" s="564"/>
      <c r="E5" s="565">
        <f t="shared" si="0"/>
        <v>0</v>
      </c>
      <c r="F5" s="566">
        <f t="shared" si="1"/>
        <v>0</v>
      </c>
      <c r="G5" s="203" t="str">
        <f t="shared" si="2"/>
        <v/>
      </c>
      <c r="H5" s="570">
        <f t="shared" si="58"/>
        <v>0</v>
      </c>
      <c r="I5" s="571">
        <f t="shared" si="3"/>
        <v>0</v>
      </c>
      <c r="J5" s="62"/>
      <c r="K5" s="106"/>
      <c r="L5" s="217">
        <f t="shared" si="4"/>
        <v>1252.0413411187124</v>
      </c>
      <c r="M5" s="594">
        <f t="shared" si="5"/>
        <v>0</v>
      </c>
      <c r="N5" s="594">
        <f t="shared" ca="1" si="6"/>
        <v>0</v>
      </c>
      <c r="O5" s="62"/>
      <c r="P5" s="199">
        <f t="shared" si="59"/>
        <v>161</v>
      </c>
      <c r="Q5" s="562">
        <f t="shared" si="7"/>
        <v>0</v>
      </c>
      <c r="R5" s="561">
        <v>2600</v>
      </c>
      <c r="S5" s="555">
        <f t="shared" ca="1" si="60"/>
        <v>187.28957248090023</v>
      </c>
      <c r="T5" s="397" t="str">
        <f t="shared" si="61"/>
        <v>MERV - XMEV - GFGC2600AB - 24hs</v>
      </c>
      <c r="U5" s="397" t="str">
        <f t="shared" si="62"/>
        <v>GFGC2600AB</v>
      </c>
      <c r="V5" s="395">
        <f>IFERROR(VLOOKUP($U5,HomeBroker!$A$18:$F$121,2,0),0)</f>
        <v>2</v>
      </c>
      <c r="W5" s="558">
        <f>IFERROR(VLOOKUP($U5,HomeBroker!$A$18:$F$121,3,0),0)</f>
        <v>195.166</v>
      </c>
      <c r="X5" s="607">
        <f>IFERROR(VLOOKUP($U5,HomeBroker!$A$18:$F$121,6,0),0)</f>
        <v>195</v>
      </c>
      <c r="Y5" s="557">
        <f>IFERROR(VLOOKUP($U5,HomeBroker!$A$18:$F$121,4,0),0)</f>
        <v>198</v>
      </c>
      <c r="Z5" s="395">
        <f>IFERROR(VLOOKUP($U5,HomeBroker!$A$18:$F$121,5,0),0)</f>
        <v>12</v>
      </c>
      <c r="AA5" s="398">
        <f>IFERROR(VLOOKUP($U5,HomeBroker!$A$18:$N$121,13,0),0)</f>
        <v>3507</v>
      </c>
      <c r="AB5" s="200">
        <f t="shared" si="63"/>
        <v>-799</v>
      </c>
      <c r="AC5" s="563">
        <f t="shared" si="9"/>
        <v>0</v>
      </c>
      <c r="AD5" s="561">
        <v>1640</v>
      </c>
      <c r="AE5" s="556">
        <f t="shared" ca="1" si="64"/>
        <v>3.0177871621009373</v>
      </c>
      <c r="AF5" s="397" t="str">
        <f t="shared" si="65"/>
        <v>MERV - XMEV - GFGV1640AB - 24hs</v>
      </c>
      <c r="AG5" s="397" t="str">
        <f t="shared" si="66"/>
        <v>GFGV1640AB</v>
      </c>
      <c r="AH5" s="502">
        <f>IFERROR(VLOOKUP($AG5,HomeBroker!$A$18:$F$121,2,0),0)</f>
        <v>6</v>
      </c>
      <c r="AI5" s="558">
        <f>IFERROR(VLOOKUP($AG5,HomeBroker!$A$18:$F$121,3,0),0)</f>
        <v>1.31</v>
      </c>
      <c r="AJ5" s="607">
        <f>IFERROR(VLOOKUP($AG5,HomeBroker!$A$18:$F$121,6,0),0)</f>
        <v>1.579</v>
      </c>
      <c r="AK5" s="558">
        <f>IFERROR(VLOOKUP($AG5,HomeBroker!$A$18:$F$121,4,0),0)</f>
        <v>1.55</v>
      </c>
      <c r="AL5" s="502">
        <f>IFERROR(VLOOKUP($AG5,HomeBroker!$A$18:$F$121,5,0),0)</f>
        <v>6</v>
      </c>
      <c r="AM5" s="560">
        <f>IFERROR(VLOOKUP($AG5,HomeBroker!$A$18:$N$121,13,0),0)</f>
        <v>691</v>
      </c>
      <c r="AN5" s="62"/>
      <c r="AO5" s="199">
        <f t="shared" si="67"/>
        <v>354.42099999999982</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1252.0413411187124</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0</v>
      </c>
      <c r="EU5" s="72"/>
      <c r="EV5" s="117">
        <f t="shared" si="55"/>
        <v>1252.0413411187124</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0</v>
      </c>
    </row>
    <row r="6" spans="1:193" ht="15">
      <c r="A6" s="552" t="s">
        <v>401</v>
      </c>
      <c r="B6" s="204"/>
      <c r="C6" s="201"/>
      <c r="D6" s="564"/>
      <c r="E6" s="565">
        <f t="shared" si="0"/>
        <v>0</v>
      </c>
      <c r="F6" s="566">
        <f t="shared" si="1"/>
        <v>0</v>
      </c>
      <c r="G6" s="203" t="str">
        <f t="shared" si="2"/>
        <v/>
      </c>
      <c r="H6" s="570">
        <f t="shared" si="58"/>
        <v>0</v>
      </c>
      <c r="I6" s="571">
        <f t="shared" si="3"/>
        <v>0</v>
      </c>
      <c r="J6" s="62"/>
      <c r="K6" s="106"/>
      <c r="L6" s="217">
        <f t="shared" si="4"/>
        <v>1317.9382538091709</v>
      </c>
      <c r="M6" s="595">
        <f t="shared" si="5"/>
        <v>0</v>
      </c>
      <c r="N6" s="595">
        <f t="shared" ca="1" si="6"/>
        <v>0</v>
      </c>
      <c r="O6" s="62"/>
      <c r="P6" s="199">
        <f t="shared" si="59"/>
        <v>261</v>
      </c>
      <c r="Q6" s="562">
        <f t="shared" si="7"/>
        <v>0</v>
      </c>
      <c r="R6" s="561">
        <v>2700</v>
      </c>
      <c r="S6" s="555">
        <f t="shared" ca="1" si="60"/>
        <v>146.44025114675776</v>
      </c>
      <c r="T6" s="397" t="str">
        <f t="shared" si="61"/>
        <v>MERV - XMEV - GFGC2700AB - 24hs</v>
      </c>
      <c r="U6" s="397" t="str">
        <f t="shared" si="62"/>
        <v>GFGC2700AB</v>
      </c>
      <c r="V6" s="395">
        <f>IFERROR(VLOOKUP($U6,HomeBroker!$A$18:$F$121,2,0),0)</f>
        <v>2</v>
      </c>
      <c r="W6" s="558">
        <f>IFERROR(VLOOKUP($U6,HomeBroker!$A$18:$F$121,3,0),0)</f>
        <v>152.833</v>
      </c>
      <c r="X6" s="607">
        <f>IFERROR(VLOOKUP($U6,HomeBroker!$A$18:$F$121,6,0),0)</f>
        <v>156.166</v>
      </c>
      <c r="Y6" s="557">
        <f>IFERROR(VLOOKUP($U6,HomeBroker!$A$18:$F$121,4,0),0)</f>
        <v>156.999</v>
      </c>
      <c r="Z6" s="395">
        <f>IFERROR(VLOOKUP($U6,HomeBroker!$A$18:$F$121,5,0),0)</f>
        <v>1</v>
      </c>
      <c r="AA6" s="398">
        <f>IFERROR(VLOOKUP($U6,HomeBroker!$A$18:$N$121,13,0),0)</f>
        <v>3937</v>
      </c>
      <c r="AB6" s="200">
        <f t="shared" si="63"/>
        <v>-729</v>
      </c>
      <c r="AC6" s="563">
        <f t="shared" si="9"/>
        <v>0</v>
      </c>
      <c r="AD6" s="561">
        <v>1710</v>
      </c>
      <c r="AE6" s="556">
        <f t="shared" ca="1" si="64"/>
        <v>5.0456003205430733</v>
      </c>
      <c r="AF6" s="397" t="str">
        <f t="shared" si="65"/>
        <v>MERV - XMEV - GFGV1710AB - 24hs</v>
      </c>
      <c r="AG6" s="397" t="str">
        <f t="shared" si="66"/>
        <v>GFGV1710AB</v>
      </c>
      <c r="AH6" s="502">
        <f>IFERROR(VLOOKUP($AG6,HomeBroker!$A$18:$F$121,2,0),0)</f>
        <v>8</v>
      </c>
      <c r="AI6" s="558">
        <f>IFERROR(VLOOKUP($AG6,HomeBroker!$A$18:$F$121,3,0),0)</f>
        <v>1.74</v>
      </c>
      <c r="AJ6" s="607">
        <f>IFERROR(VLOOKUP($AG6,HomeBroker!$A$18:$F$121,6,0),0)</f>
        <v>1.7310000000000001</v>
      </c>
      <c r="AK6" s="558">
        <f>IFERROR(VLOOKUP($AG6,HomeBroker!$A$18:$F$121,4,0),0)</f>
        <v>1.915</v>
      </c>
      <c r="AL6" s="502">
        <f>IFERROR(VLOOKUP($AG6,HomeBroker!$A$18:$F$121,5,0),0)</f>
        <v>4</v>
      </c>
      <c r="AM6" s="560">
        <f>IFERROR(VLOOKUP($AG6,HomeBroker!$A$18:$N$121,13,0),0)</f>
        <v>2271</v>
      </c>
      <c r="AN6" s="62"/>
      <c r="AO6" s="199">
        <f t="shared" si="67"/>
        <v>415.43499999999995</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1317.9382538091709</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0</v>
      </c>
      <c r="EU6" s="72"/>
      <c r="EV6" s="117">
        <f t="shared" si="55"/>
        <v>1317.9382538091709</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0</v>
      </c>
    </row>
    <row r="7" spans="1:193" ht="15">
      <c r="A7" s="552" t="s">
        <v>401</v>
      </c>
      <c r="B7" s="204"/>
      <c r="C7" s="201"/>
      <c r="D7" s="564"/>
      <c r="E7" s="565">
        <f t="shared" si="0"/>
        <v>0</v>
      </c>
      <c r="F7" s="566">
        <f t="shared" si="1"/>
        <v>0</v>
      </c>
      <c r="G7" s="203" t="str">
        <f t="shared" si="2"/>
        <v/>
      </c>
      <c r="H7" s="570">
        <f t="shared" si="58"/>
        <v>0</v>
      </c>
      <c r="I7" s="571">
        <f t="shared" si="3"/>
        <v>0</v>
      </c>
      <c r="J7" s="62"/>
      <c r="K7" s="106">
        <f>IFERROR(-1+(L7/$L$18),"")</f>
        <v>-0.43119990772354033</v>
      </c>
      <c r="L7" s="217">
        <f t="shared" si="4"/>
        <v>1387.3034250622852</v>
      </c>
      <c r="M7" s="594">
        <f t="shared" si="5"/>
        <v>0</v>
      </c>
      <c r="N7" s="594">
        <f t="shared" ca="1" si="6"/>
        <v>0</v>
      </c>
      <c r="O7" s="62"/>
      <c r="P7" s="199">
        <f t="shared" si="59"/>
        <v>361</v>
      </c>
      <c r="Q7" s="562">
        <f t="shared" si="7"/>
        <v>0</v>
      </c>
      <c r="R7" s="561">
        <v>2800</v>
      </c>
      <c r="S7" s="555">
        <f t="shared" ca="1" si="60"/>
        <v>112.81144153221157</v>
      </c>
      <c r="T7" s="397" t="str">
        <f t="shared" si="61"/>
        <v>MERV - XMEV - GFGC2800AB - 24hs</v>
      </c>
      <c r="U7" s="397" t="str">
        <f t="shared" si="62"/>
        <v>GFGC2800AB</v>
      </c>
      <c r="V7" s="395">
        <f>IFERROR(VLOOKUP($U7,HomeBroker!$A$18:$F$121,2,0),0)</f>
        <v>3</v>
      </c>
      <c r="W7" s="558">
        <f>IFERROR(VLOOKUP($U7,HomeBroker!$A$18:$F$121,3,0),0)</f>
        <v>120.001</v>
      </c>
      <c r="X7" s="607">
        <f>IFERROR(VLOOKUP($U7,HomeBroker!$A$18:$F$121,6,0),0)</f>
        <v>122.27800000000001</v>
      </c>
      <c r="Y7" s="557">
        <f>IFERROR(VLOOKUP($U7,HomeBroker!$A$18:$F$121,4,0),0)</f>
        <v>122.9</v>
      </c>
      <c r="Z7" s="395">
        <f>IFERROR(VLOOKUP($U7,HomeBroker!$A$18:$F$121,5,0),0)</f>
        <v>2</v>
      </c>
      <c r="AA7" s="398">
        <f>IFERROR(VLOOKUP($U7,HomeBroker!$A$18:$N$121,13,0),0)</f>
        <v>5039</v>
      </c>
      <c r="AB7" s="200">
        <f t="shared" si="63"/>
        <v>-579</v>
      </c>
      <c r="AC7" s="563">
        <f t="shared" si="9"/>
        <v>0</v>
      </c>
      <c r="AD7" s="561">
        <v>1860</v>
      </c>
      <c r="AE7" s="556">
        <f t="shared" ca="1" si="64"/>
        <v>13.051737491291632</v>
      </c>
      <c r="AF7" s="397" t="str">
        <f t="shared" si="65"/>
        <v>MERV - XMEV - GFGV1860AB - 24hs</v>
      </c>
      <c r="AG7" s="397" t="str">
        <f t="shared" si="66"/>
        <v>GFGV1860AB</v>
      </c>
      <c r="AH7" s="502">
        <f>IFERROR(VLOOKUP($AG7,HomeBroker!$A$18:$F$121,2,0),0)</f>
        <v>10</v>
      </c>
      <c r="AI7" s="558">
        <f>IFERROR(VLOOKUP($AG7,HomeBroker!$A$18:$F$121,3,0),0)</f>
        <v>3.4</v>
      </c>
      <c r="AJ7" s="607">
        <f>IFERROR(VLOOKUP($AG7,HomeBroker!$A$18:$F$121,6,0),0)</f>
        <v>3.8</v>
      </c>
      <c r="AK7" s="558">
        <f>IFERROR(VLOOKUP($AG7,HomeBroker!$A$18:$F$121,4,0),0)</f>
        <v>3.9</v>
      </c>
      <c r="AL7" s="502">
        <f>IFERROR(VLOOKUP($AG7,HomeBroker!$A$18:$F$121,5,0),0)</f>
        <v>3</v>
      </c>
      <c r="AM7" s="560">
        <f>IFERROR(VLOOKUP($AG7,HomeBroker!$A$18:$N$121,13,0),0)</f>
        <v>2148</v>
      </c>
      <c r="AN7" s="62"/>
      <c r="AO7" s="199">
        <f t="shared" si="67"/>
        <v>479.47799999999961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1387.3034250622852</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0</v>
      </c>
      <c r="EU7" s="72"/>
      <c r="EV7" s="117">
        <f t="shared" si="55"/>
        <v>1387.3034250622852</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0</v>
      </c>
    </row>
    <row r="8" spans="1:193" ht="15">
      <c r="A8" s="552" t="s">
        <v>401</v>
      </c>
      <c r="B8" s="204"/>
      <c r="C8" s="201"/>
      <c r="D8" s="564"/>
      <c r="E8" s="565">
        <f t="shared" si="0"/>
        <v>0</v>
      </c>
      <c r="F8" s="566">
        <f t="shared" si="1"/>
        <v>0</v>
      </c>
      <c r="G8" s="203" t="str">
        <f t="shared" si="2"/>
        <v/>
      </c>
      <c r="H8" s="570">
        <f t="shared" si="58"/>
        <v>0</v>
      </c>
      <c r="I8" s="571">
        <f t="shared" si="3"/>
        <v>0</v>
      </c>
      <c r="J8" s="62"/>
      <c r="K8" s="531"/>
      <c r="L8" s="218">
        <f t="shared" si="4"/>
        <v>1460.3193948024057</v>
      </c>
      <c r="M8" s="594">
        <f t="shared" si="5"/>
        <v>0</v>
      </c>
      <c r="N8" s="594">
        <f t="shared" ca="1" si="6"/>
        <v>0</v>
      </c>
      <c r="O8" s="62"/>
      <c r="P8" s="199">
        <f t="shared" si="59"/>
        <v>461</v>
      </c>
      <c r="Q8" s="562">
        <f t="shared" si="7"/>
        <v>0</v>
      </c>
      <c r="R8" s="561">
        <v>2900</v>
      </c>
      <c r="S8" s="555">
        <f t="shared" ca="1" si="60"/>
        <v>85.679095728737025</v>
      </c>
      <c r="T8" s="397" t="str">
        <f t="shared" si="61"/>
        <v>MERV - XMEV - GFGC2900AB - 24hs</v>
      </c>
      <c r="U8" s="397" t="str">
        <f t="shared" si="62"/>
        <v>GFGC2900AB</v>
      </c>
      <c r="V8" s="395">
        <f>IFERROR(VLOOKUP($U8,HomeBroker!$A$18:$F$121,2,0),0)</f>
        <v>2</v>
      </c>
      <c r="W8" s="558">
        <f>IFERROR(VLOOKUP($U8,HomeBroker!$A$18:$F$121,3,0),0)</f>
        <v>92.034000000000006</v>
      </c>
      <c r="X8" s="607">
        <f>IFERROR(VLOOKUP($U8,HomeBroker!$A$18:$F$121,6,0),0)</f>
        <v>94.004000000000005</v>
      </c>
      <c r="Y8" s="557">
        <f>IFERROR(VLOOKUP($U8,HomeBroker!$A$18:$F$121,4,0),0)</f>
        <v>95</v>
      </c>
      <c r="Z8" s="395">
        <f>IFERROR(VLOOKUP($U8,HomeBroker!$A$18:$F$121,5,0),0)</f>
        <v>5</v>
      </c>
      <c r="AA8" s="398">
        <f>IFERROR(VLOOKUP($U8,HomeBroker!$A$18:$N$121,13,0),0)</f>
        <v>5918</v>
      </c>
      <c r="AB8" s="200">
        <f t="shared" si="63"/>
        <v>-419</v>
      </c>
      <c r="AC8" s="563">
        <f t="shared" si="9"/>
        <v>0</v>
      </c>
      <c r="AD8" s="561">
        <v>2020</v>
      </c>
      <c r="AE8" s="556">
        <f t="shared" ca="1" si="64"/>
        <v>29.870373449379429</v>
      </c>
      <c r="AF8" s="397" t="str">
        <f t="shared" si="65"/>
        <v>MERV - XMEV - GFGV2020AB - 24hs</v>
      </c>
      <c r="AG8" s="397" t="str">
        <f t="shared" si="66"/>
        <v>GFGV2020AB</v>
      </c>
      <c r="AH8" s="502">
        <f>IFERROR(VLOOKUP($AG8,HomeBroker!$A$18:$F$121,2,0),0)</f>
        <v>50</v>
      </c>
      <c r="AI8" s="558">
        <f>IFERROR(VLOOKUP($AG8,HomeBroker!$A$18:$F$121,3,0),0)</f>
        <v>9.15</v>
      </c>
      <c r="AJ8" s="607">
        <f>IFERROR(VLOOKUP($AG8,HomeBroker!$A$18:$F$121,6,0),0)</f>
        <v>10.5</v>
      </c>
      <c r="AK8" s="558">
        <f>IFERROR(VLOOKUP($AG8,HomeBroker!$A$18:$F$121,4,0),0)</f>
        <v>11</v>
      </c>
      <c r="AL8" s="502">
        <f>IFERROR(VLOOKUP($AG8,HomeBroker!$A$18:$F$121,5,0),0)</f>
        <v>6</v>
      </c>
      <c r="AM8" s="560">
        <f>IFERROR(VLOOKUP($AG8,HomeBroker!$A$18:$N$121,13,0),0)</f>
        <v>3167</v>
      </c>
      <c r="AN8" s="62"/>
      <c r="AO8" s="199">
        <f t="shared" si="67"/>
        <v>544.50399999999991</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1460.3193948024057</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0</v>
      </c>
      <c r="EU8" s="72"/>
      <c r="EV8" s="117">
        <f t="shared" si="55"/>
        <v>1460.3193948024057</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0</v>
      </c>
    </row>
    <row r="9" spans="1:193" ht="15">
      <c r="A9" s="552" t="s">
        <v>401</v>
      </c>
      <c r="B9" s="204"/>
      <c r="C9" s="201"/>
      <c r="D9" s="564"/>
      <c r="E9" s="565">
        <f t="shared" si="0"/>
        <v>0</v>
      </c>
      <c r="F9" s="566">
        <f t="shared" si="1"/>
        <v>0</v>
      </c>
      <c r="G9" s="203" t="str">
        <f t="shared" si="2"/>
        <v/>
      </c>
      <c r="H9" s="570">
        <f t="shared" si="58"/>
        <v>0</v>
      </c>
      <c r="I9" s="571">
        <f t="shared" si="3"/>
        <v>0</v>
      </c>
      <c r="J9" s="62"/>
      <c r="K9" s="532"/>
      <c r="L9" s="218">
        <f t="shared" si="4"/>
        <v>1537.1783103183218</v>
      </c>
      <c r="M9" s="595">
        <f t="shared" si="5"/>
        <v>0</v>
      </c>
      <c r="N9" s="595">
        <f t="shared" ca="1" si="6"/>
        <v>0</v>
      </c>
      <c r="O9" s="62"/>
      <c r="P9" s="199">
        <f t="shared" si="59"/>
        <v>561</v>
      </c>
      <c r="Q9" s="562">
        <f t="shared" si="7"/>
        <v>0</v>
      </c>
      <c r="R9" s="561">
        <v>3000</v>
      </c>
      <c r="S9" s="555">
        <f t="shared" ca="1" si="60"/>
        <v>64.200581493277468</v>
      </c>
      <c r="T9" s="397" t="str">
        <f t="shared" si="61"/>
        <v>MERV - XMEV - GFGC3000AB - 24hs</v>
      </c>
      <c r="U9" s="397" t="str">
        <f t="shared" si="62"/>
        <v>GFGC3000AB</v>
      </c>
      <c r="V9" s="395">
        <f>IFERROR(VLOOKUP($U9,HomeBroker!$A$18:$F$121,2,0),0)</f>
        <v>2</v>
      </c>
      <c r="W9" s="558">
        <f>IFERROR(VLOOKUP($U9,HomeBroker!$A$18:$F$121,3,0),0)</f>
        <v>72</v>
      </c>
      <c r="X9" s="607">
        <f>IFERROR(VLOOKUP($U9,HomeBroker!$A$18:$F$121,6,0),0)</f>
        <v>72.400000000000006</v>
      </c>
      <c r="Y9" s="557">
        <f>IFERROR(VLOOKUP($U9,HomeBroker!$A$18:$F$121,4,0),0)</f>
        <v>72.400000000000006</v>
      </c>
      <c r="Z9" s="395">
        <f>IFERROR(VLOOKUP($U9,HomeBroker!$A$18:$F$121,5,0),0)</f>
        <v>8</v>
      </c>
      <c r="AA9" s="398">
        <f>IFERROR(VLOOKUP($U9,HomeBroker!$A$18:$N$121,13,0),0)</f>
        <v>52630</v>
      </c>
      <c r="AB9" s="200">
        <f t="shared" si="63"/>
        <v>-339</v>
      </c>
      <c r="AC9" s="563">
        <f t="shared" si="9"/>
        <v>0</v>
      </c>
      <c r="AD9" s="561">
        <v>2100</v>
      </c>
      <c r="AE9" s="556">
        <f t="shared" ca="1" si="64"/>
        <v>42.609607745330493</v>
      </c>
      <c r="AF9" s="397" t="str">
        <f t="shared" si="65"/>
        <v>MERV - XMEV - GFGV2100AB - 24hs</v>
      </c>
      <c r="AG9" s="397" t="str">
        <f t="shared" si="66"/>
        <v>GFGV2100AB</v>
      </c>
      <c r="AH9" s="502">
        <f>IFERROR(VLOOKUP($AG9,HomeBroker!$A$18:$F$121,2,0),0)</f>
        <v>4</v>
      </c>
      <c r="AI9" s="558">
        <f>IFERROR(VLOOKUP($AG9,HomeBroker!$A$18:$F$121,3,0),0)</f>
        <v>18.27</v>
      </c>
      <c r="AJ9" s="607">
        <f>IFERROR(VLOOKUP($AG9,HomeBroker!$A$18:$F$121,6,0),0)</f>
        <v>18.28</v>
      </c>
      <c r="AK9" s="558">
        <f>IFERROR(VLOOKUP($AG9,HomeBroker!$A$18:$F$121,4,0),0)</f>
        <v>18.28</v>
      </c>
      <c r="AL9" s="502">
        <f>IFERROR(VLOOKUP($AG9,HomeBroker!$A$18:$F$121,5,0),0)</f>
        <v>1</v>
      </c>
      <c r="AM9" s="560">
        <f>IFERROR(VLOOKUP($AG9,HomeBroker!$A$18:$N$121,13,0),0)</f>
        <v>6559</v>
      </c>
      <c r="AN9" s="62"/>
      <c r="AO9" s="199">
        <f t="shared" si="67"/>
        <v>615.11999999999989</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1537.1783103183218</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0</v>
      </c>
      <c r="EU9" s="72"/>
      <c r="EV9" s="117">
        <f t="shared" si="55"/>
        <v>1537.1783103183218</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0</v>
      </c>
    </row>
    <row r="10" spans="1:193" ht="15">
      <c r="A10" s="552" t="s">
        <v>401</v>
      </c>
      <c r="B10" s="204"/>
      <c r="C10" s="201"/>
      <c r="D10" s="564"/>
      <c r="E10" s="565">
        <f t="shared" si="0"/>
        <v>0</v>
      </c>
      <c r="F10" s="566">
        <f t="shared" si="1"/>
        <v>0</v>
      </c>
      <c r="G10" s="203" t="str">
        <f t="shared" si="2"/>
        <v/>
      </c>
      <c r="H10" s="570">
        <f t="shared" si="58"/>
        <v>0</v>
      </c>
      <c r="I10" s="571">
        <f t="shared" si="3"/>
        <v>0</v>
      </c>
      <c r="J10" s="62"/>
      <c r="K10" s="532"/>
      <c r="L10" s="218">
        <f t="shared" si="4"/>
        <v>1618.0824319140231</v>
      </c>
      <c r="M10" s="594">
        <f t="shared" si="5"/>
        <v>0</v>
      </c>
      <c r="N10" s="594">
        <f t="shared" ca="1" si="6"/>
        <v>0</v>
      </c>
      <c r="O10" s="62"/>
      <c r="P10" s="199">
        <f t="shared" si="59"/>
        <v>711</v>
      </c>
      <c r="Q10" s="562">
        <f t="shared" si="7"/>
        <v>0</v>
      </c>
      <c r="R10" s="561">
        <v>3150</v>
      </c>
      <c r="S10" s="555">
        <f t="shared" ca="1" si="60"/>
        <v>40.670345912017979</v>
      </c>
      <c r="T10" s="397" t="str">
        <f t="shared" si="61"/>
        <v>MERV - XMEV - GFGC3150AB - 24hs</v>
      </c>
      <c r="U10" s="397" t="str">
        <f t="shared" si="62"/>
        <v>GFGC3150AB</v>
      </c>
      <c r="V10" s="395">
        <f>IFERROR(VLOOKUP($U10,HomeBroker!$A$18:$F$121,2,0),0)</f>
        <v>1</v>
      </c>
      <c r="W10" s="558">
        <f>IFERROR(VLOOKUP($U10,HomeBroker!$A$18:$F$121,3,0),0)</f>
        <v>46</v>
      </c>
      <c r="X10" s="607">
        <f>IFERROR(VLOOKUP($U10,HomeBroker!$A$18:$F$121,6,0),0)</f>
        <v>45.9</v>
      </c>
      <c r="Y10" s="557">
        <f>IFERROR(VLOOKUP($U10,HomeBroker!$A$18:$F$121,4,0),0)</f>
        <v>48</v>
      </c>
      <c r="Z10" s="395">
        <f>IFERROR(VLOOKUP($U10,HomeBroker!$A$18:$F$121,5,0),0)</f>
        <v>30</v>
      </c>
      <c r="AA10" s="398">
        <f>IFERROR(VLOOKUP($U10,HomeBroker!$A$18:$N$121,13,0),0)</f>
        <v>4325</v>
      </c>
      <c r="AB10" s="200">
        <f t="shared" si="63"/>
        <v>-239</v>
      </c>
      <c r="AC10" s="563">
        <f t="shared" si="9"/>
        <v>0</v>
      </c>
      <c r="AD10" s="561">
        <v>2200</v>
      </c>
      <c r="AE10" s="556">
        <f t="shared" ca="1" si="64"/>
        <v>63.410729424409396</v>
      </c>
      <c r="AF10" s="397" t="str">
        <f t="shared" si="65"/>
        <v>MERV - XMEV - GFGV2200AB - 24hs</v>
      </c>
      <c r="AG10" s="397" t="str">
        <f t="shared" si="66"/>
        <v>GFGV2200AB</v>
      </c>
      <c r="AH10" s="502">
        <f>IFERROR(VLOOKUP($AG10,HomeBroker!$A$18:$F$121,2,0),0)</f>
        <v>2</v>
      </c>
      <c r="AI10" s="558">
        <f>IFERROR(VLOOKUP($AG10,HomeBroker!$A$18:$F$121,3,0),0)</f>
        <v>34.51</v>
      </c>
      <c r="AJ10" s="607">
        <f>IFERROR(VLOOKUP($AG10,HomeBroker!$A$18:$F$121,6,0),0)</f>
        <v>34.1</v>
      </c>
      <c r="AK10" s="558">
        <f>IFERROR(VLOOKUP($AG10,HomeBroker!$A$18:$F$121,4,0),0)</f>
        <v>34.950000000000003</v>
      </c>
      <c r="AL10" s="502">
        <f>IFERROR(VLOOKUP($AG10,HomeBroker!$A$18:$F$121,5,0),0)</f>
        <v>6</v>
      </c>
      <c r="AM10" s="560">
        <f>IFERROR(VLOOKUP($AG10,HomeBroker!$A$18:$N$121,13,0),0)</f>
        <v>10321</v>
      </c>
      <c r="AN10" s="62"/>
      <c r="AO10" s="199">
        <f t="shared" si="67"/>
        <v>722.80000000000018</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1618.0824319140231</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0</v>
      </c>
      <c r="EU10" s="72"/>
      <c r="EV10" s="117">
        <f t="shared" si="55"/>
        <v>1618.0824319140231</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0</v>
      </c>
    </row>
    <row r="11" spans="1:193" ht="15">
      <c r="A11" s="552" t="s">
        <v>401</v>
      </c>
      <c r="B11" s="204"/>
      <c r="C11" s="201"/>
      <c r="D11" s="564"/>
      <c r="E11" s="565">
        <f t="shared" si="0"/>
        <v>0</v>
      </c>
      <c r="F11" s="566">
        <f t="shared" si="1"/>
        <v>0</v>
      </c>
      <c r="G11" s="203" t="str">
        <f t="shared" si="2"/>
        <v/>
      </c>
      <c r="H11" s="570">
        <f t="shared" si="58"/>
        <v>0</v>
      </c>
      <c r="I11" s="571">
        <f t="shared" si="3"/>
        <v>0</v>
      </c>
      <c r="J11" s="62"/>
      <c r="K11" s="532"/>
      <c r="L11" s="218">
        <f t="shared" si="4"/>
        <v>1703.2446651726559</v>
      </c>
      <c r="M11" s="594">
        <f t="shared" si="5"/>
        <v>0</v>
      </c>
      <c r="N11" s="594">
        <f t="shared" ca="1" si="6"/>
        <v>0</v>
      </c>
      <c r="O11" s="62"/>
      <c r="P11" s="199">
        <f t="shared" si="59"/>
        <v>861</v>
      </c>
      <c r="Q11" s="562">
        <f t="shared" si="7"/>
        <v>0</v>
      </c>
      <c r="R11" s="561">
        <v>3300</v>
      </c>
      <c r="S11" s="555">
        <f t="shared" ca="1" si="60"/>
        <v>25.102839295250874</v>
      </c>
      <c r="T11" s="397" t="str">
        <f t="shared" si="61"/>
        <v>MERV - XMEV - GFGC3300AB - 24hs</v>
      </c>
      <c r="U11" s="397" t="str">
        <f t="shared" si="62"/>
        <v>GFGC3300AB</v>
      </c>
      <c r="V11" s="395">
        <f>IFERROR(VLOOKUP($U11,HomeBroker!$A$18:$F$121,2,0),0)</f>
        <v>583</v>
      </c>
      <c r="W11" s="558">
        <f>IFERROR(VLOOKUP($U11,HomeBroker!$A$18:$F$121,3,0),0)</f>
        <v>30</v>
      </c>
      <c r="X11" s="607">
        <f>IFERROR(VLOOKUP($U11,HomeBroker!$A$18:$F$121,6,0),0)</f>
        <v>30.01</v>
      </c>
      <c r="Y11" s="557">
        <f>IFERROR(VLOOKUP($U11,HomeBroker!$A$18:$F$121,4,0),0)</f>
        <v>30.75</v>
      </c>
      <c r="Z11" s="395">
        <f>IFERROR(VLOOKUP($U11,HomeBroker!$A$18:$F$121,5,0),0)</f>
        <v>24</v>
      </c>
      <c r="AA11" s="398">
        <f>IFERROR(VLOOKUP($U11,HomeBroker!$A$18:$N$121,13,0),0)</f>
        <v>7838</v>
      </c>
      <c r="AB11" s="200">
        <f t="shared" si="63"/>
        <v>-139</v>
      </c>
      <c r="AC11" s="563">
        <f t="shared" si="9"/>
        <v>0</v>
      </c>
      <c r="AD11" s="561">
        <v>2300</v>
      </c>
      <c r="AE11" s="556">
        <f t="shared" ca="1" si="64"/>
        <v>90.20618925187398</v>
      </c>
      <c r="AF11" s="397" t="str">
        <f t="shared" si="65"/>
        <v>MERV - XMEV - GFGV2300AB - 24hs</v>
      </c>
      <c r="AG11" s="397" t="str">
        <f t="shared" si="66"/>
        <v>GFGV2300AB</v>
      </c>
      <c r="AH11" s="502">
        <f>IFERROR(VLOOKUP($AG11,HomeBroker!$A$18:$F$121,2,0),0)</f>
        <v>3</v>
      </c>
      <c r="AI11" s="558">
        <f>IFERROR(VLOOKUP($AG11,HomeBroker!$A$18:$F$121,3,0),0)</f>
        <v>55.005000000000003</v>
      </c>
      <c r="AJ11" s="607">
        <f>IFERROR(VLOOKUP($AG11,HomeBroker!$A$18:$F$121,6,0),0)</f>
        <v>56</v>
      </c>
      <c r="AK11" s="558">
        <f>IFERROR(VLOOKUP($AG11,HomeBroker!$A$18:$F$121,4,0),0)</f>
        <v>57.5</v>
      </c>
      <c r="AL11" s="502">
        <f>IFERROR(VLOOKUP($AG11,HomeBroker!$A$18:$F$121,5,0),0)</f>
        <v>35</v>
      </c>
      <c r="AM11" s="560">
        <f>IFERROR(VLOOKUP($AG11,HomeBroker!$A$18:$N$121,13,0),0)</f>
        <v>4949</v>
      </c>
      <c r="AN11" s="62"/>
      <c r="AO11" s="199">
        <f t="shared" si="67"/>
        <v>835.01000000000022</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1703.2446651726559</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0</v>
      </c>
      <c r="EU11" s="72"/>
      <c r="EV11" s="117">
        <f t="shared" si="55"/>
        <v>1703.2446651726559</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0</v>
      </c>
    </row>
    <row r="12" spans="1:193" ht="15">
      <c r="A12" s="552" t="s">
        <v>401</v>
      </c>
      <c r="B12" s="204"/>
      <c r="C12" s="201"/>
      <c r="D12" s="564"/>
      <c r="E12" s="565">
        <f t="shared" si="0"/>
        <v>0</v>
      </c>
      <c r="F12" s="566">
        <f t="shared" si="1"/>
        <v>0</v>
      </c>
      <c r="G12" s="203" t="str">
        <f t="shared" si="2"/>
        <v/>
      </c>
      <c r="H12" s="570">
        <f t="shared" si="58"/>
        <v>0</v>
      </c>
      <c r="I12" s="571">
        <f t="shared" si="3"/>
        <v>0</v>
      </c>
      <c r="J12" s="62"/>
      <c r="K12" s="532">
        <f>IFERROR(-1+(L12/$L$18),"")</f>
        <v>-0.26490810937500009</v>
      </c>
      <c r="L12" s="218">
        <f t="shared" si="4"/>
        <v>1792.8891212343747</v>
      </c>
      <c r="M12" s="595">
        <f t="shared" si="5"/>
        <v>0</v>
      </c>
      <c r="N12" s="595">
        <f t="shared" ca="1" si="6"/>
        <v>0</v>
      </c>
      <c r="O12" s="62"/>
      <c r="P12" s="199">
        <f t="shared" si="59"/>
        <v>1011</v>
      </c>
      <c r="Q12" s="562">
        <f t="shared" si="7"/>
        <v>0</v>
      </c>
      <c r="R12" s="561">
        <v>3450</v>
      </c>
      <c r="S12" s="555">
        <f t="shared" ca="1" si="60"/>
        <v>15.135584244698919</v>
      </c>
      <c r="T12" s="397" t="str">
        <f t="shared" si="61"/>
        <v>MERV - XMEV - GFGC3450AB - 24hs</v>
      </c>
      <c r="U12" s="397" t="str">
        <f t="shared" si="62"/>
        <v>GFGC3450AB</v>
      </c>
      <c r="V12" s="395">
        <f>IFERROR(VLOOKUP($U12,HomeBroker!$A$18:$F$121,2,0),0)</f>
        <v>2</v>
      </c>
      <c r="W12" s="558">
        <f>IFERROR(VLOOKUP($U12,HomeBroker!$A$18:$F$121,3,0),0)</f>
        <v>17.5</v>
      </c>
      <c r="X12" s="607">
        <f>IFERROR(VLOOKUP($U12,HomeBroker!$A$18:$F$121,6,0),0)</f>
        <v>19</v>
      </c>
      <c r="Y12" s="557">
        <f>IFERROR(VLOOKUP($U12,HomeBroker!$A$18:$F$121,4,0),0)</f>
        <v>19.95</v>
      </c>
      <c r="Z12" s="395">
        <f>IFERROR(VLOOKUP($U12,HomeBroker!$A$18:$F$121,5,0),0)</f>
        <v>1</v>
      </c>
      <c r="AA12" s="398">
        <f>IFERROR(VLOOKUP($U12,HomeBroker!$A$18:$N$121,13,0),0)</f>
        <v>1751</v>
      </c>
      <c r="AB12" s="200">
        <f t="shared" si="63"/>
        <v>-39</v>
      </c>
      <c r="AC12" s="563">
        <f t="shared" si="9"/>
        <v>0</v>
      </c>
      <c r="AD12" s="561">
        <v>2400</v>
      </c>
      <c r="AE12" s="556">
        <f t="shared" ca="1" si="64"/>
        <v>123.40522381963478</v>
      </c>
      <c r="AF12" s="397" t="str">
        <f t="shared" si="65"/>
        <v>MERV - XMEV - GFGV2400AB - 24hs</v>
      </c>
      <c r="AG12" s="397" t="str">
        <f t="shared" si="66"/>
        <v>GFGV2400AB</v>
      </c>
      <c r="AH12" s="502">
        <f>IFERROR(VLOOKUP($AG12,HomeBroker!$A$18:$F$121,2,0),0)</f>
        <v>3</v>
      </c>
      <c r="AI12" s="558">
        <f>IFERROR(VLOOKUP($AG12,HomeBroker!$A$18:$F$121,3,0),0)</f>
        <v>85</v>
      </c>
      <c r="AJ12" s="607">
        <f>IFERROR(VLOOKUP($AG12,HomeBroker!$A$18:$F$121,6,0),0)</f>
        <v>85</v>
      </c>
      <c r="AK12" s="558">
        <f>IFERROR(VLOOKUP($AG12,HomeBroker!$A$18:$F$121,4,0),0)</f>
        <v>87.998999999999995</v>
      </c>
      <c r="AL12" s="502">
        <f>IFERROR(VLOOKUP($AG12,HomeBroker!$A$18:$F$121,5,0),0)</f>
        <v>10</v>
      </c>
      <c r="AM12" s="560">
        <f>IFERROR(VLOOKUP($AG12,HomeBroker!$A$18:$N$121,13,0),0)</f>
        <v>3444</v>
      </c>
      <c r="AN12" s="62"/>
      <c r="AO12" s="199">
        <f t="shared" si="67"/>
        <v>945</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1792.8891212343747</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0</v>
      </c>
      <c r="EU12" s="72"/>
      <c r="EV12" s="117">
        <f t="shared" si="55"/>
        <v>1792.8891212343747</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0</v>
      </c>
    </row>
    <row r="13" spans="1:193" ht="15">
      <c r="A13" s="552" t="s">
        <v>401</v>
      </c>
      <c r="B13" s="204"/>
      <c r="C13" s="201"/>
      <c r="D13" s="564"/>
      <c r="E13" s="565">
        <f t="shared" si="0"/>
        <v>0</v>
      </c>
      <c r="F13" s="566">
        <f t="shared" si="1"/>
        <v>0</v>
      </c>
      <c r="G13" s="203" t="str">
        <f t="shared" si="2"/>
        <v/>
      </c>
      <c r="H13" s="570">
        <f t="shared" si="58"/>
        <v>0</v>
      </c>
      <c r="I13" s="571">
        <f t="shared" si="3"/>
        <v>0</v>
      </c>
      <c r="J13" s="62"/>
      <c r="K13" s="533">
        <f>IFERROR(-1+(L13/$L$18),"")</f>
        <v>-0.22621906250000012</v>
      </c>
      <c r="L13" s="219">
        <f t="shared" si="4"/>
        <v>1887.2517065624997</v>
      </c>
      <c r="M13" s="594">
        <f t="shared" si="5"/>
        <v>0</v>
      </c>
      <c r="N13" s="594">
        <f t="shared" ca="1" si="6"/>
        <v>0</v>
      </c>
      <c r="O13" s="62"/>
      <c r="P13" s="199">
        <f t="shared" si="59"/>
        <v>1161</v>
      </c>
      <c r="Q13" s="562">
        <f t="shared" si="7"/>
        <v>0</v>
      </c>
      <c r="R13" s="561">
        <v>3600</v>
      </c>
      <c r="S13" s="555">
        <f t="shared" ca="1" si="60"/>
        <v>8.9368315458605281</v>
      </c>
      <c r="T13" s="397" t="str">
        <f t="shared" si="61"/>
        <v>MERV - XMEV - GFGC3600AB - 24hs</v>
      </c>
      <c r="U13" s="397" t="str">
        <f t="shared" si="62"/>
        <v>GFGC3600AB</v>
      </c>
      <c r="V13" s="395">
        <f>IFERROR(VLOOKUP($U13,HomeBroker!$A$18:$F$121,2,0),0)</f>
        <v>47</v>
      </c>
      <c r="W13" s="558">
        <f>IFERROR(VLOOKUP($U13,HomeBroker!$A$18:$F$121,3,0),0)</f>
        <v>12.75</v>
      </c>
      <c r="X13" s="607">
        <f>IFERROR(VLOOKUP($U13,HomeBroker!$A$18:$F$121,6,0),0)</f>
        <v>14.999000000000001</v>
      </c>
      <c r="Y13" s="557">
        <f>IFERROR(VLOOKUP($U13,HomeBroker!$A$18:$F$121,4,0),0)</f>
        <v>14.999000000000001</v>
      </c>
      <c r="Z13" s="395">
        <f>IFERROR(VLOOKUP($U13,HomeBroker!$A$18:$F$121,5,0),0)</f>
        <v>6</v>
      </c>
      <c r="AA13" s="398">
        <f>IFERROR(VLOOKUP($U13,HomeBroker!$A$18:$N$121,13,0),0)</f>
        <v>3878</v>
      </c>
      <c r="AB13" s="200">
        <f t="shared" si="63"/>
        <v>61</v>
      </c>
      <c r="AC13" s="563">
        <f t="shared" si="9"/>
        <v>0</v>
      </c>
      <c r="AD13" s="561">
        <v>2500</v>
      </c>
      <c r="AE13" s="556">
        <f t="shared" ca="1" si="64"/>
        <v>163.18415023248406</v>
      </c>
      <c r="AF13" s="397" t="str">
        <f t="shared" si="65"/>
        <v>MERV - XMEV - GFGV2500AB - 24hs</v>
      </c>
      <c r="AG13" s="397" t="str">
        <f t="shared" si="66"/>
        <v>GFGV2500AB</v>
      </c>
      <c r="AH13" s="502">
        <f>IFERROR(VLOOKUP($AG13,HomeBroker!$A$18:$F$121,2,0),0)</f>
        <v>19</v>
      </c>
      <c r="AI13" s="558">
        <f>IFERROR(VLOOKUP($AG13,HomeBroker!$A$18:$F$121,3,0),0)</f>
        <v>127.001</v>
      </c>
      <c r="AJ13" s="607">
        <f>IFERROR(VLOOKUP($AG13,HomeBroker!$A$18:$F$121,6,0),0)</f>
        <v>127.001</v>
      </c>
      <c r="AK13" s="558">
        <f>IFERROR(VLOOKUP($AG13,HomeBroker!$A$18:$F$121,4,0),0)</f>
        <v>139</v>
      </c>
      <c r="AL13" s="502">
        <f>IFERROR(VLOOKUP($AG13,HomeBroker!$A$18:$F$121,5,0),0)</f>
        <v>2</v>
      </c>
      <c r="AM13" s="560">
        <f>IFERROR(VLOOKUP($AG13,HomeBroker!$A$18:$N$121,13,0),0)</f>
        <v>1769</v>
      </c>
      <c r="AN13" s="62"/>
      <c r="AO13" s="199">
        <f t="shared" si="67"/>
        <v>1048.9979999999996</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1887.2517065624997</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0</v>
      </c>
      <c r="EU13" s="72"/>
      <c r="EV13" s="117">
        <f t="shared" si="55"/>
        <v>1887.2517065624997</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0</v>
      </c>
    </row>
    <row r="14" spans="1:193" ht="15">
      <c r="A14" s="552" t="s">
        <v>401</v>
      </c>
      <c r="B14" s="204"/>
      <c r="C14" s="201"/>
      <c r="D14" s="564"/>
      <c r="E14" s="565">
        <f t="shared" si="0"/>
        <v>0</v>
      </c>
      <c r="F14" s="566">
        <f t="shared" si="1"/>
        <v>0</v>
      </c>
      <c r="G14" s="203" t="str">
        <f t="shared" si="2"/>
        <v/>
      </c>
      <c r="H14" s="570">
        <f t="shared" si="58"/>
        <v>0</v>
      </c>
      <c r="I14" s="571">
        <f t="shared" si="3"/>
        <v>0</v>
      </c>
      <c r="J14" s="62"/>
      <c r="K14" s="534">
        <f>IFERROR(-1+(L14/$L$18),"")</f>
        <v>-0.18549375000000012</v>
      </c>
      <c r="L14" s="219">
        <f t="shared" si="4"/>
        <v>1986.5807437499998</v>
      </c>
      <c r="M14" s="594">
        <f t="shared" si="5"/>
        <v>0</v>
      </c>
      <c r="N14" s="594">
        <f t="shared" ca="1" si="6"/>
        <v>0</v>
      </c>
      <c r="O14" s="62"/>
      <c r="P14" s="199">
        <f t="shared" si="59"/>
        <v>1311</v>
      </c>
      <c r="Q14" s="562">
        <f t="shared" si="7"/>
        <v>0</v>
      </c>
      <c r="R14" s="561">
        <v>3750</v>
      </c>
      <c r="S14" s="555">
        <f t="shared" ca="1" si="60"/>
        <v>5.1794634393210401</v>
      </c>
      <c r="T14" s="397" t="str">
        <f t="shared" si="61"/>
        <v>MERV - XMEV - GFGC3750AB - 24hs</v>
      </c>
      <c r="U14" s="397" t="str">
        <f t="shared" si="62"/>
        <v>GFGC3750AB</v>
      </c>
      <c r="V14" s="395">
        <f>IFERROR(VLOOKUP($U14,HomeBroker!$A$18:$F$121,2,0),0)</f>
        <v>3</v>
      </c>
      <c r="W14" s="558">
        <f>IFERROR(VLOOKUP($U14,HomeBroker!$A$18:$F$121,3,0),0)</f>
        <v>10.5</v>
      </c>
      <c r="X14" s="607">
        <f>IFERROR(VLOOKUP($U14,HomeBroker!$A$18:$F$121,6,0),0)</f>
        <v>10.5</v>
      </c>
      <c r="Y14" s="557">
        <f>IFERROR(VLOOKUP($U14,HomeBroker!$A$18:$F$121,4,0),0)</f>
        <v>11.9</v>
      </c>
      <c r="Z14" s="395">
        <f>IFERROR(VLOOKUP($U14,HomeBroker!$A$18:$F$106,5,0),0)</f>
        <v>10</v>
      </c>
      <c r="AA14" s="398">
        <f>IFERROR(VLOOKUP($U14,HomeBroker!$A$18:$N$121,13,0),0)</f>
        <v>2114</v>
      </c>
      <c r="AB14" s="200">
        <f t="shared" si="63"/>
        <v>161</v>
      </c>
      <c r="AC14" s="563">
        <f t="shared" si="9"/>
        <v>0</v>
      </c>
      <c r="AD14" s="561">
        <v>2600</v>
      </c>
      <c r="AE14" s="556">
        <f t="shared" ca="1" si="64"/>
        <v>209.49609899946017</v>
      </c>
      <c r="AF14" s="397" t="str">
        <f t="shared" si="65"/>
        <v>MERV - XMEV - GFGV2600AB - 24hs</v>
      </c>
      <c r="AG14" s="397" t="str">
        <f t="shared" si="66"/>
        <v>GFGV2600AB</v>
      </c>
      <c r="AH14" s="502">
        <f>IFERROR(VLOOKUP($AG14,HomeBroker!$A$18:$F$121,2,0),0)</f>
        <v>5</v>
      </c>
      <c r="AI14" s="558">
        <f>IFERROR(VLOOKUP($AG14,HomeBroker!$A$18:$F$121,3,0),0)</f>
        <v>180</v>
      </c>
      <c r="AJ14" s="607">
        <f>IFERROR(VLOOKUP($AG14,HomeBroker!$A$18:$F$121,6,0),0)</f>
        <v>180</v>
      </c>
      <c r="AK14" s="558">
        <f>IFERROR(VLOOKUP($AG14,HomeBroker!$A$18:$F$121,4,0),0)</f>
        <v>190</v>
      </c>
      <c r="AL14" s="502">
        <f>IFERROR(VLOOKUP($AG14,HomeBroker!$A$18:$F$121,5,0),0)</f>
        <v>2</v>
      </c>
      <c r="AM14" s="560">
        <f>IFERROR(VLOOKUP($AG14,HomeBroker!$A$18:$N$121,13,0),0)</f>
        <v>176</v>
      </c>
      <c r="AN14" s="62"/>
      <c r="AO14" s="199">
        <f t="shared" si="67"/>
        <v>1141.5</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1986.5807437499998</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0</v>
      </c>
      <c r="EU14" s="72"/>
      <c r="EV14" s="117">
        <f t="shared" si="55"/>
        <v>1986.5807437499998</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0</v>
      </c>
    </row>
    <row r="15" spans="1:193" ht="15">
      <c r="A15" s="552" t="s">
        <v>401</v>
      </c>
      <c r="B15" s="204"/>
      <c r="C15" s="201"/>
      <c r="D15" s="564"/>
      <c r="E15" s="565">
        <f t="shared" si="0"/>
        <v>0</v>
      </c>
      <c r="F15" s="566">
        <f t="shared" si="1"/>
        <v>0</v>
      </c>
      <c r="G15" s="203" t="str">
        <f t="shared" si="2"/>
        <v/>
      </c>
      <c r="H15" s="570">
        <f t="shared" si="58"/>
        <v>0</v>
      </c>
      <c r="I15" s="571">
        <f t="shared" si="3"/>
        <v>0</v>
      </c>
      <c r="J15" s="62"/>
      <c r="K15" s="534">
        <f t="shared" ref="K15:K17" si="68">IFERROR(-1+(L15/$L$18),"")</f>
        <v>-0.14262500000000011</v>
      </c>
      <c r="L15" s="219">
        <f t="shared" si="4"/>
        <v>2091.1376249999998</v>
      </c>
      <c r="M15" s="595">
        <f t="shared" si="5"/>
        <v>0</v>
      </c>
      <c r="N15" s="595">
        <f t="shared" ca="1" si="6"/>
        <v>0</v>
      </c>
      <c r="O15" s="62"/>
      <c r="P15" s="199">
        <f t="shared" si="59"/>
        <v>1461</v>
      </c>
      <c r="Q15" s="562">
        <f t="shared" si="7"/>
        <v>0</v>
      </c>
      <c r="R15" s="561">
        <v>3900</v>
      </c>
      <c r="S15" s="555">
        <f t="shared" ca="1" si="60"/>
        <v>2.952803129690686</v>
      </c>
      <c r="T15" s="397" t="str">
        <f t="shared" si="61"/>
        <v>MERV - XMEV - GFGC3900AB - 24hs</v>
      </c>
      <c r="U15" s="397" t="str">
        <f t="shared" si="62"/>
        <v>GFGC3900AB</v>
      </c>
      <c r="V15" s="395">
        <f>IFERROR(VLOOKUP($U15,HomeBroker!$A$18:$F$106,2,0),0)</f>
        <v>5</v>
      </c>
      <c r="W15" s="558">
        <f>IFERROR(VLOOKUP($U15,HomeBroker!$A$18:$F$106,3,0),0)</f>
        <v>6.9249999999999998</v>
      </c>
      <c r="X15" s="607">
        <f>IFERROR(VLOOKUP($U15,HomeBroker!$A$18:$F$106,6,0),0)</f>
        <v>7.5</v>
      </c>
      <c r="Y15" s="557">
        <f>IFERROR(VLOOKUP($U15,HomeBroker!$A$18:$F$106,4,0),0)</f>
        <v>7.5</v>
      </c>
      <c r="Z15" s="395">
        <f>IFERROR(VLOOKUP($U15,HomeBroker!$A$18:$F$106,5,0),0)</f>
        <v>1</v>
      </c>
      <c r="AA15" s="398">
        <f>IFERROR(VLOOKUP($U15,HomeBroker!$A$18:$N$121,13,0),0)</f>
        <v>1955</v>
      </c>
      <c r="AB15" s="200">
        <f t="shared" si="63"/>
        <v>261</v>
      </c>
      <c r="AC15" s="563">
        <f t="shared" si="9"/>
        <v>0</v>
      </c>
      <c r="AD15" s="561">
        <v>2700</v>
      </c>
      <c r="AE15" s="556">
        <f t="shared" ca="1" si="64"/>
        <v>262.10044871352716</v>
      </c>
      <c r="AF15" s="397" t="str">
        <f t="shared" si="65"/>
        <v>MERV - XMEV - GFGV2700AB - 24hs</v>
      </c>
      <c r="AG15" s="397" t="str">
        <f t="shared" si="66"/>
        <v>GFGV2700AB</v>
      </c>
      <c r="AH15" s="502">
        <f>IFERROR(VLOOKUP($AG15,HomeBroker!$A$18:$F$106,2,0),0)</f>
        <v>1</v>
      </c>
      <c r="AI15" s="558">
        <f>IFERROR(VLOOKUP($AG15,HomeBroker!$A$18:$F$106,3,0),0)</f>
        <v>242</v>
      </c>
      <c r="AJ15" s="607">
        <f>IFERROR(VLOOKUP($AG15,HomeBroker!$A$18:$F$106,6,0),0)</f>
        <v>250</v>
      </c>
      <c r="AK15" s="558">
        <f>IFERROR(VLOOKUP($AG15,HomeBroker!$A$18:$F$106,4,0),0)</f>
        <v>259</v>
      </c>
      <c r="AL15" s="502">
        <f>IFERROR(VLOOKUP($AG15,HomeBroker!$A$18:$F$106,5,0),0)</f>
        <v>8</v>
      </c>
      <c r="AM15" s="560">
        <f>IFERROR(VLOOKUP($AG15,HomeBroker!$A$18:$N$121,13,0),0)</f>
        <v>148</v>
      </c>
      <c r="AN15" s="62"/>
      <c r="AO15" s="199">
        <f t="shared" si="67"/>
        <v>1218.5</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2091.1376249999998</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0</v>
      </c>
      <c r="EU15" s="72"/>
      <c r="EV15" s="117">
        <f t="shared" si="55"/>
        <v>2091.1376249999998</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0</v>
      </c>
    </row>
    <row r="16" spans="1:193" ht="15">
      <c r="A16" s="552" t="s">
        <v>401</v>
      </c>
      <c r="B16" s="204"/>
      <c r="C16" s="201"/>
      <c r="D16" s="564"/>
      <c r="E16" s="565">
        <f>+B16*D16*-100</f>
        <v>0</v>
      </c>
      <c r="F16" s="566">
        <f t="shared" si="1"/>
        <v>0</v>
      </c>
      <c r="G16" s="203" t="str">
        <f t="shared" si="2"/>
        <v/>
      </c>
      <c r="H16" s="570">
        <f>IFERROR(+G16*B16*-100,0)</f>
        <v>0</v>
      </c>
      <c r="I16" s="571">
        <f t="shared" si="3"/>
        <v>0</v>
      </c>
      <c r="J16" s="62"/>
      <c r="K16" s="534">
        <f t="shared" si="68"/>
        <v>-9.7500000000000142E-2</v>
      </c>
      <c r="L16" s="219">
        <f t="shared" si="4"/>
        <v>2201.1974999999998</v>
      </c>
      <c r="M16" s="594">
        <f t="shared" si="5"/>
        <v>0</v>
      </c>
      <c r="N16" s="594">
        <f t="shared" ca="1" si="6"/>
        <v>0</v>
      </c>
      <c r="O16" s="62"/>
      <c r="P16" s="199">
        <f t="shared" si="59"/>
        <v>1611</v>
      </c>
      <c r="Q16" s="562">
        <f t="shared" si="7"/>
        <v>0</v>
      </c>
      <c r="R16" s="561">
        <v>4050</v>
      </c>
      <c r="S16" s="555">
        <f t="shared" ca="1" si="60"/>
        <v>1.6591465119630726</v>
      </c>
      <c r="T16" s="397" t="str">
        <f t="shared" si="61"/>
        <v>MERV - XMEV - GFGC4050AB - 24hs</v>
      </c>
      <c r="U16" s="397" t="str">
        <f t="shared" si="62"/>
        <v>GFGC4050AB</v>
      </c>
      <c r="V16" s="395">
        <f>IFERROR(VLOOKUP($U16,HomeBroker!$A$18:$F$106,2,0),0)</f>
        <v>5</v>
      </c>
      <c r="W16" s="558">
        <f>IFERROR(VLOOKUP($U16,HomeBroker!$A$18:$F$106,3,0),0)</f>
        <v>5.7119999999999997</v>
      </c>
      <c r="X16" s="607">
        <f>IFERROR(VLOOKUP($U16,HomeBroker!$A$18:$F$106,6,0),0)</f>
        <v>6.28</v>
      </c>
      <c r="Y16" s="557">
        <f>IFERROR(VLOOKUP($U16,HomeBroker!$A$18:$F$106,4,0),0)</f>
        <v>6.45</v>
      </c>
      <c r="Z16" s="395">
        <f>IFERROR(VLOOKUP($U16,HomeBroker!$A$18:$F$106,5,0),0)</f>
        <v>1</v>
      </c>
      <c r="AA16" s="398">
        <f>IFERROR(VLOOKUP($U16,HomeBroker!$A$18:$N$121,13,0),0)</f>
        <v>574</v>
      </c>
      <c r="AB16" s="200">
        <f t="shared" si="63"/>
        <v>461</v>
      </c>
      <c r="AC16" s="563">
        <f t="shared" si="9"/>
        <v>0</v>
      </c>
      <c r="AD16" s="561">
        <v>2900</v>
      </c>
      <c r="AE16" s="556">
        <f t="shared" ca="1" si="64"/>
        <v>384.50734681171275</v>
      </c>
      <c r="AF16" s="397" t="str">
        <f t="shared" si="65"/>
        <v>MERV - XMEV - GFGV2900AB - 24hs</v>
      </c>
      <c r="AG16" s="397" t="str">
        <f t="shared" si="66"/>
        <v>GFGV2900AB</v>
      </c>
      <c r="AH16" s="502">
        <f>IFERROR(VLOOKUP($AG16,HomeBroker!$A$18:$F$106,2,0),0)</f>
        <v>1</v>
      </c>
      <c r="AI16" s="558">
        <f>IFERROR(VLOOKUP($AG16,HomeBroker!$A$18:$F$106,3,0),0)</f>
        <v>425</v>
      </c>
      <c r="AJ16" s="607">
        <f>IFERROR(VLOOKUP($AG16,HomeBroker!$A$18:$F$106,6,0),0)</f>
        <v>425.00099999999998</v>
      </c>
      <c r="AK16" s="558">
        <f>IFERROR(VLOOKUP($AG16,HomeBroker!$A$18:$F$106,4,0),0)</f>
        <v>700</v>
      </c>
      <c r="AL16" s="502">
        <f>IFERROR(VLOOKUP($AG16,HomeBroker!$A$18:$F$106,5,0),0)</f>
        <v>2</v>
      </c>
      <c r="AM16" s="560">
        <f>IFERROR(VLOOKUP($AG16,HomeBroker!$A$18:$N$121,13,0),0)</f>
        <v>75</v>
      </c>
      <c r="AN16" s="62"/>
      <c r="AO16" s="199">
        <f t="shared" si="67"/>
        <v>1192.2790000000005</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2201.1974999999998</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0</v>
      </c>
      <c r="EU16" s="72"/>
      <c r="EV16" s="117">
        <f t="shared" si="55"/>
        <v>2201.1974999999998</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0</v>
      </c>
    </row>
    <row r="17" spans="1:193" ht="15.75">
      <c r="A17" s="552" t="s">
        <v>401</v>
      </c>
      <c r="B17" s="205"/>
      <c r="C17" s="201"/>
      <c r="D17" s="564"/>
      <c r="E17" s="565">
        <f>+B17*D17*-100</f>
        <v>0</v>
      </c>
      <c r="F17" s="566">
        <f t="shared" si="1"/>
        <v>0</v>
      </c>
      <c r="G17" s="203" t="str">
        <f t="shared" si="2"/>
        <v/>
      </c>
      <c r="H17" s="570">
        <f>IFERROR(+G17*B17*-100,0)</f>
        <v>0</v>
      </c>
      <c r="I17" s="571">
        <f t="shared" si="3"/>
        <v>0</v>
      </c>
      <c r="J17" s="62"/>
      <c r="K17" s="534">
        <f t="shared" si="68"/>
        <v>-5.0000000000000155E-2</v>
      </c>
      <c r="L17" s="219">
        <f t="shared" si="4"/>
        <v>2317.0499999999997</v>
      </c>
      <c r="M17" s="594">
        <f t="shared" si="5"/>
        <v>0</v>
      </c>
      <c r="N17" s="594">
        <f t="shared" ca="1" si="6"/>
        <v>0</v>
      </c>
      <c r="O17" s="62"/>
      <c r="P17" s="199">
        <f t="shared" si="59"/>
        <v>1761</v>
      </c>
      <c r="Q17" s="562">
        <f t="shared" si="7"/>
        <v>0</v>
      </c>
      <c r="R17" s="561">
        <v>4200</v>
      </c>
      <c r="S17" s="555">
        <f t="shared" ca="1" si="60"/>
        <v>0.92046920310115254</v>
      </c>
      <c r="T17" s="397" t="str">
        <f t="shared" si="61"/>
        <v>MERV - XMEV - GFGC4200AB - 24hs</v>
      </c>
      <c r="U17" s="397" t="str">
        <f t="shared" si="62"/>
        <v>GFGC4200AB</v>
      </c>
      <c r="V17" s="395">
        <f>IFERROR(VLOOKUP($U17,HomeBroker!$A$18:$F$106,2,0),0)</f>
        <v>100</v>
      </c>
      <c r="W17" s="558">
        <f>IFERROR(VLOOKUP($U17,HomeBroker!$A$18:$F$106,3,0),0)</f>
        <v>4.5549999999999997</v>
      </c>
      <c r="X17" s="607">
        <f>IFERROR(VLOOKUP($U17,HomeBroker!$A$18:$F$106,6,0),0)</f>
        <v>4.8</v>
      </c>
      <c r="Y17" s="557">
        <f>IFERROR(VLOOKUP($U17,HomeBroker!$A$18:$F$106,4,0),0)</f>
        <v>4.8</v>
      </c>
      <c r="Z17" s="395">
        <f>IFERROR(VLOOKUP($U17,HomeBroker!$A$18:$F$106,5,0),0)</f>
        <v>28</v>
      </c>
      <c r="AA17" s="398">
        <f>IFERROR(VLOOKUP($U17,HomeBroker!$A$18:$N$121,13,0),0)</f>
        <v>3587</v>
      </c>
      <c r="AB17" s="200">
        <f t="shared" si="63"/>
        <v>561</v>
      </c>
      <c r="AC17" s="563">
        <f t="shared" si="9"/>
        <v>0</v>
      </c>
      <c r="AD17" s="561">
        <v>3000</v>
      </c>
      <c r="AE17" s="556">
        <f t="shared" ca="1" si="64"/>
        <v>453.24781746029817</v>
      </c>
      <c r="AF17" s="397" t="str">
        <f t="shared" si="65"/>
        <v>MERV - XMEV - GFGV3000AB - 24hs</v>
      </c>
      <c r="AG17" s="397" t="str">
        <f t="shared" si="66"/>
        <v>GFGV3000AB</v>
      </c>
      <c r="AH17" s="502">
        <f>IFERROR(VLOOKUP($AG17,HomeBroker!$A$18:$F$106,2,0),0)</f>
        <v>2</v>
      </c>
      <c r="AI17" s="558">
        <f>IFERROR(VLOOKUP($AG17,HomeBroker!$A$18:$F$106,3,0),0)</f>
        <v>480</v>
      </c>
      <c r="AJ17" s="607">
        <f>IFERROR(VLOOKUP($AG17,HomeBroker!$A$18:$F$106,6,0),0)</f>
        <v>540</v>
      </c>
      <c r="AK17" s="558">
        <f>IFERROR(VLOOKUP($AG17,HomeBroker!$A$18:$F$106,4,0),0)</f>
        <v>560</v>
      </c>
      <c r="AL17" s="502">
        <f>IFERROR(VLOOKUP($AG17,HomeBroker!$A$18:$F$106,5,0),0)</f>
        <v>2</v>
      </c>
      <c r="AM17" s="560">
        <f>IFERROR(VLOOKUP($AG17,HomeBroker!$A$18:$N$121,13,0),0)</f>
        <v>9</v>
      </c>
      <c r="AN17" s="62"/>
      <c r="AO17" s="199">
        <f t="shared" si="67"/>
        <v>1225.8000000000002</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2317.0499999999997</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0</v>
      </c>
      <c r="EU17" s="72"/>
      <c r="EV17" s="117">
        <f t="shared" si="55"/>
        <v>2317.0499999999997</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0</v>
      </c>
    </row>
    <row r="18" spans="1:193" ht="15">
      <c r="A18" s="552" t="s">
        <v>401</v>
      </c>
      <c r="B18" s="204"/>
      <c r="C18" s="201"/>
      <c r="D18" s="564"/>
      <c r="E18" s="565">
        <f>+B18*D18*-100</f>
        <v>0</v>
      </c>
      <c r="F18" s="566">
        <f t="shared" si="1"/>
        <v>0</v>
      </c>
      <c r="G18" s="203" t="str">
        <f t="shared" si="2"/>
        <v/>
      </c>
      <c r="H18" s="570">
        <f>IFERROR(+G18*B18*-100,0)</f>
        <v>0</v>
      </c>
      <c r="I18" s="571">
        <f t="shared" si="3"/>
        <v>0</v>
      </c>
      <c r="J18" s="62"/>
      <c r="K18" s="131">
        <v>0</v>
      </c>
      <c r="L18" s="220">
        <f>IF($N$45&lt;&gt;"",$N$45,$B$76)</f>
        <v>2439</v>
      </c>
      <c r="M18" s="595">
        <f t="shared" si="5"/>
        <v>0</v>
      </c>
      <c r="N18" s="595">
        <f t="shared" ca="1" si="6"/>
        <v>0</v>
      </c>
      <c r="O18" s="62"/>
      <c r="P18" s="199" t="str">
        <f t="shared" ref="P18:P42" si="69">IF(X18&gt;0,ABS((R18+X18)),"")</f>
        <v/>
      </c>
      <c r="Q18" s="501">
        <f t="shared" ref="Q18:Q42" si="70">SUMIFS(AU:AU,AV:AV,R18)</f>
        <v>0</v>
      </c>
      <c r="R18" s="194"/>
      <c r="S18" s="555">
        <f t="shared" ca="1" si="60"/>
        <v>0</v>
      </c>
      <c r="T18" s="397" t="str">
        <f t="shared" si="61"/>
        <v/>
      </c>
      <c r="U18" s="397" t="str">
        <f t="shared" si="62"/>
        <v/>
      </c>
      <c r="V18" s="395">
        <f>IFERROR(VLOOKUP($U18,HomeBroker!$A$18:$F$106,2,0),0)</f>
        <v>0</v>
      </c>
      <c r="W18" s="557">
        <f>IFERROR(VLOOKUP($U18,HomeBroker!$A$18:$F$106,3,0),0)</f>
        <v>0</v>
      </c>
      <c r="X18" s="196">
        <f>IFERROR(VLOOKUP($U18,HomeBroker!$A$18:$F$106,6,0),0)</f>
        <v>0</v>
      </c>
      <c r="Y18" s="557">
        <f>IFERROR(VLOOKUP($U18,HomeBroker!$A$18:$F$106,4,0),0)</f>
        <v>0</v>
      </c>
      <c r="Z18" s="395">
        <f>IFERROR(VLOOKUP($U18,HomeBroker!$A$18:$F$106,5,0),0)</f>
        <v>0</v>
      </c>
      <c r="AA18" s="398">
        <f>IFERROR(VLOOKUP($U18,HomeBroker!$A$18:$N$121,13,0),0)</f>
        <v>0</v>
      </c>
      <c r="AB18" s="200" t="str">
        <f t="shared" ref="AB18:AB42" si="71">IF(AJ18&gt;0,ABS((AD18+AJ18)),"")</f>
        <v/>
      </c>
      <c r="AC18" s="108">
        <f t="shared" ref="AC18:AC42" si="72">SUMIFS(BA:BA,BB:BB,AD18)</f>
        <v>0</v>
      </c>
      <c r="AD18" s="194"/>
      <c r="AE18" s="396">
        <f t="shared" ca="1" si="64"/>
        <v>0</v>
      </c>
      <c r="AF18" s="397" t="str">
        <f t="shared" si="65"/>
        <v/>
      </c>
      <c r="AG18" s="397" t="str">
        <f t="shared" si="66"/>
        <v/>
      </c>
      <c r="AH18" s="502">
        <f>IFERROR(VLOOKUP($AG18,HomeBroker!$A$18:$F$106,2,0),0)</f>
        <v>0</v>
      </c>
      <c r="AI18" s="502">
        <f>IFERROR(VLOOKUP($AG18,HomeBroker!$A$18:$F$106,3,0),0)</f>
        <v>0</v>
      </c>
      <c r="AJ18" s="503">
        <f>IFERROR(VLOOKUP($AG18,HomeBroker!$A$18:$F$106,6,0),0)</f>
        <v>0</v>
      </c>
      <c r="AK18" s="502">
        <f>IFERROR(VLOOKUP($AG18,HomeBroker!$A$18:$F$106,4,0),0)</f>
        <v>0</v>
      </c>
      <c r="AL18" s="502">
        <f>IFERROR(VLOOKUP($AG18,HomeBroker!$A$18:$F$106,5,0),0)</f>
        <v>0</v>
      </c>
      <c r="AM18" s="502">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2439</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0</v>
      </c>
      <c r="EU18" s="72"/>
      <c r="EV18" s="117">
        <f t="shared" si="55"/>
        <v>2439</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0</v>
      </c>
    </row>
    <row r="19" spans="1:193" ht="15">
      <c r="A19" s="552" t="s">
        <v>401</v>
      </c>
      <c r="B19" s="204"/>
      <c r="C19" s="201"/>
      <c r="D19" s="564"/>
      <c r="E19" s="565">
        <f t="shared" si="0"/>
        <v>0</v>
      </c>
      <c r="F19" s="566">
        <f t="shared" si="1"/>
        <v>0</v>
      </c>
      <c r="G19" s="203" t="str">
        <f t="shared" si="2"/>
        <v/>
      </c>
      <c r="H19" s="570">
        <f t="shared" si="58"/>
        <v>0</v>
      </c>
      <c r="I19" s="571">
        <f t="shared" si="3"/>
        <v>0</v>
      </c>
      <c r="J19" s="62"/>
      <c r="K19" s="533">
        <f>IFERROR(+L19/$L$18-1,"")</f>
        <v>5.0000000000000044E-2</v>
      </c>
      <c r="L19" s="219">
        <f t="shared" ref="L19:L34" si="73">+L18*(1+$N$42)</f>
        <v>2560.9500000000003</v>
      </c>
      <c r="M19" s="594">
        <f t="shared" si="5"/>
        <v>0</v>
      </c>
      <c r="N19" s="594">
        <f t="shared" ca="1" si="6"/>
        <v>0</v>
      </c>
      <c r="O19" s="62"/>
      <c r="P19" s="199" t="str">
        <f t="shared" si="69"/>
        <v/>
      </c>
      <c r="Q19" s="501">
        <f t="shared" si="70"/>
        <v>0</v>
      </c>
      <c r="R19" s="194"/>
      <c r="S19" s="555">
        <f t="shared" ca="1" si="60"/>
        <v>0</v>
      </c>
      <c r="T19" s="397" t="str">
        <f t="shared" si="61"/>
        <v/>
      </c>
      <c r="U19" s="397" t="str">
        <f t="shared" si="62"/>
        <v/>
      </c>
      <c r="V19" s="395">
        <f>IFERROR(VLOOKUP($U19,HomeBroker!$A$18:$F$106,2,0),0)</f>
        <v>0</v>
      </c>
      <c r="W19" s="557">
        <f>IFERROR(VLOOKUP($U19,HomeBroker!$A$18:$F$106,3,0),0)</f>
        <v>0</v>
      </c>
      <c r="X19" s="196">
        <f>IFERROR(VLOOKUP($U19,HomeBroker!$A$18:$F$106,6,0),0)</f>
        <v>0</v>
      </c>
      <c r="Y19" s="557">
        <f>IFERROR(VLOOKUP($U19,HomeBroker!$A$18:$F$106,4,0),0)</f>
        <v>0</v>
      </c>
      <c r="Z19" s="395">
        <f>IFERROR(VLOOKUP($U19,HomeBroker!$A$18:$F$106,5,0),0)</f>
        <v>0</v>
      </c>
      <c r="AA19" s="398">
        <f>IFERROR(VLOOKUP($U19,HomeBroker!$A$18:$N$121,13,0),0)</f>
        <v>0</v>
      </c>
      <c r="AB19" s="200" t="str">
        <f t="shared" si="71"/>
        <v/>
      </c>
      <c r="AC19" s="108">
        <f t="shared" si="72"/>
        <v>0</v>
      </c>
      <c r="AD19" s="194"/>
      <c r="AE19" s="396">
        <f t="shared" ca="1" si="64"/>
        <v>0</v>
      </c>
      <c r="AF19" s="397" t="str">
        <f t="shared" si="65"/>
        <v/>
      </c>
      <c r="AG19" s="397" t="str">
        <f t="shared" si="66"/>
        <v/>
      </c>
      <c r="AH19" s="399">
        <f>IFERROR(VLOOKUP($AG19,HomeBroker!$A$18:$F$106,2,0),0)</f>
        <v>0</v>
      </c>
      <c r="AI19" s="395">
        <f>IFERROR(VLOOKUP($AG19,HomeBroker!$A$18:$F$106,3,0),0)</f>
        <v>0</v>
      </c>
      <c r="AJ19" s="196">
        <f>IFERROR(VLOOKUP($AG19,HomeBroker!$A$18:$F$106,6,0),0)</f>
        <v>0</v>
      </c>
      <c r="AK19" s="395">
        <f>IFERROR(VLOOKUP($AG19,HomeBroker!$A$18:$F$106,4,0),0)</f>
        <v>0</v>
      </c>
      <c r="AL19" s="399">
        <f>IFERROR(VLOOKUP($AG19,HomeBroker!$A$18:$F$106,5,0),0)</f>
        <v>0</v>
      </c>
      <c r="AM19" s="399">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2560.9500000000003</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0</v>
      </c>
      <c r="EU19" s="72"/>
      <c r="EV19" s="117">
        <f t="shared" si="55"/>
        <v>2560.9500000000003</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0</v>
      </c>
    </row>
    <row r="20" spans="1:193" ht="15">
      <c r="A20" s="552" t="s">
        <v>401</v>
      </c>
      <c r="B20" s="204"/>
      <c r="C20" s="201"/>
      <c r="D20" s="564"/>
      <c r="E20" s="565">
        <f t="shared" si="0"/>
        <v>0</v>
      </c>
      <c r="F20" s="566">
        <f t="shared" si="1"/>
        <v>0</v>
      </c>
      <c r="G20" s="203" t="str">
        <f t="shared" si="2"/>
        <v/>
      </c>
      <c r="H20" s="570">
        <f t="shared" si="58"/>
        <v>0</v>
      </c>
      <c r="I20" s="571">
        <f t="shared" si="3"/>
        <v>0</v>
      </c>
      <c r="J20" s="62"/>
      <c r="K20" s="534">
        <f t="shared" ref="K20:K23" si="74">IFERROR(+L20/$L$18-1,"")</f>
        <v>0.10250000000000026</v>
      </c>
      <c r="L20" s="219">
        <f t="shared" si="73"/>
        <v>2688.9975000000004</v>
      </c>
      <c r="M20" s="594">
        <f t="shared" si="5"/>
        <v>0</v>
      </c>
      <c r="N20" s="594">
        <f t="shared" ca="1" si="6"/>
        <v>0</v>
      </c>
      <c r="O20" s="62"/>
      <c r="P20" s="199" t="str">
        <f t="shared" si="69"/>
        <v/>
      </c>
      <c r="Q20" s="501">
        <f t="shared" si="70"/>
        <v>0</v>
      </c>
      <c r="R20" s="194"/>
      <c r="S20" s="555">
        <f t="shared" ca="1" si="60"/>
        <v>0</v>
      </c>
      <c r="T20" s="397" t="str">
        <f t="shared" si="61"/>
        <v/>
      </c>
      <c r="U20" s="397" t="str">
        <f t="shared" si="62"/>
        <v/>
      </c>
      <c r="V20" s="395">
        <f>IFERROR(VLOOKUP($U20,HomeBroker!$A$18:$F$106,2,0),0)</f>
        <v>0</v>
      </c>
      <c r="W20" s="557">
        <f>IFERROR(VLOOKUP($U20,HomeBroker!$A$18:$F$106,3,0),0)</f>
        <v>0</v>
      </c>
      <c r="X20" s="196">
        <f>IFERROR(VLOOKUP($U20,HomeBroker!$A$18:$F$106,6,0),0)</f>
        <v>0</v>
      </c>
      <c r="Y20" s="557">
        <f>IFERROR(VLOOKUP($U20,HomeBroker!$A$18:$F$106,4,0),0)</f>
        <v>0</v>
      </c>
      <c r="Z20" s="395">
        <f>IFERROR(VLOOKUP($U20,HomeBroker!$A$18:$F$106,5,0),0)</f>
        <v>0</v>
      </c>
      <c r="AA20" s="398">
        <f>IFERROR(VLOOKUP($U20,HomeBroker!$A$18:$N$121,13,0),0)</f>
        <v>0</v>
      </c>
      <c r="AB20" s="200" t="str">
        <f t="shared" si="71"/>
        <v/>
      </c>
      <c r="AC20" s="108">
        <f t="shared" si="72"/>
        <v>0</v>
      </c>
      <c r="AD20" s="194"/>
      <c r="AE20" s="396">
        <f t="shared" ca="1" si="64"/>
        <v>0</v>
      </c>
      <c r="AF20" s="397" t="str">
        <f t="shared" si="65"/>
        <v/>
      </c>
      <c r="AG20" s="397" t="str">
        <f t="shared" si="66"/>
        <v/>
      </c>
      <c r="AH20" s="399">
        <f>IFERROR(VLOOKUP($AG20,HomeBroker!$A$18:$F$106,2,0),0)</f>
        <v>0</v>
      </c>
      <c r="AI20" s="395">
        <f>IFERROR(VLOOKUP($AG20,HomeBroker!$A$18:$F$106,3,0),0)</f>
        <v>0</v>
      </c>
      <c r="AJ20" s="196">
        <f>IFERROR(VLOOKUP($AG20,HomeBroker!$A$18:$F$106,6,0),0)</f>
        <v>0</v>
      </c>
      <c r="AK20" s="395">
        <f>IFERROR(VLOOKUP($AG20,HomeBroker!$A$18:$F$106,4,0),0)</f>
        <v>0</v>
      </c>
      <c r="AL20" s="399">
        <f>IFERROR(VLOOKUP($AG20,HomeBroker!$A$18:$F$106,5,0),0)</f>
        <v>0</v>
      </c>
      <c r="AM20" s="399">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2688.9975000000004</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0</v>
      </c>
      <c r="EU20" s="72"/>
      <c r="EV20" s="117">
        <f t="shared" si="55"/>
        <v>2688.9975000000004</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0</v>
      </c>
    </row>
    <row r="21" spans="1:193" ht="15">
      <c r="A21" s="552" t="s">
        <v>401</v>
      </c>
      <c r="B21" s="204"/>
      <c r="C21" s="201"/>
      <c r="D21" s="564"/>
      <c r="E21" s="565">
        <f t="shared" si="0"/>
        <v>0</v>
      </c>
      <c r="F21" s="566">
        <f t="shared" si="1"/>
        <v>0</v>
      </c>
      <c r="G21" s="203" t="str">
        <f t="shared" si="2"/>
        <v/>
      </c>
      <c r="H21" s="570">
        <f t="shared" si="58"/>
        <v>0</v>
      </c>
      <c r="I21" s="571">
        <f t="shared" si="3"/>
        <v>0</v>
      </c>
      <c r="J21" s="62"/>
      <c r="K21" s="534">
        <f t="shared" si="74"/>
        <v>0.15762500000000035</v>
      </c>
      <c r="L21" s="219">
        <f t="shared" si="73"/>
        <v>2823.4473750000006</v>
      </c>
      <c r="M21" s="595">
        <f t="shared" si="5"/>
        <v>0</v>
      </c>
      <c r="N21" s="595">
        <f t="shared" ca="1" si="6"/>
        <v>0</v>
      </c>
      <c r="O21" s="62"/>
      <c r="P21" s="199" t="str">
        <f t="shared" si="69"/>
        <v/>
      </c>
      <c r="Q21" s="501">
        <f t="shared" si="70"/>
        <v>0</v>
      </c>
      <c r="R21" s="194"/>
      <c r="S21" s="555">
        <f t="shared" ca="1" si="60"/>
        <v>0</v>
      </c>
      <c r="T21" s="397" t="str">
        <f t="shared" si="61"/>
        <v/>
      </c>
      <c r="U21" s="397" t="str">
        <f t="shared" si="62"/>
        <v/>
      </c>
      <c r="V21" s="395">
        <f>IFERROR(VLOOKUP($U21,HomeBroker!$A$18:$F$106,2,0),0)</f>
        <v>0</v>
      </c>
      <c r="W21" s="557">
        <f>IFERROR(VLOOKUP($U21,HomeBroker!$A$18:$F$106,3,0),0)</f>
        <v>0</v>
      </c>
      <c r="X21" s="196">
        <f>IFERROR(VLOOKUP($U21,HomeBroker!$A$18:$F$106,6,0),0)</f>
        <v>0</v>
      </c>
      <c r="Y21" s="557">
        <f>IFERROR(VLOOKUP($U21,HomeBroker!$A$18:$F$106,4,0),0)</f>
        <v>0</v>
      </c>
      <c r="Z21" s="395">
        <f>IFERROR(VLOOKUP($U21,HomeBroker!$A$18:$F$106,5,0),0)</f>
        <v>0</v>
      </c>
      <c r="AA21" s="398">
        <f>IFERROR(VLOOKUP($U21,HomeBroker!$A$18:$N$121,13,0),0)</f>
        <v>0</v>
      </c>
      <c r="AB21" s="200" t="str">
        <f t="shared" si="71"/>
        <v/>
      </c>
      <c r="AC21" s="108">
        <f t="shared" si="72"/>
        <v>0</v>
      </c>
      <c r="AD21" s="194"/>
      <c r="AE21" s="396">
        <f t="shared" ca="1" si="64"/>
        <v>0</v>
      </c>
      <c r="AF21" s="397" t="str">
        <f t="shared" si="65"/>
        <v/>
      </c>
      <c r="AG21" s="397" t="str">
        <f t="shared" si="66"/>
        <v/>
      </c>
      <c r="AH21" s="399">
        <f>IFERROR(VLOOKUP($AG21,HomeBroker!$A$18:$F$106,2,0),0)</f>
        <v>0</v>
      </c>
      <c r="AI21" s="395">
        <f>IFERROR(VLOOKUP($AG21,HomeBroker!$A$18:$F$106,3,0),0)</f>
        <v>0</v>
      </c>
      <c r="AJ21" s="196">
        <f>IFERROR(VLOOKUP($AG21,HomeBroker!$A$18:$F$106,6,0),0)</f>
        <v>0</v>
      </c>
      <c r="AK21" s="395">
        <f>IFERROR(VLOOKUP($AG21,HomeBroker!$A$18:$F$106,4,0),0)</f>
        <v>0</v>
      </c>
      <c r="AL21" s="399">
        <f>IFERROR(VLOOKUP($AG21,HomeBroker!$A$18:$F$106,5,0),0)</f>
        <v>0</v>
      </c>
      <c r="AM21" s="399">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2823.4473750000006</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0</v>
      </c>
      <c r="EU21" s="72"/>
      <c r="EV21" s="117">
        <f t="shared" si="55"/>
        <v>2823.4473750000006</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0</v>
      </c>
    </row>
    <row r="22" spans="1:193" ht="15">
      <c r="A22" s="552" t="s">
        <v>401</v>
      </c>
      <c r="B22" s="204"/>
      <c r="C22" s="201"/>
      <c r="D22" s="564"/>
      <c r="E22" s="565">
        <f t="shared" si="0"/>
        <v>0</v>
      </c>
      <c r="F22" s="566">
        <f t="shared" si="1"/>
        <v>0</v>
      </c>
      <c r="G22" s="203" t="str">
        <f t="shared" si="2"/>
        <v/>
      </c>
      <c r="H22" s="570">
        <f t="shared" si="58"/>
        <v>0</v>
      </c>
      <c r="I22" s="571">
        <f t="shared" si="3"/>
        <v>0</v>
      </c>
      <c r="J22" s="62"/>
      <c r="K22" s="534">
        <f t="shared" si="74"/>
        <v>0.21550625000000045</v>
      </c>
      <c r="L22" s="219">
        <f t="shared" si="73"/>
        <v>2964.6197437500009</v>
      </c>
      <c r="M22" s="594">
        <f t="shared" si="5"/>
        <v>0</v>
      </c>
      <c r="N22" s="594">
        <f t="shared" ca="1" si="6"/>
        <v>0</v>
      </c>
      <c r="O22" s="62"/>
      <c r="P22" s="199" t="str">
        <f t="shared" si="69"/>
        <v/>
      </c>
      <c r="Q22" s="501">
        <f t="shared" si="70"/>
        <v>0</v>
      </c>
      <c r="R22" s="194"/>
      <c r="S22" s="555">
        <f t="shared" ca="1" si="60"/>
        <v>0</v>
      </c>
      <c r="T22" s="397" t="str">
        <f t="shared" si="61"/>
        <v/>
      </c>
      <c r="U22" s="397" t="str">
        <f t="shared" si="62"/>
        <v/>
      </c>
      <c r="V22" s="395">
        <f>IFERROR(VLOOKUP($U22,HomeBroker!$A$18:$F$106,2,0),0)</f>
        <v>0</v>
      </c>
      <c r="W22" s="557">
        <f>IFERROR(VLOOKUP($U22,HomeBroker!$A$18:$F$106,3,0),0)</f>
        <v>0</v>
      </c>
      <c r="X22" s="196">
        <f>IFERROR(VLOOKUP($U22,HomeBroker!$A$18:$F$106,6,0),0)</f>
        <v>0</v>
      </c>
      <c r="Y22" s="557">
        <f>IFERROR(VLOOKUP($U22,HomeBroker!$A$18:$F$106,4,0),0)</f>
        <v>0</v>
      </c>
      <c r="Z22" s="395">
        <f>IFERROR(VLOOKUP($U22,HomeBroker!$A$18:$F$106,5,0),0)</f>
        <v>0</v>
      </c>
      <c r="AA22" s="398">
        <f>IFERROR(VLOOKUP($U22,HomeBroker!$A$18:$N$121,13,0),0)</f>
        <v>0</v>
      </c>
      <c r="AB22" s="200" t="str">
        <f t="shared" si="71"/>
        <v/>
      </c>
      <c r="AC22" s="108">
        <f t="shared" si="72"/>
        <v>0</v>
      </c>
      <c r="AD22" s="194"/>
      <c r="AE22" s="396">
        <f t="shared" ca="1" si="64"/>
        <v>0</v>
      </c>
      <c r="AF22" s="397" t="str">
        <f t="shared" si="65"/>
        <v/>
      </c>
      <c r="AG22" s="397" t="str">
        <f t="shared" si="66"/>
        <v/>
      </c>
      <c r="AH22" s="399">
        <f>IFERROR(VLOOKUP($AG22,HomeBroker!$A$18:$F$106,2,0),0)</f>
        <v>0</v>
      </c>
      <c r="AI22" s="395">
        <f>IFERROR(VLOOKUP($AG22,HomeBroker!$A$18:$F$106,3,0),0)</f>
        <v>0</v>
      </c>
      <c r="AJ22" s="196">
        <f>IFERROR(VLOOKUP($AG22,HomeBroker!$A$18:$F$106,6,0),0)</f>
        <v>0</v>
      </c>
      <c r="AK22" s="395">
        <f>IFERROR(VLOOKUP($AG22,HomeBroker!$A$18:$F$106,4,0),0)</f>
        <v>0</v>
      </c>
      <c r="AL22" s="399">
        <f>IFERROR(VLOOKUP($AG22,HomeBroker!$A$18:$F$106,5,0),0)</f>
        <v>0</v>
      </c>
      <c r="AM22" s="399">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2964.6197437500009</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0</v>
      </c>
      <c r="EU22" s="72"/>
      <c r="EV22" s="117">
        <f t="shared" si="55"/>
        <v>2964.6197437500009</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0</v>
      </c>
    </row>
    <row r="23" spans="1:193" ht="15">
      <c r="A23" s="552" t="s">
        <v>401</v>
      </c>
      <c r="B23" s="204"/>
      <c r="C23" s="201"/>
      <c r="D23" s="564"/>
      <c r="E23" s="565">
        <f t="shared" si="0"/>
        <v>0</v>
      </c>
      <c r="F23" s="566">
        <f t="shared" si="1"/>
        <v>0</v>
      </c>
      <c r="G23" s="203" t="str">
        <f t="shared" si="2"/>
        <v/>
      </c>
      <c r="H23" s="570">
        <f t="shared" si="58"/>
        <v>0</v>
      </c>
      <c r="I23" s="571">
        <f t="shared" si="3"/>
        <v>0</v>
      </c>
      <c r="J23" s="62"/>
      <c r="K23" s="534">
        <f t="shared" si="74"/>
        <v>0.27628156250000035</v>
      </c>
      <c r="L23" s="219">
        <f t="shared" si="73"/>
        <v>3112.8507309375009</v>
      </c>
      <c r="M23" s="594">
        <f t="shared" si="5"/>
        <v>0</v>
      </c>
      <c r="N23" s="594">
        <f t="shared" ca="1" si="6"/>
        <v>0</v>
      </c>
      <c r="O23" s="62"/>
      <c r="P23" s="199" t="str">
        <f t="shared" si="69"/>
        <v/>
      </c>
      <c r="Q23" s="501">
        <f t="shared" si="70"/>
        <v>0</v>
      </c>
      <c r="R23" s="194"/>
      <c r="S23" s="555">
        <f t="shared" ca="1" si="60"/>
        <v>0</v>
      </c>
      <c r="T23" s="397" t="str">
        <f t="shared" si="61"/>
        <v/>
      </c>
      <c r="U23" s="397" t="str">
        <f t="shared" si="62"/>
        <v/>
      </c>
      <c r="V23" s="395">
        <f>IFERROR(VLOOKUP($U23,HomeBroker!$A$18:$F$106,2,0),0)</f>
        <v>0</v>
      </c>
      <c r="W23" s="557">
        <f>IFERROR(VLOOKUP($U23,HomeBroker!$A$18:$F$106,3,0),0)</f>
        <v>0</v>
      </c>
      <c r="X23" s="196">
        <f>IFERROR(VLOOKUP($U23,HomeBroker!$A$18:$F$106,6,0),0)</f>
        <v>0</v>
      </c>
      <c r="Y23" s="557">
        <f>IFERROR(VLOOKUP($U23,HomeBroker!$A$18:$F$106,4,0),0)</f>
        <v>0</v>
      </c>
      <c r="Z23" s="395">
        <f>IFERROR(VLOOKUP($U23,HomeBroker!$A$18:$F$106,5,0),0)</f>
        <v>0</v>
      </c>
      <c r="AA23" s="398">
        <f>IFERROR(VLOOKUP($U23,HomeBroker!$A$18:$N$121,13,0),0)</f>
        <v>0</v>
      </c>
      <c r="AB23" s="200" t="str">
        <f t="shared" si="71"/>
        <v/>
      </c>
      <c r="AC23" s="108">
        <f t="shared" si="72"/>
        <v>0</v>
      </c>
      <c r="AD23" s="194"/>
      <c r="AE23" s="396">
        <f t="shared" ca="1" si="64"/>
        <v>0</v>
      </c>
      <c r="AF23" s="397" t="str">
        <f t="shared" si="65"/>
        <v/>
      </c>
      <c r="AG23" s="397" t="str">
        <f t="shared" si="66"/>
        <v/>
      </c>
      <c r="AH23" s="399">
        <f>IFERROR(VLOOKUP($AG23,HomeBroker!$A$18:$F$106,2,0),0)</f>
        <v>0</v>
      </c>
      <c r="AI23" s="395">
        <f>IFERROR(VLOOKUP($AG23,HomeBroker!$A$18:$F$106,3,0),0)</f>
        <v>0</v>
      </c>
      <c r="AJ23" s="196">
        <f>IFERROR(VLOOKUP($AG23,HomeBroker!$A$18:$F$106,6,0),0)</f>
        <v>0</v>
      </c>
      <c r="AK23" s="395">
        <f>IFERROR(VLOOKUP($AG23,HomeBroker!$A$18:$F$106,4,0),0)</f>
        <v>0</v>
      </c>
      <c r="AL23" s="399">
        <f>IFERROR(VLOOKUP($AG23,HomeBroker!$A$18:$F$106,5,0),0)</f>
        <v>0</v>
      </c>
      <c r="AM23" s="399">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3112.8507309375009</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0</v>
      </c>
      <c r="EU23" s="72"/>
      <c r="EV23" s="117">
        <f t="shared" si="55"/>
        <v>3112.8507309375009</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0</v>
      </c>
    </row>
    <row r="24" spans="1:193" ht="15">
      <c r="A24" s="552" t="s">
        <v>401</v>
      </c>
      <c r="B24" s="204"/>
      <c r="C24" s="201"/>
      <c r="D24" s="564"/>
      <c r="E24" s="565">
        <f t="shared" si="0"/>
        <v>0</v>
      </c>
      <c r="F24" s="566">
        <f t="shared" si="1"/>
        <v>0</v>
      </c>
      <c r="G24" s="203" t="str">
        <f t="shared" si="2"/>
        <v/>
      </c>
      <c r="H24" s="570">
        <f t="shared" si="58"/>
        <v>0</v>
      </c>
      <c r="I24" s="571">
        <f t="shared" si="3"/>
        <v>0</v>
      </c>
      <c r="J24" s="62"/>
      <c r="K24" s="531">
        <f>IFERROR(+L24/$L$18-1,"")</f>
        <v>0.34009564062500042</v>
      </c>
      <c r="L24" s="218">
        <f t="shared" si="73"/>
        <v>3268.4932674843762</v>
      </c>
      <c r="M24" s="595">
        <f t="shared" si="5"/>
        <v>0</v>
      </c>
      <c r="N24" s="595">
        <f t="shared" ca="1" si="6"/>
        <v>0</v>
      </c>
      <c r="O24" s="62"/>
      <c r="P24" s="199" t="str">
        <f t="shared" si="69"/>
        <v/>
      </c>
      <c r="Q24" s="501">
        <f t="shared" si="70"/>
        <v>0</v>
      </c>
      <c r="R24" s="194"/>
      <c r="S24" s="555">
        <f t="shared" ca="1" si="60"/>
        <v>0</v>
      </c>
      <c r="T24" s="397" t="str">
        <f t="shared" si="61"/>
        <v/>
      </c>
      <c r="U24" s="397" t="str">
        <f t="shared" si="62"/>
        <v/>
      </c>
      <c r="V24" s="395">
        <f>IFERROR(VLOOKUP($U24,HomeBroker!$A$18:$F$106,2,0),0)</f>
        <v>0</v>
      </c>
      <c r="W24" s="557">
        <f>IFERROR(VLOOKUP($U24,HomeBroker!$A$18:$F$106,3,0),0)</f>
        <v>0</v>
      </c>
      <c r="X24" s="196">
        <f>IFERROR(VLOOKUP($U24,HomeBroker!$A$18:$F$106,6,0),0)</f>
        <v>0</v>
      </c>
      <c r="Y24" s="557">
        <f>IFERROR(VLOOKUP($U24,HomeBroker!$A$18:$F$106,4,0),0)</f>
        <v>0</v>
      </c>
      <c r="Z24" s="395">
        <f>IFERROR(VLOOKUP($U24,HomeBroker!$A$18:$F$106,5,0),0)</f>
        <v>0</v>
      </c>
      <c r="AA24" s="398">
        <f>IFERROR(VLOOKUP($U24,HomeBroker!$A$18:$N$121,13,0),0)</f>
        <v>0</v>
      </c>
      <c r="AB24" s="200" t="str">
        <f t="shared" si="71"/>
        <v/>
      </c>
      <c r="AC24" s="108">
        <f t="shared" si="72"/>
        <v>0</v>
      </c>
      <c r="AD24" s="194"/>
      <c r="AE24" s="396">
        <f t="shared" ca="1" si="64"/>
        <v>0</v>
      </c>
      <c r="AF24" s="397" t="str">
        <f t="shared" si="65"/>
        <v/>
      </c>
      <c r="AG24" s="397" t="str">
        <f t="shared" si="66"/>
        <v/>
      </c>
      <c r="AH24" s="399">
        <f>IFERROR(VLOOKUP($AG24,HomeBroker!$A$18:$F$106,2,0),0)</f>
        <v>0</v>
      </c>
      <c r="AI24" s="395">
        <f>IFERROR(VLOOKUP($AG24,HomeBroker!$A$18:$F$106,3,0),0)</f>
        <v>0</v>
      </c>
      <c r="AJ24" s="196">
        <f>IFERROR(VLOOKUP($AG24,HomeBroker!$A$18:$F$106,6,0),0)</f>
        <v>0</v>
      </c>
      <c r="AK24" s="395">
        <f>IFERROR(VLOOKUP($AG24,HomeBroker!$A$18:$F$106,4,0),0)</f>
        <v>0</v>
      </c>
      <c r="AL24" s="399">
        <f>IFERROR(VLOOKUP($AG24,HomeBroker!$A$18:$F$106,5,0),0)</f>
        <v>0</v>
      </c>
      <c r="AM24" s="399">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3268.4932674843762</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0</v>
      </c>
      <c r="EU24" s="72"/>
      <c r="EV24" s="117">
        <f t="shared" si="55"/>
        <v>3268.4932674843762</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0</v>
      </c>
    </row>
    <row r="25" spans="1:193" ht="15">
      <c r="A25" s="552" t="s">
        <v>401</v>
      </c>
      <c r="B25" s="204"/>
      <c r="C25" s="201"/>
      <c r="D25" s="564"/>
      <c r="E25" s="565">
        <f t="shared" si="0"/>
        <v>0</v>
      </c>
      <c r="F25" s="566">
        <f t="shared" si="1"/>
        <v>0</v>
      </c>
      <c r="G25" s="203" t="str">
        <f t="shared" si="2"/>
        <v/>
      </c>
      <c r="H25" s="570">
        <f t="shared" si="58"/>
        <v>0</v>
      </c>
      <c r="I25" s="571">
        <f t="shared" si="3"/>
        <v>0</v>
      </c>
      <c r="J25" s="62"/>
      <c r="K25" s="532"/>
      <c r="L25" s="218">
        <f t="shared" si="73"/>
        <v>3431.9179308585954</v>
      </c>
      <c r="M25" s="594">
        <f t="shared" si="5"/>
        <v>0</v>
      </c>
      <c r="N25" s="594">
        <f t="shared" ca="1" si="6"/>
        <v>0</v>
      </c>
      <c r="O25" s="62"/>
      <c r="P25" s="199" t="str">
        <f t="shared" si="69"/>
        <v/>
      </c>
      <c r="Q25" s="501">
        <f t="shared" si="70"/>
        <v>0</v>
      </c>
      <c r="R25" s="194"/>
      <c r="S25" s="555">
        <f t="shared" ca="1" si="60"/>
        <v>0</v>
      </c>
      <c r="T25" s="397" t="str">
        <f t="shared" si="61"/>
        <v/>
      </c>
      <c r="U25" s="397" t="str">
        <f t="shared" si="62"/>
        <v/>
      </c>
      <c r="V25" s="395">
        <f>IFERROR(VLOOKUP($U25,HomeBroker!$A$18:$F$106,2,0),0)</f>
        <v>0</v>
      </c>
      <c r="W25" s="557">
        <f>IFERROR(VLOOKUP($U25,HomeBroker!$A$18:$F$106,3,0),0)</f>
        <v>0</v>
      </c>
      <c r="X25" s="196">
        <f>IFERROR(VLOOKUP($U25,HomeBroker!$A$18:$F$106,6,0),0)</f>
        <v>0</v>
      </c>
      <c r="Y25" s="557">
        <f>IFERROR(VLOOKUP($U25,HomeBroker!$A$18:$F$106,4,0),0)</f>
        <v>0</v>
      </c>
      <c r="Z25" s="395">
        <f>IFERROR(VLOOKUP($U25,HomeBroker!$A$18:$F$106,5,0),0)</f>
        <v>0</v>
      </c>
      <c r="AA25" s="398">
        <f>IFERROR(VLOOKUP($U25,HomeBroker!$A$18:$N$121,13,0),0)</f>
        <v>0</v>
      </c>
      <c r="AB25" s="200" t="str">
        <f t="shared" si="71"/>
        <v/>
      </c>
      <c r="AC25" s="108">
        <f t="shared" si="72"/>
        <v>0</v>
      </c>
      <c r="AD25" s="194"/>
      <c r="AE25" s="396">
        <f t="shared" ca="1" si="64"/>
        <v>0</v>
      </c>
      <c r="AF25" s="397" t="str">
        <f t="shared" si="65"/>
        <v/>
      </c>
      <c r="AG25" s="397" t="str">
        <f t="shared" si="66"/>
        <v/>
      </c>
      <c r="AH25" s="399">
        <f>IFERROR(VLOOKUP($AG25,HomeBroker!$A$18:$F$106,2,0),0)</f>
        <v>0</v>
      </c>
      <c r="AI25" s="395">
        <f>IFERROR(VLOOKUP($AG25,HomeBroker!$A$18:$F$106,3,0),0)</f>
        <v>0</v>
      </c>
      <c r="AJ25" s="196">
        <f>IFERROR(VLOOKUP($AG25,HomeBroker!$A$18:$F$106,6,0),0)</f>
        <v>0</v>
      </c>
      <c r="AK25" s="395">
        <f>IFERROR(VLOOKUP($AG25,HomeBroker!$A$18:$F$106,4,0),0)</f>
        <v>0</v>
      </c>
      <c r="AL25" s="399">
        <f>IFERROR(VLOOKUP($AG25,HomeBroker!$A$18:$F$106,5,0),0)</f>
        <v>0</v>
      </c>
      <c r="AM25" s="399">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3431.9179308585954</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0</v>
      </c>
      <c r="EU25" s="72"/>
      <c r="EV25" s="117">
        <f t="shared" si="55"/>
        <v>3431.9179308585954</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0</v>
      </c>
    </row>
    <row r="26" spans="1:193" ht="15">
      <c r="A26" s="552" t="s">
        <v>401</v>
      </c>
      <c r="B26" s="204"/>
      <c r="C26" s="201"/>
      <c r="D26" s="564"/>
      <c r="E26" s="565">
        <f t="shared" si="0"/>
        <v>0</v>
      </c>
      <c r="F26" s="566">
        <f t="shared" si="1"/>
        <v>0</v>
      </c>
      <c r="G26" s="203" t="str">
        <f t="shared" si="2"/>
        <v/>
      </c>
      <c r="H26" s="570">
        <f t="shared" si="58"/>
        <v>0</v>
      </c>
      <c r="I26" s="571">
        <f t="shared" si="3"/>
        <v>0</v>
      </c>
      <c r="J26" s="62"/>
      <c r="K26" s="532"/>
      <c r="L26" s="218">
        <f t="shared" si="73"/>
        <v>3603.5138274015253</v>
      </c>
      <c r="M26" s="594">
        <f t="shared" si="5"/>
        <v>0</v>
      </c>
      <c r="N26" s="594">
        <f t="shared" ca="1" si="6"/>
        <v>0</v>
      </c>
      <c r="O26" s="62"/>
      <c r="P26" s="199" t="str">
        <f t="shared" si="69"/>
        <v/>
      </c>
      <c r="Q26" s="501">
        <f t="shared" si="70"/>
        <v>0</v>
      </c>
      <c r="R26" s="194"/>
      <c r="S26" s="555">
        <f t="shared" ca="1" si="60"/>
        <v>0</v>
      </c>
      <c r="T26" s="397" t="str">
        <f t="shared" si="61"/>
        <v/>
      </c>
      <c r="U26" s="397" t="str">
        <f t="shared" si="62"/>
        <v/>
      </c>
      <c r="V26" s="395">
        <f>IFERROR(VLOOKUP($U26,HomeBroker!$A$18:$F$106,2,0),0)</f>
        <v>0</v>
      </c>
      <c r="W26" s="557">
        <f>IFERROR(VLOOKUP($U26,HomeBroker!$A$18:$F$106,3,0),0)</f>
        <v>0</v>
      </c>
      <c r="X26" s="196">
        <f>IFERROR(VLOOKUP($U26,HomeBroker!$A$18:$F$106,6,0),0)</f>
        <v>0</v>
      </c>
      <c r="Y26" s="557">
        <f>IFERROR(VLOOKUP($U26,HomeBroker!$A$18:$F$106,4,0),0)</f>
        <v>0</v>
      </c>
      <c r="Z26" s="395">
        <f>IFERROR(VLOOKUP($U26,HomeBroker!$A$18:$F$106,5,0),0)</f>
        <v>0</v>
      </c>
      <c r="AA26" s="398">
        <f>IFERROR(VLOOKUP($U26,HomeBroker!$A$18:$N$121,13,0),0)</f>
        <v>0</v>
      </c>
      <c r="AB26" s="200" t="str">
        <f t="shared" si="71"/>
        <v/>
      </c>
      <c r="AC26" s="108">
        <f t="shared" si="72"/>
        <v>0</v>
      </c>
      <c r="AD26" s="194"/>
      <c r="AE26" s="396">
        <f t="shared" ca="1" si="64"/>
        <v>0</v>
      </c>
      <c r="AF26" s="397" t="str">
        <f t="shared" si="65"/>
        <v/>
      </c>
      <c r="AG26" s="397" t="str">
        <f t="shared" si="66"/>
        <v/>
      </c>
      <c r="AH26" s="399">
        <f>IFERROR(VLOOKUP($AG26,HomeBroker!$A$18:$F$106,2,0),0)</f>
        <v>0</v>
      </c>
      <c r="AI26" s="395">
        <f>IFERROR(VLOOKUP($AG26,HomeBroker!$A$18:$F$106,3,0),0)</f>
        <v>0</v>
      </c>
      <c r="AJ26" s="196">
        <f>IFERROR(VLOOKUP($AG26,HomeBroker!$A$18:$F$106,6,0),0)</f>
        <v>0</v>
      </c>
      <c r="AK26" s="395">
        <f>IFERROR(VLOOKUP($AG26,HomeBroker!$A$18:$F$106,4,0),0)</f>
        <v>0</v>
      </c>
      <c r="AL26" s="399">
        <f>IFERROR(VLOOKUP($AG26,HomeBroker!$A$18:$F$106,5,0),0)</f>
        <v>0</v>
      </c>
      <c r="AM26" s="399">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3603.5138274015253</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0</v>
      </c>
      <c r="EU26" s="72"/>
      <c r="EV26" s="117">
        <f t="shared" si="55"/>
        <v>3603.5138274015253</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0</v>
      </c>
    </row>
    <row r="27" spans="1:193" ht="15">
      <c r="A27" s="552" t="s">
        <v>401</v>
      </c>
      <c r="B27" s="206"/>
      <c r="C27" s="201"/>
      <c r="D27" s="564"/>
      <c r="E27" s="565">
        <f t="shared" si="0"/>
        <v>0</v>
      </c>
      <c r="F27" s="566">
        <f t="shared" si="1"/>
        <v>0</v>
      </c>
      <c r="G27" s="203" t="str">
        <f t="shared" si="2"/>
        <v/>
      </c>
      <c r="H27" s="570">
        <f t="shared" si="58"/>
        <v>0</v>
      </c>
      <c r="I27" s="571">
        <f t="shared" si="3"/>
        <v>0</v>
      </c>
      <c r="J27" s="62"/>
      <c r="K27" s="532"/>
      <c r="L27" s="218">
        <f t="shared" si="73"/>
        <v>3783.6895187716018</v>
      </c>
      <c r="M27" s="595">
        <f t="shared" si="5"/>
        <v>0</v>
      </c>
      <c r="N27" s="595">
        <f t="shared" ca="1" si="6"/>
        <v>0</v>
      </c>
      <c r="O27" s="62"/>
      <c r="P27" s="199" t="str">
        <f t="shared" si="69"/>
        <v/>
      </c>
      <c r="Q27" s="501">
        <f t="shared" si="70"/>
        <v>0</v>
      </c>
      <c r="R27" s="194"/>
      <c r="S27" s="555">
        <f t="shared" ca="1" si="60"/>
        <v>0</v>
      </c>
      <c r="T27" s="397"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7"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5">
        <f>IFERROR(VLOOKUP($U27,HomeBroker!$A$18:$F$106,2,0),0)</f>
        <v>0</v>
      </c>
      <c r="W27" s="557">
        <f>IFERROR(VLOOKUP($U27,HomeBroker!$A$18:$F$106,3,0),0)</f>
        <v>0</v>
      </c>
      <c r="X27" s="196">
        <f>IFERROR(VLOOKUP($U27,HomeBroker!$A$18:$F$106,6,0),0)</f>
        <v>0</v>
      </c>
      <c r="Y27" s="557">
        <f>IFERROR(VLOOKUP($U27,HomeBroker!$A$18:$F$106,4,0),0)</f>
        <v>0</v>
      </c>
      <c r="Z27" s="395">
        <f>IFERROR(VLOOKUP($U27,HomeBroker!$A$18:$F$106,5,0),0)</f>
        <v>0</v>
      </c>
      <c r="AA27" s="398">
        <f>IFERROR(VLOOKUP($U27,HomeBroker!$A$18:$N$121,13,0),0)</f>
        <v>0</v>
      </c>
      <c r="AB27" s="200" t="str">
        <f t="shared" si="71"/>
        <v/>
      </c>
      <c r="AC27" s="108">
        <f t="shared" si="72"/>
        <v>0</v>
      </c>
      <c r="AD27" s="130"/>
      <c r="AE27" s="396">
        <f t="shared" ca="1" si="64"/>
        <v>0</v>
      </c>
      <c r="AF27" s="397"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7"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9">
        <f>IFERROR(VLOOKUP($AG27,HomeBroker!$A$18:$F$106,2,0),0)</f>
        <v>0</v>
      </c>
      <c r="AI27" s="395">
        <f>IFERROR(VLOOKUP($AG27,HomeBroker!$A$18:$F$106,3,0),0)</f>
        <v>0</v>
      </c>
      <c r="AJ27" s="196">
        <f>IFERROR(VLOOKUP($AG27,HomeBroker!$A$18:$F$106,6,0),0)</f>
        <v>0</v>
      </c>
      <c r="AK27" s="395">
        <f>IFERROR(VLOOKUP($AG27,HomeBroker!$A$18:$F$106,4,0),0)</f>
        <v>0</v>
      </c>
      <c r="AL27" s="399">
        <f>IFERROR(VLOOKUP($AG27,HomeBroker!$A$18:$F$106,5,0),0)</f>
        <v>0</v>
      </c>
      <c r="AM27" s="399">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3783.6895187716018</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0</v>
      </c>
      <c r="EU27" s="72"/>
      <c r="EV27" s="117">
        <f t="shared" si="55"/>
        <v>3783.6895187716018</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0</v>
      </c>
    </row>
    <row r="28" spans="1:193" ht="15">
      <c r="A28" s="552" t="s">
        <v>401</v>
      </c>
      <c r="B28" s="204"/>
      <c r="C28" s="201"/>
      <c r="D28" s="564"/>
      <c r="E28" s="565">
        <f t="shared" si="0"/>
        <v>0</v>
      </c>
      <c r="F28" s="566">
        <f t="shared" si="1"/>
        <v>0</v>
      </c>
      <c r="G28" s="203" t="str">
        <f t="shared" si="2"/>
        <v/>
      </c>
      <c r="H28" s="570">
        <f t="shared" si="58"/>
        <v>0</v>
      </c>
      <c r="I28" s="571">
        <f t="shared" si="3"/>
        <v>0</v>
      </c>
      <c r="J28" s="62"/>
      <c r="K28" s="535"/>
      <c r="L28" s="218">
        <f t="shared" si="73"/>
        <v>3972.8739947101822</v>
      </c>
      <c r="M28" s="594">
        <f t="shared" si="5"/>
        <v>0</v>
      </c>
      <c r="N28" s="594">
        <f t="shared" ca="1" si="6"/>
        <v>0</v>
      </c>
      <c r="O28" s="62"/>
      <c r="P28" s="199" t="str">
        <f t="shared" si="69"/>
        <v/>
      </c>
      <c r="Q28" s="501">
        <f t="shared" si="70"/>
        <v>0</v>
      </c>
      <c r="R28" s="194"/>
      <c r="S28" s="555">
        <f t="shared" ca="1" si="60"/>
        <v>0</v>
      </c>
      <c r="T28" s="397" t="str">
        <f t="shared" si="75"/>
        <v/>
      </c>
      <c r="U28" s="397" t="str">
        <f t="shared" si="76"/>
        <v/>
      </c>
      <c r="V28" s="395">
        <f>IFERROR(VLOOKUP($U28,HomeBroker!$A$18:$F$106,2,0),0)</f>
        <v>0</v>
      </c>
      <c r="W28" s="557">
        <f>IFERROR(VLOOKUP($U28,HomeBroker!$A$18:$F$106,3,0),0)</f>
        <v>0</v>
      </c>
      <c r="X28" s="196">
        <f>IFERROR(VLOOKUP($U28,HomeBroker!$A$18:$F$106,6,0),0)</f>
        <v>0</v>
      </c>
      <c r="Y28" s="557">
        <f>IFERROR(VLOOKUP($U28,HomeBroker!$A$18:$F$106,4,0),0)</f>
        <v>0</v>
      </c>
      <c r="Z28" s="395">
        <f>IFERROR(VLOOKUP($U28,HomeBroker!$A$18:$F$106,5,0),0)</f>
        <v>0</v>
      </c>
      <c r="AA28" s="398">
        <f>IFERROR(VLOOKUP($U28,HomeBroker!$A$18:$N$121,13,0),0)</f>
        <v>0</v>
      </c>
      <c r="AB28" s="200" t="str">
        <f t="shared" si="71"/>
        <v/>
      </c>
      <c r="AC28" s="108">
        <f t="shared" si="72"/>
        <v>0</v>
      </c>
      <c r="AD28" s="130"/>
      <c r="AE28" s="396">
        <f t="shared" ca="1" si="64"/>
        <v>0</v>
      </c>
      <c r="AF28" s="397" t="str">
        <f t="shared" si="77"/>
        <v/>
      </c>
      <c r="AG28" s="397" t="str">
        <f t="shared" si="78"/>
        <v/>
      </c>
      <c r="AH28" s="399">
        <f>IFERROR(VLOOKUP($AG28,HomeBroker!$A$18:$F$106,2,0),0)</f>
        <v>0</v>
      </c>
      <c r="AI28" s="395">
        <f>IFERROR(VLOOKUP($AG28,HomeBroker!$A$18:$F$106,3,0),0)</f>
        <v>0</v>
      </c>
      <c r="AJ28" s="196">
        <f>IFERROR(VLOOKUP($AG28,HomeBroker!$A$18:$F$106,6,0),0)</f>
        <v>0</v>
      </c>
      <c r="AK28" s="395">
        <f>IFERROR(VLOOKUP($AG28,HomeBroker!$A$18:$F$106,4,0),0)</f>
        <v>0</v>
      </c>
      <c r="AL28" s="399">
        <f>IFERROR(VLOOKUP($AG28,HomeBroker!$A$18:$F$106,5,0),0)</f>
        <v>0</v>
      </c>
      <c r="AM28" s="399">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3972.8739947101822</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0</v>
      </c>
      <c r="EU28" s="72"/>
      <c r="EV28" s="117">
        <f t="shared" si="55"/>
        <v>3972.8739947101822</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0</v>
      </c>
    </row>
    <row r="29" spans="1:193" ht="15">
      <c r="A29" s="552" t="s">
        <v>401</v>
      </c>
      <c r="B29" s="204"/>
      <c r="C29" s="201"/>
      <c r="D29" s="564"/>
      <c r="E29" s="565">
        <f t="shared" si="0"/>
        <v>0</v>
      </c>
      <c r="F29" s="566">
        <f t="shared" si="1"/>
        <v>0</v>
      </c>
      <c r="G29" s="203" t="str">
        <f t="shared" si="2"/>
        <v/>
      </c>
      <c r="H29" s="570">
        <f t="shared" si="58"/>
        <v>0</v>
      </c>
      <c r="I29" s="571">
        <f t="shared" si="3"/>
        <v>0</v>
      </c>
      <c r="J29" s="62"/>
      <c r="K29" s="106">
        <f>IFERROR(+L29/$L$18-1,"")</f>
        <v>0.71033935811631466</v>
      </c>
      <c r="L29" s="221">
        <f t="shared" si="73"/>
        <v>4171.5176944456916</v>
      </c>
      <c r="M29" s="594">
        <f t="shared" si="5"/>
        <v>0</v>
      </c>
      <c r="N29" s="594">
        <f t="shared" ca="1" si="6"/>
        <v>0</v>
      </c>
      <c r="O29" s="62"/>
      <c r="P29" s="199" t="str">
        <f t="shared" si="69"/>
        <v/>
      </c>
      <c r="Q29" s="501">
        <f t="shared" si="70"/>
        <v>0</v>
      </c>
      <c r="R29" s="194"/>
      <c r="S29" s="555">
        <f t="shared" ca="1" si="60"/>
        <v>0</v>
      </c>
      <c r="T29" s="397" t="str">
        <f t="shared" si="75"/>
        <v/>
      </c>
      <c r="U29" s="397" t="str">
        <f t="shared" si="76"/>
        <v/>
      </c>
      <c r="V29" s="395">
        <f>IFERROR(VLOOKUP($U29,HomeBroker!$A$18:$F$106,2,0),0)</f>
        <v>0</v>
      </c>
      <c r="W29" s="557">
        <f>IFERROR(VLOOKUP($U29,HomeBroker!$A$18:$F$106,3,0),0)</f>
        <v>0</v>
      </c>
      <c r="X29" s="196">
        <f>IFERROR(VLOOKUP($U29,HomeBroker!$A$18:$F$106,6,0),0)</f>
        <v>0</v>
      </c>
      <c r="Y29" s="557">
        <f>IFERROR(VLOOKUP($U29,HomeBroker!$A$18:$F$106,4,0),0)</f>
        <v>0</v>
      </c>
      <c r="Z29" s="395">
        <f>IFERROR(VLOOKUP($U29,HomeBroker!$A$18:$F$106,5,0),0)</f>
        <v>0</v>
      </c>
      <c r="AA29" s="398">
        <f>IFERROR(VLOOKUP($U29,HomeBroker!$A$18:$N$121,13,0),0)</f>
        <v>0</v>
      </c>
      <c r="AB29" s="200" t="str">
        <f t="shared" si="71"/>
        <v/>
      </c>
      <c r="AC29" s="108">
        <f t="shared" si="72"/>
        <v>0</v>
      </c>
      <c r="AD29" s="130"/>
      <c r="AE29" s="396">
        <f t="shared" ca="1" si="64"/>
        <v>0</v>
      </c>
      <c r="AF29" s="397" t="str">
        <f t="shared" si="77"/>
        <v/>
      </c>
      <c r="AG29" s="397" t="str">
        <f t="shared" si="78"/>
        <v/>
      </c>
      <c r="AH29" s="399">
        <f>IFERROR(VLOOKUP($AG29,HomeBroker!$A$18:$F$106,2,0),0)</f>
        <v>0</v>
      </c>
      <c r="AI29" s="395">
        <f>IFERROR(VLOOKUP($AG29,HomeBroker!$A$18:$F$106,3,0),0)</f>
        <v>0</v>
      </c>
      <c r="AJ29" s="196">
        <f>IFERROR(VLOOKUP($AG29,HomeBroker!$A$18:$F$106,6,0),0)</f>
        <v>0</v>
      </c>
      <c r="AK29" s="395">
        <f>IFERROR(VLOOKUP($AG29,HomeBroker!$A$18:$F$106,4,0),0)</f>
        <v>0</v>
      </c>
      <c r="AL29" s="399">
        <f>IFERROR(VLOOKUP($AG29,HomeBroker!$A$18:$F$106,5,0),0)</f>
        <v>0</v>
      </c>
      <c r="AM29" s="399">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4171.5176944456916</v>
      </c>
      <c r="DF29" s="118">
        <f t="shared" si="18"/>
        <v>0</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0</v>
      </c>
      <c r="EQ29" s="119"/>
      <c r="ER29" s="126"/>
      <c r="ES29" s="122"/>
      <c r="ET29" s="123">
        <f t="shared" si="54"/>
        <v>0</v>
      </c>
      <c r="EU29" s="72"/>
      <c r="EV29" s="117">
        <f t="shared" si="55"/>
        <v>4171.5176944456916</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0</v>
      </c>
    </row>
    <row r="30" spans="1:193" ht="15">
      <c r="A30" s="552" t="s">
        <v>401</v>
      </c>
      <c r="B30" s="204"/>
      <c r="C30" s="201"/>
      <c r="D30" s="564"/>
      <c r="E30" s="565">
        <f t="shared" si="0"/>
        <v>0</v>
      </c>
      <c r="F30" s="566">
        <f t="shared" si="1"/>
        <v>0</v>
      </c>
      <c r="G30" s="203" t="str">
        <f t="shared" si="2"/>
        <v/>
      </c>
      <c r="H30" s="570">
        <f t="shared" si="58"/>
        <v>0</v>
      </c>
      <c r="I30" s="571">
        <f t="shared" si="3"/>
        <v>0</v>
      </c>
      <c r="J30" s="62"/>
      <c r="K30" s="106"/>
      <c r="L30" s="221">
        <f t="shared" si="73"/>
        <v>4380.0935791679767</v>
      </c>
      <c r="M30" s="595">
        <f t="shared" si="5"/>
        <v>0</v>
      </c>
      <c r="N30" s="595">
        <f t="shared" ca="1" si="6"/>
        <v>0</v>
      </c>
      <c r="O30" s="62"/>
      <c r="P30" s="199" t="str">
        <f t="shared" si="69"/>
        <v/>
      </c>
      <c r="Q30" s="501">
        <f t="shared" si="70"/>
        <v>0</v>
      </c>
      <c r="R30" s="194"/>
      <c r="S30" s="555">
        <f t="shared" ca="1" si="60"/>
        <v>0</v>
      </c>
      <c r="T30" s="397" t="str">
        <f t="shared" si="75"/>
        <v/>
      </c>
      <c r="U30" s="397" t="str">
        <f t="shared" si="76"/>
        <v/>
      </c>
      <c r="V30" s="395">
        <f>IFERROR(VLOOKUP($U30,HomeBroker!$A$18:$F$106,2,0),0)</f>
        <v>0</v>
      </c>
      <c r="W30" s="557">
        <f>IFERROR(VLOOKUP($U30,HomeBroker!$A$18:$F$106,3,0),0)</f>
        <v>0</v>
      </c>
      <c r="X30" s="196">
        <f>IFERROR(VLOOKUP($U30,HomeBroker!$A$18:$F$106,6,0),0)</f>
        <v>0</v>
      </c>
      <c r="Y30" s="557">
        <f>IFERROR(VLOOKUP($U30,HomeBroker!$A$18:$F$106,4,0),0)</f>
        <v>0</v>
      </c>
      <c r="Z30" s="395">
        <f>IFERROR(VLOOKUP($U30,HomeBroker!$A$18:$F$106,5,0),0)</f>
        <v>0</v>
      </c>
      <c r="AA30" s="398">
        <f>IFERROR(VLOOKUP($U30,HomeBroker!$A$18:$N$121,13,0),0)</f>
        <v>0</v>
      </c>
      <c r="AB30" s="200" t="str">
        <f t="shared" si="71"/>
        <v/>
      </c>
      <c r="AC30" s="108">
        <f t="shared" si="72"/>
        <v>0</v>
      </c>
      <c r="AD30" s="130"/>
      <c r="AE30" s="396">
        <f t="shared" ca="1" si="64"/>
        <v>0</v>
      </c>
      <c r="AF30" s="397" t="str">
        <f t="shared" si="77"/>
        <v/>
      </c>
      <c r="AG30" s="397" t="str">
        <f t="shared" si="78"/>
        <v/>
      </c>
      <c r="AH30" s="399">
        <f>IFERROR(VLOOKUP($AG30,HomeBroker!$A$18:$F$106,2,0),0)</f>
        <v>0</v>
      </c>
      <c r="AI30" s="395">
        <f>IFERROR(VLOOKUP($AG30,HomeBroker!$A$18:$F$106,3,0),0)</f>
        <v>0</v>
      </c>
      <c r="AJ30" s="196">
        <f>IFERROR(VLOOKUP($AG30,HomeBroker!$A$18:$F$106,6,0),0)</f>
        <v>0</v>
      </c>
      <c r="AK30" s="395">
        <f>IFERROR(VLOOKUP($AG30,HomeBroker!$A$18:$F$106,4,0),0)</f>
        <v>0</v>
      </c>
      <c r="AL30" s="399">
        <f>IFERROR(VLOOKUP($AG30,HomeBroker!$A$18:$F$106,5,0),0)</f>
        <v>0</v>
      </c>
      <c r="AM30" s="399">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4380.0935791679767</v>
      </c>
      <c r="DF30" s="118">
        <f t="shared" si="18"/>
        <v>0</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0</v>
      </c>
      <c r="EQ30" s="119"/>
      <c r="ER30" s="126"/>
      <c r="ES30" s="122"/>
      <c r="ET30" s="123">
        <f t="shared" si="54"/>
        <v>0</v>
      </c>
      <c r="EU30" s="72"/>
      <c r="EV30" s="117">
        <f t="shared" si="55"/>
        <v>4380.0935791679767</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0</v>
      </c>
    </row>
    <row r="31" spans="1:193" ht="15">
      <c r="A31" s="552" t="s">
        <v>401</v>
      </c>
      <c r="B31" s="204"/>
      <c r="C31" s="201"/>
      <c r="D31" s="564"/>
      <c r="E31" s="565">
        <f t="shared" si="0"/>
        <v>0</v>
      </c>
      <c r="F31" s="566">
        <f t="shared" si="1"/>
        <v>0</v>
      </c>
      <c r="G31" s="203" t="str">
        <f t="shared" si="2"/>
        <v/>
      </c>
      <c r="H31" s="570">
        <f t="shared" si="58"/>
        <v>0</v>
      </c>
      <c r="I31" s="571">
        <f t="shared" si="3"/>
        <v>0</v>
      </c>
      <c r="J31" s="62"/>
      <c r="K31" s="106"/>
      <c r="L31" s="221">
        <f t="shared" si="73"/>
        <v>4599.0982581263761</v>
      </c>
      <c r="M31" s="594">
        <f t="shared" si="5"/>
        <v>0</v>
      </c>
      <c r="N31" s="594">
        <f t="shared" ca="1" si="6"/>
        <v>0</v>
      </c>
      <c r="O31" s="62"/>
      <c r="P31" s="199" t="str">
        <f t="shared" si="69"/>
        <v/>
      </c>
      <c r="Q31" s="501">
        <f t="shared" si="70"/>
        <v>0</v>
      </c>
      <c r="R31" s="194"/>
      <c r="S31" s="555">
        <f t="shared" ca="1" si="60"/>
        <v>0</v>
      </c>
      <c r="T31" s="397" t="str">
        <f t="shared" si="75"/>
        <v/>
      </c>
      <c r="U31" s="397" t="str">
        <f t="shared" si="76"/>
        <v/>
      </c>
      <c r="V31" s="395">
        <f>IFERROR(VLOOKUP($U31,HomeBroker!$A$18:$F$106,2,0),0)</f>
        <v>0</v>
      </c>
      <c r="W31" s="557">
        <f>IFERROR(VLOOKUP($U31,HomeBroker!$A$18:$F$106,3,0),0)</f>
        <v>0</v>
      </c>
      <c r="X31" s="196">
        <f>IFERROR(VLOOKUP($U31,HomeBroker!$A$18:$F$106,6,0),0)</f>
        <v>0</v>
      </c>
      <c r="Y31" s="557">
        <f>IFERROR(VLOOKUP($U31,HomeBroker!$A$18:$F$106,4,0),0)</f>
        <v>0</v>
      </c>
      <c r="Z31" s="395">
        <f>IFERROR(VLOOKUP($U31,HomeBroker!$A$18:$F$106,5,0),0)</f>
        <v>0</v>
      </c>
      <c r="AA31" s="398">
        <f>IFERROR(VLOOKUP($U31,HomeBroker!$A$18:$N$121,13,0),0)</f>
        <v>0</v>
      </c>
      <c r="AB31" s="200" t="str">
        <f t="shared" si="71"/>
        <v/>
      </c>
      <c r="AC31" s="108">
        <f t="shared" si="72"/>
        <v>0</v>
      </c>
      <c r="AD31" s="130"/>
      <c r="AE31" s="396">
        <f t="shared" ca="1" si="64"/>
        <v>0</v>
      </c>
      <c r="AF31" s="397" t="str">
        <f t="shared" si="77"/>
        <v/>
      </c>
      <c r="AG31" s="397" t="str">
        <f t="shared" si="78"/>
        <v/>
      </c>
      <c r="AH31" s="399">
        <f>IFERROR(VLOOKUP($AG31,HomeBroker!$A$18:$F$106,2,0),0)</f>
        <v>0</v>
      </c>
      <c r="AI31" s="395">
        <f>IFERROR(VLOOKUP($AG31,HomeBroker!$A$18:$F$106,3,0),0)</f>
        <v>0</v>
      </c>
      <c r="AJ31" s="196">
        <f>IFERROR(VLOOKUP($AG31,HomeBroker!$A$18:$F$106,6,0),0)</f>
        <v>0</v>
      </c>
      <c r="AK31" s="395">
        <f>IFERROR(VLOOKUP($AG31,HomeBroker!$A$18:$F$106,4,0),0)</f>
        <v>0</v>
      </c>
      <c r="AL31" s="399">
        <f>IFERROR(VLOOKUP($AG31,HomeBroker!$A$18:$F$106,5,0),0)</f>
        <v>0</v>
      </c>
      <c r="AM31" s="399">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4599.0982581263761</v>
      </c>
      <c r="DF31" s="118">
        <f t="shared" si="18"/>
        <v>0</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0</v>
      </c>
      <c r="EQ31" s="119"/>
      <c r="ER31" s="126"/>
      <c r="ES31" s="122"/>
      <c r="ET31" s="123">
        <f t="shared" si="54"/>
        <v>0</v>
      </c>
      <c r="EU31" s="72"/>
      <c r="EV31" s="117">
        <f t="shared" si="55"/>
        <v>4599.0982581263761</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0</v>
      </c>
    </row>
    <row r="32" spans="1:193" ht="15">
      <c r="A32" s="552" t="s">
        <v>401</v>
      </c>
      <c r="B32" s="204"/>
      <c r="C32" s="201"/>
      <c r="D32" s="564"/>
      <c r="E32" s="565">
        <f t="shared" si="0"/>
        <v>0</v>
      </c>
      <c r="F32" s="566">
        <f t="shared" si="1"/>
        <v>0</v>
      </c>
      <c r="G32" s="203" t="str">
        <f t="shared" si="2"/>
        <v/>
      </c>
      <c r="H32" s="570">
        <f t="shared" si="58"/>
        <v>0</v>
      </c>
      <c r="I32" s="571">
        <f t="shared" si="3"/>
        <v>0</v>
      </c>
      <c r="J32" s="62"/>
      <c r="K32" s="106"/>
      <c r="L32" s="221">
        <f t="shared" si="73"/>
        <v>4829.053171032695</v>
      </c>
      <c r="M32" s="594">
        <f t="shared" si="5"/>
        <v>0</v>
      </c>
      <c r="N32" s="594">
        <f t="shared" ca="1" si="6"/>
        <v>0</v>
      </c>
      <c r="O32" s="62"/>
      <c r="P32" s="199" t="str">
        <f t="shared" si="69"/>
        <v/>
      </c>
      <c r="Q32" s="501">
        <f t="shared" si="70"/>
        <v>0</v>
      </c>
      <c r="R32" s="194"/>
      <c r="S32" s="555">
        <f t="shared" ca="1" si="60"/>
        <v>0</v>
      </c>
      <c r="T32" s="397" t="str">
        <f t="shared" si="75"/>
        <v/>
      </c>
      <c r="U32" s="397" t="str">
        <f t="shared" si="76"/>
        <v/>
      </c>
      <c r="V32" s="395">
        <f>IFERROR(VLOOKUP($U32,HomeBroker!$A$18:$F$106,2,0),0)</f>
        <v>0</v>
      </c>
      <c r="W32" s="557">
        <f>IFERROR(VLOOKUP($U32,HomeBroker!$A$18:$F$106,3,0),0)</f>
        <v>0</v>
      </c>
      <c r="X32" s="196">
        <f>IFERROR(VLOOKUP($U32,HomeBroker!$A$18:$F$106,6,0),0)</f>
        <v>0</v>
      </c>
      <c r="Y32" s="557">
        <f>IFERROR(VLOOKUP($U32,HomeBroker!$A$18:$F$106,4,0),0)</f>
        <v>0</v>
      </c>
      <c r="Z32" s="395">
        <f>IFERROR(VLOOKUP($U32,HomeBroker!$A$18:$F$106,5,0),0)</f>
        <v>0</v>
      </c>
      <c r="AA32" s="398">
        <f>IFERROR(VLOOKUP($U32,HomeBroker!$A$18:$N$121,13,0),0)</f>
        <v>0</v>
      </c>
      <c r="AB32" s="200" t="str">
        <f t="shared" si="71"/>
        <v/>
      </c>
      <c r="AC32" s="108">
        <f t="shared" si="72"/>
        <v>0</v>
      </c>
      <c r="AD32" s="130"/>
      <c r="AE32" s="396">
        <f t="shared" ca="1" si="64"/>
        <v>0</v>
      </c>
      <c r="AF32" s="397" t="str">
        <f t="shared" si="77"/>
        <v/>
      </c>
      <c r="AG32" s="397" t="str">
        <f t="shared" si="78"/>
        <v/>
      </c>
      <c r="AH32" s="399">
        <f>IFERROR(VLOOKUP($AG32,HomeBroker!$A$18:$F$106,2,0),0)</f>
        <v>0</v>
      </c>
      <c r="AI32" s="395">
        <f>IFERROR(VLOOKUP($AG32,HomeBroker!$A$18:$F$106,3,0),0)</f>
        <v>0</v>
      </c>
      <c r="AJ32" s="196">
        <f>IFERROR(VLOOKUP($AG32,HomeBroker!$A$18:$F$106,6,0),0)</f>
        <v>0</v>
      </c>
      <c r="AK32" s="395">
        <f>IFERROR(VLOOKUP($AG32,HomeBroker!$A$18:$F$106,4,0),0)</f>
        <v>0</v>
      </c>
      <c r="AL32" s="399">
        <f>IFERROR(VLOOKUP($AG32,HomeBroker!$A$18:$F$106,5,0),0)</f>
        <v>0</v>
      </c>
      <c r="AM32" s="399">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4829.053171032695</v>
      </c>
      <c r="DF32" s="118">
        <f t="shared" si="18"/>
        <v>0</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0</v>
      </c>
      <c r="EQ32" s="119"/>
      <c r="ER32" s="126"/>
      <c r="ES32" s="122"/>
      <c r="ET32" s="123">
        <f t="shared" si="54"/>
        <v>0</v>
      </c>
      <c r="EU32" s="72"/>
      <c r="EV32" s="117">
        <f t="shared" si="55"/>
        <v>4829.053171032695</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0</v>
      </c>
    </row>
    <row r="33" spans="1:193" ht="15">
      <c r="A33" s="552" t="s">
        <v>401</v>
      </c>
      <c r="B33" s="204"/>
      <c r="C33" s="201"/>
      <c r="D33" s="564"/>
      <c r="E33" s="565">
        <f t="shared" si="0"/>
        <v>0</v>
      </c>
      <c r="F33" s="566">
        <f t="shared" si="1"/>
        <v>0</v>
      </c>
      <c r="G33" s="203" t="str">
        <f t="shared" si="2"/>
        <v/>
      </c>
      <c r="H33" s="570">
        <f t="shared" si="58"/>
        <v>0</v>
      </c>
      <c r="I33" s="571">
        <f t="shared" si="3"/>
        <v>0</v>
      </c>
      <c r="J33" s="62"/>
      <c r="K33" s="106"/>
      <c r="L33" s="221">
        <f t="shared" si="73"/>
        <v>5070.5058295843301</v>
      </c>
      <c r="M33" s="595">
        <f t="shared" si="5"/>
        <v>0</v>
      </c>
      <c r="N33" s="595">
        <f t="shared" ca="1" si="6"/>
        <v>0</v>
      </c>
      <c r="O33" s="62"/>
      <c r="P33" s="199" t="str">
        <f t="shared" si="69"/>
        <v/>
      </c>
      <c r="Q33" s="501">
        <f t="shared" si="70"/>
        <v>0</v>
      </c>
      <c r="R33" s="194"/>
      <c r="S33" s="555">
        <f t="shared" ca="1" si="60"/>
        <v>0</v>
      </c>
      <c r="T33" s="397" t="str">
        <f t="shared" si="75"/>
        <v/>
      </c>
      <c r="U33" s="397" t="str">
        <f t="shared" si="76"/>
        <v/>
      </c>
      <c r="V33" s="395">
        <f>IFERROR(VLOOKUP($U33,HomeBroker!$A$18:$F$106,2,0),0)</f>
        <v>0</v>
      </c>
      <c r="W33" s="557">
        <f>IFERROR(VLOOKUP($U33,HomeBroker!$A$18:$F$106,3,0),0)</f>
        <v>0</v>
      </c>
      <c r="X33" s="196">
        <f>IFERROR(VLOOKUP($U33,HomeBroker!$A$18:$F$106,6,0),0)</f>
        <v>0</v>
      </c>
      <c r="Y33" s="557">
        <f>IFERROR(VLOOKUP($U33,HomeBroker!$A$18:$F$106,4,0),0)</f>
        <v>0</v>
      </c>
      <c r="Z33" s="395">
        <f>IFERROR(VLOOKUP($U33,HomeBroker!$A$18:$F$106,5,0),0)</f>
        <v>0</v>
      </c>
      <c r="AA33" s="398">
        <f>IFERROR(VLOOKUP($U33,HomeBroker!$A$18:$N$121,13,0),0)</f>
        <v>0</v>
      </c>
      <c r="AB33" s="200" t="str">
        <f t="shared" si="71"/>
        <v/>
      </c>
      <c r="AC33" s="108">
        <f t="shared" si="72"/>
        <v>0</v>
      </c>
      <c r="AD33" s="130"/>
      <c r="AE33" s="396">
        <f t="shared" ca="1" si="64"/>
        <v>0</v>
      </c>
      <c r="AF33" s="397" t="str">
        <f t="shared" si="77"/>
        <v/>
      </c>
      <c r="AG33" s="397" t="str">
        <f t="shared" si="78"/>
        <v/>
      </c>
      <c r="AH33" s="399">
        <f>IFERROR(VLOOKUP($AG33,HomeBroker!$A$18:$F$106,2,0),0)</f>
        <v>0</v>
      </c>
      <c r="AI33" s="395">
        <f>IFERROR(VLOOKUP($AG33,HomeBroker!$A$18:$F$106,3,0),0)</f>
        <v>0</v>
      </c>
      <c r="AJ33" s="196">
        <f>IFERROR(VLOOKUP($AG33,HomeBroker!$A$18:$F$106,6,0),0)</f>
        <v>0</v>
      </c>
      <c r="AK33" s="395">
        <f>IFERROR(VLOOKUP($AG33,HomeBroker!$A$18:$F$106,4,0),0)</f>
        <v>0</v>
      </c>
      <c r="AL33" s="399">
        <f>IFERROR(VLOOKUP($AG33,HomeBroker!$A$18:$F$106,5,0),0)</f>
        <v>0</v>
      </c>
      <c r="AM33" s="399">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5070.5058295843301</v>
      </c>
      <c r="DF33" s="118">
        <f t="shared" si="18"/>
        <v>0</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0</v>
      </c>
      <c r="EQ33" s="119"/>
      <c r="ER33" s="126"/>
      <c r="ES33" s="122"/>
      <c r="ET33" s="123">
        <f t="shared" si="54"/>
        <v>0</v>
      </c>
      <c r="EU33" s="72"/>
      <c r="EV33" s="117">
        <f t="shared" si="55"/>
        <v>5070.5058295843301</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0</v>
      </c>
    </row>
    <row r="34" spans="1:193" ht="15.75" thickBot="1">
      <c r="A34" s="552" t="s">
        <v>401</v>
      </c>
      <c r="B34" s="204"/>
      <c r="C34" s="201"/>
      <c r="D34" s="564"/>
      <c r="E34" s="565">
        <f t="shared" si="0"/>
        <v>0</v>
      </c>
      <c r="F34" s="566">
        <f t="shared" si="1"/>
        <v>0</v>
      </c>
      <c r="G34" s="203" t="str">
        <f t="shared" si="2"/>
        <v/>
      </c>
      <c r="H34" s="570">
        <f t="shared" si="58"/>
        <v>0</v>
      </c>
      <c r="I34" s="571">
        <f t="shared" si="3"/>
        <v>0</v>
      </c>
      <c r="J34" s="62"/>
      <c r="K34" s="133"/>
      <c r="L34" s="222">
        <f t="shared" si="73"/>
        <v>5324.0311210635464</v>
      </c>
      <c r="M34" s="596">
        <f t="shared" si="5"/>
        <v>0</v>
      </c>
      <c r="N34" s="596">
        <f t="shared" ca="1" si="6"/>
        <v>0</v>
      </c>
      <c r="O34" s="134"/>
      <c r="P34" s="199" t="str">
        <f t="shared" si="69"/>
        <v/>
      </c>
      <c r="Q34" s="501">
        <f t="shared" si="70"/>
        <v>0</v>
      </c>
      <c r="R34" s="194"/>
      <c r="S34" s="555">
        <f t="shared" ca="1" si="60"/>
        <v>0</v>
      </c>
      <c r="T34" s="397" t="str">
        <f t="shared" si="75"/>
        <v/>
      </c>
      <c r="U34" s="397" t="str">
        <f t="shared" si="76"/>
        <v/>
      </c>
      <c r="V34" s="395">
        <f>IFERROR(VLOOKUP($U34,HomeBroker!$A$18:$F$106,2,0),0)</f>
        <v>0</v>
      </c>
      <c r="W34" s="557">
        <f>IFERROR(VLOOKUP($U34,HomeBroker!$A$18:$F$106,3,0),0)</f>
        <v>0</v>
      </c>
      <c r="X34" s="196">
        <f>IFERROR(VLOOKUP($U34,HomeBroker!$A$18:$F$106,6,0),0)</f>
        <v>0</v>
      </c>
      <c r="Y34" s="557">
        <f>IFERROR(VLOOKUP($U34,HomeBroker!$A$18:$F$106,4,0),0)</f>
        <v>0</v>
      </c>
      <c r="Z34" s="395">
        <f>IFERROR(VLOOKUP($U34,HomeBroker!$A$18:$F$106,5,0),0)</f>
        <v>0</v>
      </c>
      <c r="AA34" s="398">
        <f>IFERROR(VLOOKUP($U34,HomeBroker!$A$18:$N$121,13,0),0)</f>
        <v>0</v>
      </c>
      <c r="AB34" s="200" t="str">
        <f t="shared" si="71"/>
        <v/>
      </c>
      <c r="AC34" s="108">
        <f t="shared" si="72"/>
        <v>0</v>
      </c>
      <c r="AD34" s="109"/>
      <c r="AE34" s="396">
        <f t="shared" ca="1" si="64"/>
        <v>0</v>
      </c>
      <c r="AF34" s="397" t="str">
        <f t="shared" si="77"/>
        <v/>
      </c>
      <c r="AG34" s="397" t="str">
        <f t="shared" si="78"/>
        <v/>
      </c>
      <c r="AH34" s="399">
        <f>IFERROR(VLOOKUP($AG34,HomeBroker!$A$18:$F$106,2,0),0)</f>
        <v>0</v>
      </c>
      <c r="AI34" s="395">
        <f>IFERROR(VLOOKUP($AG34,HomeBroker!$A$18:$F$106,3,0),0)</f>
        <v>0</v>
      </c>
      <c r="AJ34" s="196">
        <f>IFERROR(VLOOKUP($AG34,HomeBroker!$A$18:$F$106,6,0),0)</f>
        <v>0</v>
      </c>
      <c r="AK34" s="395">
        <f>IFERROR(VLOOKUP($AG34,HomeBroker!$A$18:$F$106,4,0),0)</f>
        <v>0</v>
      </c>
      <c r="AL34" s="399">
        <f>IFERROR(VLOOKUP($AG34,HomeBroker!$A$18:$F$106,5,0),0)</f>
        <v>0</v>
      </c>
      <c r="AM34" s="399">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5324.0311210635464</v>
      </c>
      <c r="DF34" s="118">
        <f t="shared" si="18"/>
        <v>0</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0</v>
      </c>
      <c r="EQ34" s="119"/>
      <c r="ER34" s="135"/>
      <c r="ES34" s="136"/>
      <c r="ET34" s="137">
        <f t="shared" si="54"/>
        <v>0</v>
      </c>
      <c r="EU34" s="72"/>
      <c r="EV34" s="117">
        <f t="shared" si="55"/>
        <v>5324.0311210635464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0</v>
      </c>
    </row>
    <row r="35" spans="1:193" ht="15">
      <c r="A35" s="552" t="s">
        <v>401</v>
      </c>
      <c r="B35" s="204"/>
      <c r="C35" s="201"/>
      <c r="D35" s="564"/>
      <c r="E35" s="565">
        <f t="shared" si="0"/>
        <v>0</v>
      </c>
      <c r="F35" s="566">
        <f t="shared" ref="F35:F66" si="79">IF(B35&gt;0,+B35*D35*(1+($N$53+0.002)*1.21)*-100,B35*D35*(1-($N$53+0.002)*1.21)*-100)</f>
        <v>0</v>
      </c>
      <c r="G35" s="203" t="str">
        <f t="shared" si="2"/>
        <v/>
      </c>
      <c r="H35" s="570">
        <f t="shared" si="58"/>
        <v>0</v>
      </c>
      <c r="I35" s="571">
        <f t="shared" si="3"/>
        <v>0</v>
      </c>
      <c r="J35" s="62"/>
      <c r="K35" s="138"/>
      <c r="L35" s="138"/>
      <c r="M35" s="138"/>
      <c r="N35" s="138"/>
      <c r="O35" s="62"/>
      <c r="P35" s="199" t="str">
        <f t="shared" si="69"/>
        <v/>
      </c>
      <c r="Q35" s="501">
        <f t="shared" si="70"/>
        <v>0</v>
      </c>
      <c r="R35" s="194"/>
      <c r="S35" s="555">
        <f t="shared" ca="1" si="60"/>
        <v>0</v>
      </c>
      <c r="T35" s="397" t="str">
        <f t="shared" si="75"/>
        <v/>
      </c>
      <c r="U35" s="397" t="str">
        <f t="shared" si="76"/>
        <v/>
      </c>
      <c r="V35" s="395">
        <f>IFERROR(VLOOKUP($U35,HomeBroker!$A$18:$F$106,2,0),0)</f>
        <v>0</v>
      </c>
      <c r="W35" s="557">
        <f>IFERROR(VLOOKUP($U35,HomeBroker!$A$18:$F$106,3,0),0)</f>
        <v>0</v>
      </c>
      <c r="X35" s="196">
        <f>IFERROR(VLOOKUP($U35,HomeBroker!$A$18:$F$106,6,0),0)</f>
        <v>0</v>
      </c>
      <c r="Y35" s="557">
        <f>IFERROR(VLOOKUP($U35,HomeBroker!$A$18:$F$106,4,0),0)</f>
        <v>0</v>
      </c>
      <c r="Z35" s="395">
        <f>IFERROR(VLOOKUP($U35,HomeBroker!$A$18:$F$106,5,0),0)</f>
        <v>0</v>
      </c>
      <c r="AA35" s="398">
        <f>IFERROR(VLOOKUP($U35,HomeBroker!$A$18:$N$121,13,0),0)</f>
        <v>0</v>
      </c>
      <c r="AB35" s="200" t="str">
        <f t="shared" si="71"/>
        <v/>
      </c>
      <c r="AC35" s="108">
        <f t="shared" si="72"/>
        <v>0</v>
      </c>
      <c r="AD35" s="109"/>
      <c r="AE35" s="396">
        <f t="shared" ca="1" si="64"/>
        <v>0</v>
      </c>
      <c r="AF35" s="397" t="str">
        <f t="shared" si="77"/>
        <v/>
      </c>
      <c r="AG35" s="397" t="str">
        <f t="shared" si="78"/>
        <v/>
      </c>
      <c r="AH35" s="399">
        <f>IFERROR(VLOOKUP($AG35,HomeBroker!$A$18:$F$106,2,0),0)</f>
        <v>0</v>
      </c>
      <c r="AI35" s="395">
        <f>IFERROR(VLOOKUP($AG35,HomeBroker!$A$18:$F$106,3,0),0)</f>
        <v>0</v>
      </c>
      <c r="AJ35" s="196">
        <f>IFERROR(VLOOKUP($AG35,HomeBroker!$A$18:$F$106,6,0),0)</f>
        <v>0</v>
      </c>
      <c r="AK35" s="395">
        <f>IFERROR(VLOOKUP($AG35,HomeBroker!$A$18:$F$106,4,0),0)</f>
        <v>0</v>
      </c>
      <c r="AL35" s="399">
        <f>IFERROR(VLOOKUP($AG35,HomeBroker!$A$18:$F$106,5,0),0)</f>
        <v>0</v>
      </c>
      <c r="AM35" s="399">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52" t="s">
        <v>401</v>
      </c>
      <c r="B36" s="204"/>
      <c r="C36" s="201"/>
      <c r="D36" s="564"/>
      <c r="E36" s="565">
        <f t="shared" si="0"/>
        <v>0</v>
      </c>
      <c r="F36" s="566">
        <f t="shared" si="79"/>
        <v>0</v>
      </c>
      <c r="G36" s="203" t="str">
        <f t="shared" si="2"/>
        <v/>
      </c>
      <c r="H36" s="570">
        <f t="shared" si="58"/>
        <v>0</v>
      </c>
      <c r="I36" s="571">
        <f t="shared" si="3"/>
        <v>0</v>
      </c>
      <c r="J36" s="62"/>
      <c r="K36" s="788" t="s">
        <v>442</v>
      </c>
      <c r="L36" s="767"/>
      <c r="M36" s="768"/>
      <c r="N36" s="542">
        <f>SUM(AY:AY)+SUM(BE:BE)+SUM(BJ:BJ)+$F$76</f>
        <v>0</v>
      </c>
      <c r="O36" s="62"/>
      <c r="P36" s="199" t="str">
        <f t="shared" si="69"/>
        <v/>
      </c>
      <c r="Q36" s="501">
        <f t="shared" si="70"/>
        <v>0</v>
      </c>
      <c r="R36" s="194"/>
      <c r="S36" s="555">
        <f t="shared" ca="1" si="60"/>
        <v>0</v>
      </c>
      <c r="T36" s="397" t="str">
        <f t="shared" si="75"/>
        <v/>
      </c>
      <c r="U36" s="397" t="str">
        <f t="shared" si="76"/>
        <v/>
      </c>
      <c r="V36" s="395">
        <f>IFERROR(VLOOKUP($U36,HomeBroker!$A$18:$F$106,2,0),0)</f>
        <v>0</v>
      </c>
      <c r="W36" s="557">
        <f>IFERROR(VLOOKUP($U36,HomeBroker!$A$18:$F$106,3,0),0)</f>
        <v>0</v>
      </c>
      <c r="X36" s="196">
        <f>IFERROR(VLOOKUP($U36,HomeBroker!$A$18:$F$106,6,0),0)</f>
        <v>0</v>
      </c>
      <c r="Y36" s="557">
        <f>IFERROR(VLOOKUP($U36,HomeBroker!$A$18:$F$106,4,0),0)</f>
        <v>0</v>
      </c>
      <c r="Z36" s="395">
        <f>IFERROR(VLOOKUP($U36,HomeBroker!$A$18:$F$106,5,0),0)</f>
        <v>0</v>
      </c>
      <c r="AA36" s="398">
        <f>IFERROR(VLOOKUP($U36,HomeBroker!$A$18:$N$121,13,0),0)</f>
        <v>0</v>
      </c>
      <c r="AB36" s="200" t="str">
        <f t="shared" si="71"/>
        <v/>
      </c>
      <c r="AC36" s="108">
        <f t="shared" si="72"/>
        <v>0</v>
      </c>
      <c r="AD36" s="109"/>
      <c r="AE36" s="396">
        <f t="shared" ca="1" si="64"/>
        <v>0</v>
      </c>
      <c r="AF36" s="397" t="str">
        <f t="shared" si="77"/>
        <v/>
      </c>
      <c r="AG36" s="397" t="str">
        <f t="shared" si="78"/>
        <v/>
      </c>
      <c r="AH36" s="399">
        <f>IFERROR(VLOOKUP($AG36,HomeBroker!$A$18:$F$106,2,0),0)</f>
        <v>0</v>
      </c>
      <c r="AI36" s="395">
        <f>IFERROR(VLOOKUP($AG36,HomeBroker!$A$18:$F$106,3,0),0)</f>
        <v>0</v>
      </c>
      <c r="AJ36" s="196">
        <f>IFERROR(VLOOKUP($AG36,HomeBroker!$A$18:$F$106,6,0),0)</f>
        <v>0</v>
      </c>
      <c r="AK36" s="395">
        <f>IFERROR(VLOOKUP($AG36,HomeBroker!$A$18:$F$106,4,0),0)</f>
        <v>0</v>
      </c>
      <c r="AL36" s="399">
        <f>IFERROR(VLOOKUP($AG36,HomeBroker!$A$18:$F$106,5,0),0)</f>
        <v>0</v>
      </c>
      <c r="AM36" s="399">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1129.9673103596376</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1129.9673103596376</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53" t="s">
        <v>401</v>
      </c>
      <c r="B37" s="544"/>
      <c r="C37" s="545"/>
      <c r="D37" s="567"/>
      <c r="E37" s="568">
        <f t="shared" si="0"/>
        <v>0</v>
      </c>
      <c r="F37" s="569">
        <f t="shared" si="79"/>
        <v>0</v>
      </c>
      <c r="G37" s="546" t="str">
        <f t="shared" si="2"/>
        <v/>
      </c>
      <c r="H37" s="572">
        <f t="shared" si="58"/>
        <v>0</v>
      </c>
      <c r="I37" s="569">
        <f t="shared" si="3"/>
        <v>0</v>
      </c>
      <c r="J37" s="62"/>
      <c r="K37" s="788" t="s">
        <v>443</v>
      </c>
      <c r="L37" s="767"/>
      <c r="M37" s="768"/>
      <c r="N37" s="543">
        <f>IF(AND(F76&lt;&gt;0,I76&lt;&gt;0),($N$36+ SUMPRODUCT(-(X3:X42),Q3:Q42)*-100 + SUMPRODUCT(-(AJ3:AJ42),AC3:AC42)*-100 + ($AB$43*$L$18)  +$I$76)-F76,($N$36+ SUMPRODUCT(-(X3:X42),Q3:Q42)*-100 + SUMPRODUCT(-(AJ3:AJ42),AC3:AC42)*-100 + ($AB$43*$L$18)  +$I$76))</f>
        <v>0</v>
      </c>
      <c r="O37" s="62"/>
      <c r="P37" s="199" t="str">
        <f t="shared" si="69"/>
        <v/>
      </c>
      <c r="Q37" s="501">
        <f t="shared" si="70"/>
        <v>0</v>
      </c>
      <c r="R37" s="194"/>
      <c r="S37" s="555">
        <f t="shared" ca="1" si="60"/>
        <v>0</v>
      </c>
      <c r="T37" s="397" t="str">
        <f t="shared" si="75"/>
        <v/>
      </c>
      <c r="U37" s="397" t="str">
        <f t="shared" si="76"/>
        <v/>
      </c>
      <c r="V37" s="395">
        <f>IFERROR(VLOOKUP($U37,HomeBroker!$A$18:$F$106,2,0),0)</f>
        <v>0</v>
      </c>
      <c r="W37" s="557">
        <f>IFERROR(VLOOKUP($U37,HomeBroker!$A$18:$F$106,3,0),0)</f>
        <v>0</v>
      </c>
      <c r="X37" s="196">
        <f>IFERROR(VLOOKUP($U37,HomeBroker!$A$18:$F$106,6,0),0)</f>
        <v>0</v>
      </c>
      <c r="Y37" s="557">
        <f>IFERROR(VLOOKUP($U37,HomeBroker!$A$18:$F$106,4,0),0)</f>
        <v>0</v>
      </c>
      <c r="Z37" s="395">
        <f>IFERROR(VLOOKUP($U37,HomeBroker!$A$18:$F$106,5,0),0)</f>
        <v>0</v>
      </c>
      <c r="AA37" s="398">
        <f>IFERROR(VLOOKUP($U37,HomeBroker!$A$18:$N$121,13,0),0)</f>
        <v>0</v>
      </c>
      <c r="AB37" s="200" t="str">
        <f t="shared" si="71"/>
        <v/>
      </c>
      <c r="AC37" s="108">
        <f t="shared" si="72"/>
        <v>0</v>
      </c>
      <c r="AD37" s="109"/>
      <c r="AE37" s="396">
        <f t="shared" ca="1" si="64"/>
        <v>0</v>
      </c>
      <c r="AF37" s="397" t="str">
        <f t="shared" si="77"/>
        <v/>
      </c>
      <c r="AG37" s="397" t="str">
        <f t="shared" si="78"/>
        <v/>
      </c>
      <c r="AH37" s="399">
        <f>IFERROR(VLOOKUP($AG37,HomeBroker!$A$18:$F$106,2,0),0)</f>
        <v>0</v>
      </c>
      <c r="AI37" s="395">
        <f>IFERROR(VLOOKUP($AG37,HomeBroker!$A$18:$F$106,3,0),0)</f>
        <v>0</v>
      </c>
      <c r="AJ37" s="196">
        <f>IFERROR(VLOOKUP($AG37,HomeBroker!$A$18:$F$106,6,0),0)</f>
        <v>0</v>
      </c>
      <c r="AK37" s="395">
        <f>IFERROR(VLOOKUP($AG37,HomeBroker!$A$18:$F$106,4,0),0)</f>
        <v>0</v>
      </c>
      <c r="AL37" s="399">
        <f>IFERROR(VLOOKUP($AG37,HomeBroker!$A$18:$F$106,5,0),0)</f>
        <v>0</v>
      </c>
      <c r="AM37" s="399">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1189.4392740627766</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1189.4392740627766</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54" t="s">
        <v>401</v>
      </c>
      <c r="B38" s="144"/>
      <c r="C38" s="201"/>
      <c r="D38" s="202"/>
      <c r="E38" s="573">
        <f t="shared" si="0"/>
        <v>0</v>
      </c>
      <c r="F38" s="574">
        <f t="shared" si="79"/>
        <v>0</v>
      </c>
      <c r="G38" s="203" t="str">
        <f>IFERROR(VLOOKUP(C38,$AD$3:$AM$50,7,0),"")</f>
        <v/>
      </c>
      <c r="H38" s="583">
        <f t="shared" si="58"/>
        <v>0</v>
      </c>
      <c r="I38" s="584">
        <f t="shared" si="3"/>
        <v>0</v>
      </c>
      <c r="J38" s="62"/>
      <c r="K38" s="789" t="s">
        <v>444</v>
      </c>
      <c r="L38" s="767"/>
      <c r="M38" s="768"/>
      <c r="N38" s="145">
        <f>SUM(Q3:Q42)</f>
        <v>0</v>
      </c>
      <c r="O38" s="62"/>
      <c r="P38" s="199" t="str">
        <f t="shared" si="69"/>
        <v/>
      </c>
      <c r="Q38" s="501">
        <f t="shared" si="70"/>
        <v>0</v>
      </c>
      <c r="R38" s="194"/>
      <c r="S38" s="555">
        <f t="shared" ca="1" si="60"/>
        <v>0</v>
      </c>
      <c r="T38" s="397" t="str">
        <f t="shared" si="75"/>
        <v/>
      </c>
      <c r="U38" s="397" t="str">
        <f t="shared" si="76"/>
        <v/>
      </c>
      <c r="V38" s="395">
        <f>IFERROR(VLOOKUP($U38,HomeBroker!$A$18:$F$106,2,0),0)</f>
        <v>0</v>
      </c>
      <c r="W38" s="557">
        <f>IFERROR(VLOOKUP($U38,HomeBroker!$A$18:$F$106,3,0),0)</f>
        <v>0</v>
      </c>
      <c r="X38" s="196">
        <f>IFERROR(VLOOKUP($U38,HomeBroker!$A$18:$F$106,6,0),0)</f>
        <v>0</v>
      </c>
      <c r="Y38" s="557">
        <f>IFERROR(VLOOKUP($U38,HomeBroker!$A$18:$F$106,4,0),0)</f>
        <v>0</v>
      </c>
      <c r="Z38" s="395">
        <f>IFERROR(VLOOKUP($U38,HomeBroker!$A$18:$F$106,5,0),0)</f>
        <v>0</v>
      </c>
      <c r="AA38" s="398">
        <f>IFERROR(VLOOKUP($U38,HomeBroker!$A$18:$N$121,13,0),0)</f>
        <v>0</v>
      </c>
      <c r="AB38" s="200" t="str">
        <f t="shared" si="71"/>
        <v/>
      </c>
      <c r="AC38" s="108">
        <f t="shared" si="72"/>
        <v>0</v>
      </c>
      <c r="AD38" s="109"/>
      <c r="AE38" s="396">
        <f t="shared" ca="1" si="64"/>
        <v>0</v>
      </c>
      <c r="AF38" s="397" t="str">
        <f t="shared" si="77"/>
        <v/>
      </c>
      <c r="AG38" s="397" t="str">
        <f t="shared" si="78"/>
        <v/>
      </c>
      <c r="AH38" s="399">
        <f>IFERROR(VLOOKUP($AG38,HomeBroker!$A$18:$F$106,2,0),0)</f>
        <v>0</v>
      </c>
      <c r="AI38" s="395">
        <f>IFERROR(VLOOKUP($AG38,HomeBroker!$A$18:$F$106,3,0),0)</f>
        <v>0</v>
      </c>
      <c r="AJ38" s="196">
        <f>IFERROR(VLOOKUP($AG38,HomeBroker!$A$18:$F$106,6,0),0)</f>
        <v>0</v>
      </c>
      <c r="AK38" s="395">
        <f>IFERROR(VLOOKUP($AG38,HomeBroker!$A$18:$F$106,4,0),0)</f>
        <v>0</v>
      </c>
      <c r="AL38" s="399">
        <f>IFERROR(VLOOKUP($AG38,HomeBroker!$A$18:$F$106,5,0),0)</f>
        <v>0</v>
      </c>
      <c r="AM38" s="399">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1252.0413411187124</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1252.0413411187124</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54" t="s">
        <v>401</v>
      </c>
      <c r="B39" s="144"/>
      <c r="C39" s="201"/>
      <c r="D39" s="202"/>
      <c r="E39" s="573">
        <f t="shared" si="0"/>
        <v>0</v>
      </c>
      <c r="F39" s="574">
        <f t="shared" si="79"/>
        <v>0</v>
      </c>
      <c r="G39" s="203" t="str">
        <f>IFERROR(VLOOKUP(C39,$AD$3:$AM$50,7,0),"")</f>
        <v/>
      </c>
      <c r="H39" s="583">
        <f t="shared" si="58"/>
        <v>0</v>
      </c>
      <c r="I39" s="584">
        <f t="shared" si="3"/>
        <v>0</v>
      </c>
      <c r="J39" s="62"/>
      <c r="K39" s="790" t="s">
        <v>445</v>
      </c>
      <c r="L39" s="767"/>
      <c r="M39" s="768"/>
      <c r="N39" s="150">
        <f>SUM(AC3:AC42)</f>
        <v>0</v>
      </c>
      <c r="O39" s="62"/>
      <c r="P39" s="199" t="str">
        <f t="shared" si="69"/>
        <v/>
      </c>
      <c r="Q39" s="501">
        <f t="shared" si="70"/>
        <v>0</v>
      </c>
      <c r="R39" s="194"/>
      <c r="S39" s="555">
        <f t="shared" ca="1" si="60"/>
        <v>0</v>
      </c>
      <c r="T39" s="397" t="str">
        <f t="shared" si="75"/>
        <v/>
      </c>
      <c r="U39" s="397" t="str">
        <f t="shared" si="76"/>
        <v/>
      </c>
      <c r="V39" s="395">
        <f>IFERROR(VLOOKUP($U39,HomeBroker!$A$18:$F$106,2,0),0)</f>
        <v>0</v>
      </c>
      <c r="W39" s="557">
        <f>IFERROR(VLOOKUP($U39,HomeBroker!$A$18:$F$106,3,0),0)</f>
        <v>0</v>
      </c>
      <c r="X39" s="196">
        <f>IFERROR(VLOOKUP($U39,HomeBroker!$A$18:$F$106,6,0),0)</f>
        <v>0</v>
      </c>
      <c r="Y39" s="557">
        <f>IFERROR(VLOOKUP($U39,HomeBroker!$A$18:$F$106,4,0),0)</f>
        <v>0</v>
      </c>
      <c r="Z39" s="395">
        <f>IFERROR(VLOOKUP($U39,HomeBroker!$A$18:$F$106,5,0),0)</f>
        <v>0</v>
      </c>
      <c r="AA39" s="398">
        <f>IFERROR(VLOOKUP($U39,HomeBroker!$A$18:$N$121,13,0),0)</f>
        <v>0</v>
      </c>
      <c r="AB39" s="200" t="str">
        <f t="shared" si="71"/>
        <v/>
      </c>
      <c r="AC39" s="108">
        <f t="shared" si="72"/>
        <v>0</v>
      </c>
      <c r="AD39" s="109"/>
      <c r="AE39" s="396">
        <f t="shared" ca="1" si="64"/>
        <v>0</v>
      </c>
      <c r="AF39" s="397" t="str">
        <f t="shared" si="77"/>
        <v/>
      </c>
      <c r="AG39" s="397" t="str">
        <f t="shared" si="78"/>
        <v/>
      </c>
      <c r="AH39" s="399">
        <f>IFERROR(VLOOKUP($AG39,HomeBroker!$A$18:$F$106,2,0),0)</f>
        <v>0</v>
      </c>
      <c r="AI39" s="395">
        <f>IFERROR(VLOOKUP($AG39,HomeBroker!$A$18:$F$106,3,0),0)</f>
        <v>0</v>
      </c>
      <c r="AJ39" s="196">
        <f>IFERROR(VLOOKUP($AG39,HomeBroker!$A$18:$F$106,6,0),0)</f>
        <v>0</v>
      </c>
      <c r="AK39" s="395">
        <f>IFERROR(VLOOKUP($AG39,HomeBroker!$A$18:$F$106,4,0),0)</f>
        <v>0</v>
      </c>
      <c r="AL39" s="399">
        <f>IFERROR(VLOOKUP($AG39,HomeBroker!$A$18:$F$106,5,0),0)</f>
        <v>0</v>
      </c>
      <c r="AM39" s="399">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1317.9382538091709</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1317.9382538091709</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54" t="s">
        <v>401</v>
      </c>
      <c r="B40" s="144"/>
      <c r="C40" s="201"/>
      <c r="D40" s="202"/>
      <c r="E40" s="573">
        <f t="shared" si="0"/>
        <v>0</v>
      </c>
      <c r="F40" s="574">
        <f t="shared" si="79"/>
        <v>0</v>
      </c>
      <c r="G40" s="203" t="str">
        <f t="shared" ref="G40:G72" si="127">IFERROR(VLOOKUP(C40,$AD$3:$AM$42,7,0),"")</f>
        <v/>
      </c>
      <c r="H40" s="583">
        <f t="shared" si="58"/>
        <v>0</v>
      </c>
      <c r="I40" s="584">
        <f t="shared" si="3"/>
        <v>0</v>
      </c>
      <c r="J40" s="62"/>
      <c r="K40" s="787" t="s">
        <v>0</v>
      </c>
      <c r="L40" s="767"/>
      <c r="M40" s="768"/>
      <c r="N40" s="151">
        <f>AB43+SUM(B73:B75)</f>
        <v>0</v>
      </c>
      <c r="O40" s="62"/>
      <c r="P40" s="199" t="str">
        <f t="shared" si="69"/>
        <v/>
      </c>
      <c r="Q40" s="501">
        <f t="shared" si="70"/>
        <v>0</v>
      </c>
      <c r="R40" s="194"/>
      <c r="S40" s="555">
        <f t="shared" ca="1" si="60"/>
        <v>0</v>
      </c>
      <c r="T40" s="397" t="str">
        <f t="shared" si="75"/>
        <v/>
      </c>
      <c r="U40" s="397" t="str">
        <f t="shared" si="76"/>
        <v/>
      </c>
      <c r="V40" s="395">
        <f>IFERROR(VLOOKUP($U40,HomeBroker!$A$18:$F$106,2,0),0)</f>
        <v>0</v>
      </c>
      <c r="W40" s="557">
        <f>IFERROR(VLOOKUP($U40,HomeBroker!$A$18:$F$106,3,0),0)</f>
        <v>0</v>
      </c>
      <c r="X40" s="196">
        <f>IFERROR(VLOOKUP($U40,HomeBroker!$A$18:$F$106,6,0),0)</f>
        <v>0</v>
      </c>
      <c r="Y40" s="557">
        <f>IFERROR(VLOOKUP($U40,HomeBroker!$A$18:$F$106,4,0),0)</f>
        <v>0</v>
      </c>
      <c r="Z40" s="395">
        <f>IFERROR(VLOOKUP($U40,HomeBroker!$A$18:$F$106,5,0),0)</f>
        <v>0</v>
      </c>
      <c r="AA40" s="398">
        <f>IFERROR(VLOOKUP($U40,HomeBroker!$A$18:$N$121,13,0),0)</f>
        <v>0</v>
      </c>
      <c r="AB40" s="200" t="str">
        <f t="shared" si="71"/>
        <v/>
      </c>
      <c r="AC40" s="108">
        <f t="shared" si="72"/>
        <v>0</v>
      </c>
      <c r="AD40" s="109"/>
      <c r="AE40" s="396">
        <f t="shared" ca="1" si="64"/>
        <v>0</v>
      </c>
      <c r="AF40" s="397" t="str">
        <f t="shared" si="77"/>
        <v/>
      </c>
      <c r="AG40" s="397" t="str">
        <f t="shared" si="78"/>
        <v/>
      </c>
      <c r="AH40" s="399">
        <f>IFERROR(VLOOKUP($AG40,HomeBroker!$A$18:$F$106,2,0),0)</f>
        <v>0</v>
      </c>
      <c r="AI40" s="395">
        <f>IFERROR(VLOOKUP($AG40,HomeBroker!$A$18:$F$106,3,0),0)</f>
        <v>0</v>
      </c>
      <c r="AJ40" s="196">
        <f>IFERROR(VLOOKUP($AG40,HomeBroker!$A$18:$F$106,6,0),0)</f>
        <v>0</v>
      </c>
      <c r="AK40" s="395">
        <f>IFERROR(VLOOKUP($AG40,HomeBroker!$A$18:$F$106,4,0),0)</f>
        <v>0</v>
      </c>
      <c r="AL40" s="399">
        <f>IFERROR(VLOOKUP($AG40,HomeBroker!$A$18:$F$106,5,0),0)</f>
        <v>0</v>
      </c>
      <c r="AM40" s="399">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1387.3034250622852</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1387.3034250622852</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54" t="s">
        <v>401</v>
      </c>
      <c r="B41" s="144"/>
      <c r="C41" s="201"/>
      <c r="D41" s="202"/>
      <c r="E41" s="573">
        <f t="shared" si="0"/>
        <v>0</v>
      </c>
      <c r="F41" s="574">
        <f t="shared" si="79"/>
        <v>0</v>
      </c>
      <c r="G41" s="203" t="str">
        <f t="shared" si="127"/>
        <v/>
      </c>
      <c r="H41" s="583">
        <f t="shared" si="58"/>
        <v>0</v>
      </c>
      <c r="I41" s="584">
        <f t="shared" si="3"/>
        <v>0</v>
      </c>
      <c r="J41" s="62"/>
      <c r="K41" s="152"/>
      <c r="L41" s="152"/>
      <c r="M41" s="152"/>
      <c r="N41" s="152"/>
      <c r="O41" s="62"/>
      <c r="P41" s="199" t="str">
        <f t="shared" si="69"/>
        <v/>
      </c>
      <c r="Q41" s="501">
        <f t="shared" si="70"/>
        <v>0</v>
      </c>
      <c r="R41" s="194"/>
      <c r="S41" s="555">
        <f t="shared" ca="1" si="60"/>
        <v>0</v>
      </c>
      <c r="T41" s="397" t="str">
        <f t="shared" si="75"/>
        <v/>
      </c>
      <c r="U41" s="397" t="str">
        <f t="shared" si="76"/>
        <v/>
      </c>
      <c r="V41" s="395">
        <f>IFERROR(VLOOKUP($U41,HomeBroker!$A$18:$F$106,2,0),0)</f>
        <v>0</v>
      </c>
      <c r="W41" s="557">
        <f>IFERROR(VLOOKUP($U41,HomeBroker!$A$18:$F$106,3,0),0)</f>
        <v>0</v>
      </c>
      <c r="X41" s="196">
        <f>IFERROR(VLOOKUP($U41,HomeBroker!$A$18:$F$106,6,0),0)</f>
        <v>0</v>
      </c>
      <c r="Y41" s="557">
        <f>IFERROR(VLOOKUP($U41,HomeBroker!$A$18:$F$106,4,0),0)</f>
        <v>0</v>
      </c>
      <c r="Z41" s="395">
        <f>IFERROR(VLOOKUP($U41,HomeBroker!$A$18:$F$106,5,0),0)</f>
        <v>0</v>
      </c>
      <c r="AA41" s="398">
        <f>IFERROR(VLOOKUP($U41,HomeBroker!$A$18:$N$121,13,0),0)</f>
        <v>0</v>
      </c>
      <c r="AB41" s="200" t="str">
        <f t="shared" si="71"/>
        <v/>
      </c>
      <c r="AC41" s="108">
        <f t="shared" si="72"/>
        <v>0</v>
      </c>
      <c r="AD41" s="109"/>
      <c r="AE41" s="396">
        <f t="shared" ca="1" si="64"/>
        <v>0</v>
      </c>
      <c r="AF41" s="397" t="str">
        <f t="shared" si="77"/>
        <v/>
      </c>
      <c r="AG41" s="397" t="str">
        <f t="shared" si="78"/>
        <v/>
      </c>
      <c r="AH41" s="399">
        <f>IFERROR(VLOOKUP($AG41,HomeBroker!$A$18:$F$106,2,0),0)</f>
        <v>0</v>
      </c>
      <c r="AI41" s="395">
        <f>IFERROR(VLOOKUP($AG41,HomeBroker!$A$18:$F$106,3,0),0)</f>
        <v>0</v>
      </c>
      <c r="AJ41" s="196">
        <f>IFERROR(VLOOKUP($AG41,HomeBroker!$A$18:$F$106,6,0),0)</f>
        <v>0</v>
      </c>
      <c r="AK41" s="395">
        <f>IFERROR(VLOOKUP($AG41,HomeBroker!$A$18:$F$106,4,0),0)</f>
        <v>0</v>
      </c>
      <c r="AL41" s="399">
        <f>IFERROR(VLOOKUP($AG41,HomeBroker!$A$18:$F$106,5,0),0)</f>
        <v>0</v>
      </c>
      <c r="AM41" s="399">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1460.3193948024057</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1460.3193948024057</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54" t="s">
        <v>401</v>
      </c>
      <c r="B42" s="144"/>
      <c r="C42" s="201"/>
      <c r="D42" s="202"/>
      <c r="E42" s="573">
        <f t="shared" si="0"/>
        <v>0</v>
      </c>
      <c r="F42" s="574">
        <f t="shared" si="79"/>
        <v>0</v>
      </c>
      <c r="G42" s="203" t="str">
        <f t="shared" si="127"/>
        <v/>
      </c>
      <c r="H42" s="583">
        <f t="shared" si="58"/>
        <v>0</v>
      </c>
      <c r="I42" s="584">
        <f t="shared" si="3"/>
        <v>0</v>
      </c>
      <c r="J42" s="62"/>
      <c r="K42" s="771" t="s">
        <v>446</v>
      </c>
      <c r="L42" s="767"/>
      <c r="M42" s="768"/>
      <c r="N42" s="153">
        <v>0.05</v>
      </c>
      <c r="O42" s="62"/>
      <c r="P42" s="199" t="str">
        <f t="shared" si="69"/>
        <v/>
      </c>
      <c r="Q42" s="501">
        <f t="shared" si="70"/>
        <v>0</v>
      </c>
      <c r="R42" s="194"/>
      <c r="S42" s="555">
        <f t="shared" ca="1" si="60"/>
        <v>0</v>
      </c>
      <c r="T42" s="397" t="str">
        <f t="shared" si="75"/>
        <v/>
      </c>
      <c r="U42" s="397" t="str">
        <f t="shared" si="76"/>
        <v/>
      </c>
      <c r="V42" s="395">
        <f>IFERROR(VLOOKUP($U42,HomeBroker!$A$18:$F$106,2,0),0)</f>
        <v>0</v>
      </c>
      <c r="W42" s="557">
        <f>IFERROR(VLOOKUP($U42,HomeBroker!$A$18:$F$106,3,0),0)</f>
        <v>0</v>
      </c>
      <c r="X42" s="196">
        <f>IFERROR(VLOOKUP($U42,HomeBroker!$A$18:$F$106,6,0),0)</f>
        <v>0</v>
      </c>
      <c r="Y42" s="557">
        <f>IFERROR(VLOOKUP($U42,HomeBroker!$A$18:$F$106,4,0),0)</f>
        <v>0</v>
      </c>
      <c r="Z42" s="395">
        <f>IFERROR(VLOOKUP($U42,HomeBroker!$A$18:$F$106,5,0),0)</f>
        <v>0</v>
      </c>
      <c r="AA42" s="398">
        <f>IFERROR(VLOOKUP($U42,HomeBroker!$A$18:$N$121,13,0),0)</f>
        <v>0</v>
      </c>
      <c r="AB42" s="200" t="str">
        <f t="shared" si="71"/>
        <v/>
      </c>
      <c r="AC42" s="108">
        <f t="shared" si="72"/>
        <v>0</v>
      </c>
      <c r="AD42" s="109"/>
      <c r="AE42" s="396">
        <f t="shared" ca="1" si="64"/>
        <v>0</v>
      </c>
      <c r="AF42" s="397" t="str">
        <f t="shared" si="77"/>
        <v/>
      </c>
      <c r="AG42" s="397" t="str">
        <f t="shared" si="78"/>
        <v/>
      </c>
      <c r="AH42" s="399">
        <f>IFERROR(VLOOKUP($AG42,HomeBroker!$A$18:$F$106,2,0),0)</f>
        <v>0</v>
      </c>
      <c r="AI42" s="395">
        <f>IFERROR(VLOOKUP($AG42,HomeBroker!$A$18:$F$106,3,0),0)</f>
        <v>0</v>
      </c>
      <c r="AJ42" s="196">
        <f>IFERROR(VLOOKUP($AG42,HomeBroker!$A$18:$F$106,6,0),0)</f>
        <v>0</v>
      </c>
      <c r="AK42" s="395">
        <f>IFERROR(VLOOKUP($AG42,HomeBroker!$A$18:$F$106,4,0),0)</f>
        <v>0</v>
      </c>
      <c r="AL42" s="399">
        <f>IFERROR(VLOOKUP($AG42,HomeBroker!$A$18:$F$106,5,0),0)</f>
        <v>0</v>
      </c>
      <c r="AM42" s="399">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1537.1783103183218</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1537.1783103183218</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54" t="s">
        <v>401</v>
      </c>
      <c r="B43" s="144"/>
      <c r="C43" s="201"/>
      <c r="D43" s="202"/>
      <c r="E43" s="573">
        <f t="shared" si="0"/>
        <v>0</v>
      </c>
      <c r="F43" s="574">
        <f t="shared" si="79"/>
        <v>0</v>
      </c>
      <c r="G43" s="203" t="str">
        <f t="shared" si="127"/>
        <v/>
      </c>
      <c r="H43" s="583">
        <f t="shared" si="58"/>
        <v>0</v>
      </c>
      <c r="I43" s="584">
        <f t="shared" si="3"/>
        <v>0</v>
      </c>
      <c r="J43" s="62"/>
      <c r="K43" s="154" t="s">
        <v>447</v>
      </c>
      <c r="L43" s="155" t="s">
        <v>448</v>
      </c>
      <c r="M43" s="156" t="s">
        <v>449</v>
      </c>
      <c r="N43" s="155" t="s">
        <v>589</v>
      </c>
      <c r="O43" s="62"/>
      <c r="P43" s="772"/>
      <c r="Q43" s="773"/>
      <c r="R43" s="773"/>
      <c r="S43" s="773"/>
      <c r="T43" s="773"/>
      <c r="U43" s="773"/>
      <c r="V43" s="773"/>
      <c r="W43" s="773"/>
      <c r="X43" s="773"/>
      <c r="Y43" s="773"/>
      <c r="Z43" s="773"/>
      <c r="AA43" s="774"/>
      <c r="AB43" s="778"/>
      <c r="AC43" s="778"/>
      <c r="AD43" s="778"/>
      <c r="AE43" s="778"/>
      <c r="AF43" s="778"/>
      <c r="AG43" s="778"/>
      <c r="AH43" s="778"/>
      <c r="AI43" s="778"/>
      <c r="AJ43" s="778"/>
      <c r="AK43" s="778"/>
      <c r="AL43" s="778"/>
      <c r="AM43" s="779"/>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1618.0824319140231</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1618.0824319140231</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54" t="s">
        <v>401</v>
      </c>
      <c r="B44" s="144"/>
      <c r="C44" s="201"/>
      <c r="D44" s="202"/>
      <c r="E44" s="573">
        <f t="shared" si="0"/>
        <v>0</v>
      </c>
      <c r="F44" s="574">
        <f t="shared" si="79"/>
        <v>0</v>
      </c>
      <c r="G44" s="203" t="str">
        <f t="shared" si="127"/>
        <v/>
      </c>
      <c r="H44" s="583">
        <f t="shared" si="58"/>
        <v>0</v>
      </c>
      <c r="I44" s="584">
        <f t="shared" si="3"/>
        <v>0</v>
      </c>
      <c r="J44" s="62"/>
      <c r="K44" s="769" t="s">
        <v>450</v>
      </c>
      <c r="L44" s="767"/>
      <c r="M44" s="768"/>
      <c r="N44" s="157"/>
      <c r="O44" s="62"/>
      <c r="P44" s="775"/>
      <c r="Q44" s="776"/>
      <c r="R44" s="776"/>
      <c r="S44" s="776"/>
      <c r="T44" s="776"/>
      <c r="U44" s="776"/>
      <c r="V44" s="776"/>
      <c r="W44" s="776"/>
      <c r="X44" s="776"/>
      <c r="Y44" s="776"/>
      <c r="Z44" s="776"/>
      <c r="AA44" s="777"/>
      <c r="AB44" s="780"/>
      <c r="AC44" s="780"/>
      <c r="AD44" s="780"/>
      <c r="AE44" s="780"/>
      <c r="AF44" s="780"/>
      <c r="AG44" s="780"/>
      <c r="AH44" s="780"/>
      <c r="AI44" s="780"/>
      <c r="AJ44" s="780"/>
      <c r="AK44" s="780"/>
      <c r="AL44" s="780"/>
      <c r="AM44" s="781"/>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1703.2446651726559</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1703.2446651726559</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54" t="s">
        <v>401</v>
      </c>
      <c r="B45" s="144"/>
      <c r="C45" s="201"/>
      <c r="D45" s="202"/>
      <c r="E45" s="573">
        <f t="shared" si="0"/>
        <v>0</v>
      </c>
      <c r="F45" s="574">
        <f t="shared" si="79"/>
        <v>0</v>
      </c>
      <c r="G45" s="203" t="str">
        <f t="shared" si="127"/>
        <v/>
      </c>
      <c r="H45" s="583">
        <f t="shared" si="58"/>
        <v>0</v>
      </c>
      <c r="I45" s="584">
        <f t="shared" si="3"/>
        <v>0</v>
      </c>
      <c r="J45" s="62"/>
      <c r="K45" s="782" t="s">
        <v>451</v>
      </c>
      <c r="L45" s="767"/>
      <c r="M45" s="768"/>
      <c r="N45" s="547"/>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1792.8891212343747</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1792.8891212343747</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54" t="s">
        <v>401</v>
      </c>
      <c r="B46" s="144"/>
      <c r="C46" s="201"/>
      <c r="D46" s="202"/>
      <c r="E46" s="573">
        <f t="shared" si="0"/>
        <v>0</v>
      </c>
      <c r="F46" s="574">
        <f t="shared" si="79"/>
        <v>0</v>
      </c>
      <c r="G46" s="203" t="str">
        <f t="shared" si="127"/>
        <v/>
      </c>
      <c r="H46" s="583">
        <f t="shared" si="58"/>
        <v>0</v>
      </c>
      <c r="I46" s="584">
        <f t="shared" si="3"/>
        <v>0</v>
      </c>
      <c r="J46" s="62"/>
      <c r="K46" s="786" t="s">
        <v>452</v>
      </c>
      <c r="L46" s="767"/>
      <c r="M46" s="768"/>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1887.2517065624997</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1887.2517065624997</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54" t="s">
        <v>401</v>
      </c>
      <c r="B47" s="144"/>
      <c r="C47" s="201"/>
      <c r="D47" s="202"/>
      <c r="E47" s="573">
        <f t="shared" si="0"/>
        <v>0</v>
      </c>
      <c r="F47" s="574">
        <f t="shared" si="79"/>
        <v>0</v>
      </c>
      <c r="G47" s="203" t="str">
        <f t="shared" si="127"/>
        <v/>
      </c>
      <c r="H47" s="583">
        <f t="shared" si="58"/>
        <v>0</v>
      </c>
      <c r="I47" s="584">
        <f t="shared" si="3"/>
        <v>0</v>
      </c>
      <c r="J47" s="62"/>
      <c r="K47" s="766" t="s">
        <v>453</v>
      </c>
      <c r="L47" s="767"/>
      <c r="M47" s="768"/>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1986.5807437499998</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1986.5807437499998</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54" t="s">
        <v>401</v>
      </c>
      <c r="B48" s="144"/>
      <c r="C48" s="201"/>
      <c r="D48" s="202"/>
      <c r="E48" s="573">
        <f t="shared" si="0"/>
        <v>0</v>
      </c>
      <c r="F48" s="574">
        <f t="shared" si="79"/>
        <v>0</v>
      </c>
      <c r="G48" s="203" t="str">
        <f t="shared" si="127"/>
        <v/>
      </c>
      <c r="H48" s="583">
        <f t="shared" si="58"/>
        <v>0</v>
      </c>
      <c r="I48" s="584">
        <f t="shared" si="3"/>
        <v>0</v>
      </c>
      <c r="J48" s="62"/>
      <c r="K48" s="769" t="s">
        <v>454</v>
      </c>
      <c r="L48" s="767"/>
      <c r="M48" s="768"/>
      <c r="N48" s="161">
        <f>HomeBroker!AE1*365</f>
        <v>0.68599999999999994</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2091.1376249999998</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2091.1376249999998</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54" t="s">
        <v>401</v>
      </c>
      <c r="B49" s="144"/>
      <c r="C49" s="201"/>
      <c r="D49" s="202"/>
      <c r="E49" s="573">
        <f t="shared" si="0"/>
        <v>0</v>
      </c>
      <c r="F49" s="574">
        <f t="shared" si="79"/>
        <v>0</v>
      </c>
      <c r="G49" s="203" t="str">
        <f t="shared" si="127"/>
        <v/>
      </c>
      <c r="H49" s="583">
        <f t="shared" si="58"/>
        <v>0</v>
      </c>
      <c r="I49" s="584">
        <f t="shared" si="3"/>
        <v>0</v>
      </c>
      <c r="J49" s="62"/>
      <c r="K49" s="770" t="s">
        <v>455</v>
      </c>
      <c r="L49" s="767"/>
      <c r="M49" s="768"/>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2201.1974999999998</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2201.1974999999998</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54" t="s">
        <v>401</v>
      </c>
      <c r="B50" s="144"/>
      <c r="C50" s="201"/>
      <c r="D50" s="202"/>
      <c r="E50" s="573">
        <f t="shared" si="0"/>
        <v>0</v>
      </c>
      <c r="F50" s="574">
        <f t="shared" si="79"/>
        <v>0</v>
      </c>
      <c r="G50" s="203" t="str">
        <f t="shared" si="127"/>
        <v/>
      </c>
      <c r="H50" s="583">
        <f t="shared" si="58"/>
        <v>0</v>
      </c>
      <c r="I50" s="584">
        <f t="shared" si="3"/>
        <v>0</v>
      </c>
      <c r="J50" s="62"/>
      <c r="K50" s="770" t="s">
        <v>456</v>
      </c>
      <c r="L50" s="767"/>
      <c r="M50" s="768"/>
      <c r="N50" s="163">
        <f ca="1">N49-TODAY()-N44</f>
        <v>38</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2317.0499999999997</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2317.0499999999997</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54" t="s">
        <v>401</v>
      </c>
      <c r="B51" s="144"/>
      <c r="C51" s="201"/>
      <c r="D51" s="202"/>
      <c r="E51" s="573">
        <f t="shared" si="0"/>
        <v>0</v>
      </c>
      <c r="F51" s="574">
        <f t="shared" si="79"/>
        <v>0</v>
      </c>
      <c r="G51" s="203" t="str">
        <f t="shared" si="127"/>
        <v/>
      </c>
      <c r="H51" s="583">
        <f t="shared" si="58"/>
        <v>0</v>
      </c>
      <c r="I51" s="584">
        <f t="shared" si="3"/>
        <v>0</v>
      </c>
      <c r="J51" s="62"/>
      <c r="K51" s="770" t="s">
        <v>457</v>
      </c>
      <c r="L51" s="767"/>
      <c r="M51" s="768"/>
      <c r="N51" s="164">
        <f ca="1">N50/365</f>
        <v>0.10410958904109589</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2439</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2439</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54" t="s">
        <v>401</v>
      </c>
      <c r="B52" s="144"/>
      <c r="C52" s="201"/>
      <c r="D52" s="202"/>
      <c r="E52" s="573">
        <f t="shared" si="0"/>
        <v>0</v>
      </c>
      <c r="F52" s="574">
        <f t="shared" si="79"/>
        <v>0</v>
      </c>
      <c r="G52" s="203" t="str">
        <f t="shared" si="127"/>
        <v/>
      </c>
      <c r="H52" s="583">
        <f t="shared" si="58"/>
        <v>0</v>
      </c>
      <c r="I52" s="584">
        <f t="shared" si="3"/>
        <v>0</v>
      </c>
      <c r="J52" s="62"/>
      <c r="K52" s="771" t="s">
        <v>0</v>
      </c>
      <c r="L52" s="767"/>
      <c r="M52" s="768"/>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2560.9500000000003</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2560.9500000000003</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54" t="s">
        <v>401</v>
      </c>
      <c r="B53" s="144"/>
      <c r="C53" s="201"/>
      <c r="D53" s="202"/>
      <c r="E53" s="573">
        <f t="shared" si="0"/>
        <v>0</v>
      </c>
      <c r="F53" s="574">
        <f t="shared" si="79"/>
        <v>0</v>
      </c>
      <c r="G53" s="203" t="str">
        <f t="shared" si="127"/>
        <v/>
      </c>
      <c r="H53" s="583">
        <f t="shared" si="58"/>
        <v>0</v>
      </c>
      <c r="I53" s="584">
        <f t="shared" si="3"/>
        <v>0</v>
      </c>
      <c r="J53" s="62"/>
      <c r="K53" s="783" t="s">
        <v>1</v>
      </c>
      <c r="L53" s="784"/>
      <c r="M53" s="785"/>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2688.9975000000004</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2688.9975000000004</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54" t="s">
        <v>401</v>
      </c>
      <c r="B54" s="144"/>
      <c r="C54" s="201"/>
      <c r="D54" s="202"/>
      <c r="E54" s="573">
        <f t="shared" si="0"/>
        <v>0</v>
      </c>
      <c r="F54" s="574">
        <f t="shared" si="79"/>
        <v>0</v>
      </c>
      <c r="G54" s="203" t="str">
        <f t="shared" si="127"/>
        <v/>
      </c>
      <c r="H54" s="583">
        <f t="shared" si="58"/>
        <v>0</v>
      </c>
      <c r="I54" s="584">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2823.4473750000006</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2823.4473750000006</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54" t="s">
        <v>401</v>
      </c>
      <c r="B55" s="144"/>
      <c r="C55" s="201"/>
      <c r="D55" s="202"/>
      <c r="E55" s="573">
        <f t="shared" si="0"/>
        <v>0</v>
      </c>
      <c r="F55" s="574">
        <f t="shared" si="79"/>
        <v>0</v>
      </c>
      <c r="G55" s="203" t="str">
        <f t="shared" si="127"/>
        <v/>
      </c>
      <c r="H55" s="583">
        <f t="shared" si="58"/>
        <v>0</v>
      </c>
      <c r="I55" s="584">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2964.6197437500009</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2964.6197437500009</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54" t="s">
        <v>401</v>
      </c>
      <c r="B56" s="144"/>
      <c r="C56" s="201"/>
      <c r="D56" s="202"/>
      <c r="E56" s="573">
        <f t="shared" si="0"/>
        <v>0</v>
      </c>
      <c r="F56" s="574">
        <f t="shared" si="79"/>
        <v>0</v>
      </c>
      <c r="G56" s="203" t="str">
        <f t="shared" si="127"/>
        <v/>
      </c>
      <c r="H56" s="583">
        <f t="shared" si="58"/>
        <v>0</v>
      </c>
      <c r="I56" s="584">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3112.8507309375009</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3112.8507309375009</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54" t="s">
        <v>401</v>
      </c>
      <c r="B57" s="144"/>
      <c r="C57" s="201"/>
      <c r="D57" s="202"/>
      <c r="E57" s="573">
        <f t="shared" si="0"/>
        <v>0</v>
      </c>
      <c r="F57" s="574">
        <f t="shared" si="79"/>
        <v>0</v>
      </c>
      <c r="G57" s="203" t="str">
        <f t="shared" si="127"/>
        <v/>
      </c>
      <c r="H57" s="583">
        <f t="shared" si="58"/>
        <v>0</v>
      </c>
      <c r="I57" s="584">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3268.4932674843762</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3268.4932674843762</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54" t="s">
        <v>401</v>
      </c>
      <c r="B58" s="144"/>
      <c r="C58" s="201"/>
      <c r="D58" s="202"/>
      <c r="E58" s="573">
        <f t="shared" si="0"/>
        <v>0</v>
      </c>
      <c r="F58" s="574">
        <f t="shared" si="79"/>
        <v>0</v>
      </c>
      <c r="G58" s="203" t="str">
        <f t="shared" si="127"/>
        <v/>
      </c>
      <c r="H58" s="583">
        <f t="shared" si="58"/>
        <v>0</v>
      </c>
      <c r="I58" s="584">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3431.9179308585954</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3431.9179308585954</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54" t="s">
        <v>401</v>
      </c>
      <c r="B59" s="144"/>
      <c r="C59" s="201"/>
      <c r="D59" s="202"/>
      <c r="E59" s="573">
        <f t="shared" si="0"/>
        <v>0</v>
      </c>
      <c r="F59" s="574">
        <f t="shared" si="79"/>
        <v>0</v>
      </c>
      <c r="G59" s="203" t="str">
        <f t="shared" si="127"/>
        <v/>
      </c>
      <c r="H59" s="583">
        <f t="shared" si="58"/>
        <v>0</v>
      </c>
      <c r="I59" s="584">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3603.5138274015253</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3603.5138274015253</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54" t="s">
        <v>401</v>
      </c>
      <c r="B60" s="144"/>
      <c r="C60" s="201"/>
      <c r="D60" s="202"/>
      <c r="E60" s="573">
        <f t="shared" si="0"/>
        <v>0</v>
      </c>
      <c r="F60" s="574">
        <f t="shared" si="79"/>
        <v>0</v>
      </c>
      <c r="G60" s="203" t="str">
        <f t="shared" si="127"/>
        <v/>
      </c>
      <c r="H60" s="583">
        <f t="shared" si="58"/>
        <v>0</v>
      </c>
      <c r="I60" s="584">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3783.6895187716018</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3783.6895187716018</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54" t="s">
        <v>401</v>
      </c>
      <c r="B61" s="144"/>
      <c r="C61" s="201"/>
      <c r="D61" s="202"/>
      <c r="E61" s="573">
        <f t="shared" si="0"/>
        <v>0</v>
      </c>
      <c r="F61" s="574">
        <f t="shared" si="79"/>
        <v>0</v>
      </c>
      <c r="G61" s="203" t="str">
        <f t="shared" si="127"/>
        <v/>
      </c>
      <c r="H61" s="583">
        <f t="shared" si="58"/>
        <v>0</v>
      </c>
      <c r="I61" s="584">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3972.8739947101822</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3972.8739947101822</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54" t="s">
        <v>401</v>
      </c>
      <c r="B62" s="144"/>
      <c r="C62" s="201"/>
      <c r="D62" s="202"/>
      <c r="E62" s="573">
        <f t="shared" si="0"/>
        <v>0</v>
      </c>
      <c r="F62" s="574">
        <f t="shared" si="79"/>
        <v>0</v>
      </c>
      <c r="G62" s="203" t="str">
        <f t="shared" si="127"/>
        <v/>
      </c>
      <c r="H62" s="583">
        <f t="shared" si="58"/>
        <v>0</v>
      </c>
      <c r="I62" s="584">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4171.5176944456916</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4171.5176944456916</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54" t="s">
        <v>401</v>
      </c>
      <c r="B63" s="144"/>
      <c r="C63" s="201"/>
      <c r="D63" s="202"/>
      <c r="E63" s="573">
        <f t="shared" si="0"/>
        <v>0</v>
      </c>
      <c r="F63" s="574">
        <f t="shared" si="79"/>
        <v>0</v>
      </c>
      <c r="G63" s="203" t="str">
        <f t="shared" si="127"/>
        <v/>
      </c>
      <c r="H63" s="583">
        <f t="shared" si="58"/>
        <v>0</v>
      </c>
      <c r="I63" s="584">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4380.0935791679767</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4380.0935791679767</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54" t="s">
        <v>401</v>
      </c>
      <c r="B64" s="144"/>
      <c r="C64" s="201"/>
      <c r="D64" s="202"/>
      <c r="E64" s="573">
        <f t="shared" si="0"/>
        <v>0</v>
      </c>
      <c r="F64" s="574">
        <f t="shared" si="79"/>
        <v>0</v>
      </c>
      <c r="G64" s="203" t="str">
        <f t="shared" si="127"/>
        <v/>
      </c>
      <c r="H64" s="583">
        <f t="shared" si="58"/>
        <v>0</v>
      </c>
      <c r="I64" s="584">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4599.0982581263761</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4599.0982581263761</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54" t="s">
        <v>401</v>
      </c>
      <c r="B65" s="144"/>
      <c r="C65" s="201"/>
      <c r="D65" s="202"/>
      <c r="E65" s="573">
        <f t="shared" si="0"/>
        <v>0</v>
      </c>
      <c r="F65" s="574">
        <f t="shared" si="79"/>
        <v>0</v>
      </c>
      <c r="G65" s="203" t="str">
        <f t="shared" si="127"/>
        <v/>
      </c>
      <c r="H65" s="583">
        <f t="shared" si="58"/>
        <v>0</v>
      </c>
      <c r="I65" s="584">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4829.053171032695</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4829.053171032695</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54" t="s">
        <v>401</v>
      </c>
      <c r="B66" s="144"/>
      <c r="C66" s="201"/>
      <c r="D66" s="202"/>
      <c r="E66" s="573">
        <f t="shared" si="0"/>
        <v>0</v>
      </c>
      <c r="F66" s="574">
        <f t="shared" si="79"/>
        <v>0</v>
      </c>
      <c r="G66" s="203" t="str">
        <f t="shared" si="127"/>
        <v/>
      </c>
      <c r="H66" s="583">
        <f t="shared" si="58"/>
        <v>0</v>
      </c>
      <c r="I66" s="584">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5070.5058295843301</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5070.5058295843301</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54" t="s">
        <v>401</v>
      </c>
      <c r="B67" s="144"/>
      <c r="C67" s="201"/>
      <c r="D67" s="202"/>
      <c r="E67" s="573">
        <f t="shared" si="0"/>
        <v>0</v>
      </c>
      <c r="F67" s="574">
        <f t="shared" ref="F67:F72" si="128">IF(B67&gt;0,+B67*D67*(1+($N$53+0.002)*1.21)*-100,B67*D67*(1-($N$53+0.002)*1.21)*-100)</f>
        <v>0</v>
      </c>
      <c r="G67" s="203" t="str">
        <f t="shared" si="127"/>
        <v/>
      </c>
      <c r="H67" s="583">
        <f t="shared" si="58"/>
        <v>0</v>
      </c>
      <c r="I67" s="584">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5324.0311210635464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5324.0311210635464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54" t="s">
        <v>401</v>
      </c>
      <c r="B68" s="144"/>
      <c r="C68" s="201"/>
      <c r="D68" s="202"/>
      <c r="E68" s="573">
        <f t="shared" si="0"/>
        <v>0</v>
      </c>
      <c r="F68" s="574">
        <f t="shared" si="128"/>
        <v>0</v>
      </c>
      <c r="G68" s="203" t="str">
        <f t="shared" si="127"/>
        <v/>
      </c>
      <c r="H68" s="583">
        <f>IFERROR(+G68*B68*-100,0)</f>
        <v>0</v>
      </c>
      <c r="I68" s="584">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54" t="s">
        <v>401</v>
      </c>
      <c r="B69" s="144"/>
      <c r="C69" s="201"/>
      <c r="D69" s="202"/>
      <c r="E69" s="573">
        <f t="shared" si="0"/>
        <v>0</v>
      </c>
      <c r="F69" s="574">
        <f t="shared" si="128"/>
        <v>0</v>
      </c>
      <c r="G69" s="203" t="str">
        <f t="shared" si="127"/>
        <v/>
      </c>
      <c r="H69" s="583">
        <f>IFERROR(+G69*B69*-100,0)</f>
        <v>0</v>
      </c>
      <c r="I69" s="584">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54" t="s">
        <v>401</v>
      </c>
      <c r="B70" s="144"/>
      <c r="C70" s="201"/>
      <c r="D70" s="202"/>
      <c r="E70" s="573">
        <f t="shared" si="0"/>
        <v>0</v>
      </c>
      <c r="F70" s="574">
        <f t="shared" si="128"/>
        <v>0</v>
      </c>
      <c r="G70" s="203" t="str">
        <f t="shared" si="127"/>
        <v/>
      </c>
      <c r="H70" s="583">
        <f>IFERROR(+G70*B70*-100,0)</f>
        <v>0</v>
      </c>
      <c r="I70" s="584">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1129.9673103596376</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1129.9673103596376</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54" t="s">
        <v>401</v>
      </c>
      <c r="B71" s="144"/>
      <c r="C71" s="201"/>
      <c r="D71" s="202"/>
      <c r="E71" s="573">
        <f t="shared" si="0"/>
        <v>0</v>
      </c>
      <c r="F71" s="574">
        <f t="shared" si="128"/>
        <v>0</v>
      </c>
      <c r="G71" s="203" t="str">
        <f t="shared" si="127"/>
        <v/>
      </c>
      <c r="H71" s="583">
        <f>IFERROR(+G71*B71*-100,0)</f>
        <v>0</v>
      </c>
      <c r="I71" s="584">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1189.4392740627766</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1189.4392740627766</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54" t="s">
        <v>401</v>
      </c>
      <c r="B72" s="178"/>
      <c r="C72" s="208"/>
      <c r="D72" s="209"/>
      <c r="E72" s="575">
        <f t="shared" si="0"/>
        <v>0</v>
      </c>
      <c r="F72" s="576">
        <f t="shared" si="128"/>
        <v>0</v>
      </c>
      <c r="G72" s="207" t="str">
        <f t="shared" si="127"/>
        <v/>
      </c>
      <c r="H72" s="585">
        <f>IFERROR(+G72*B72*-100,0)</f>
        <v>0</v>
      </c>
      <c r="I72" s="586">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1252.0413411187124</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1252.0413411187124</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63" t="s">
        <v>403</v>
      </c>
      <c r="B73" s="179"/>
      <c r="C73" s="180"/>
      <c r="D73" s="181"/>
      <c r="E73" s="577">
        <f>-C73*B73</f>
        <v>0</v>
      </c>
      <c r="F73" s="578">
        <f>IF(B73&gt;0,-C73*(1+($N$52+0.0008)*1.21)*B73,-C73*(1-($N$52+0.0008)*1.21)*B73)</f>
        <v>0</v>
      </c>
      <c r="G73" s="214">
        <f>B76</f>
        <v>2439</v>
      </c>
      <c r="H73" s="587">
        <f>-G73*B73</f>
        <v>0</v>
      </c>
      <c r="I73" s="588">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1317.9382538091709</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1317.9382538091709</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64"/>
      <c r="B74" s="144"/>
      <c r="C74" s="125"/>
      <c r="D74" s="182"/>
      <c r="E74" s="579">
        <f>-C74*B74</f>
        <v>0</v>
      </c>
      <c r="F74" s="580">
        <f>IF(B74&gt;0,-C74*(1+($N$52+0.0008)*1.21)*B74,-C74*(1-($N$52+0.0008)*1.21)*B74)</f>
        <v>0</v>
      </c>
      <c r="G74" s="214">
        <f>G73</f>
        <v>2439</v>
      </c>
      <c r="H74" s="587">
        <f>-G74*B74</f>
        <v>0</v>
      </c>
      <c r="I74" s="588">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1387.3034250622852</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1387.3034250622852</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65"/>
      <c r="B75" s="178"/>
      <c r="C75" s="183"/>
      <c r="D75" s="184"/>
      <c r="E75" s="581">
        <f>-C75*B75</f>
        <v>0</v>
      </c>
      <c r="F75" s="582">
        <f>IF(B75&gt;0,-C75*(1+($N$52+0.0008)*1.21)*B75,-C75*(1-($N$52+0.0008)*1.21)*B75)</f>
        <v>0</v>
      </c>
      <c r="G75" s="215">
        <f>G74</f>
        <v>2439</v>
      </c>
      <c r="H75" s="589">
        <f>-G75*B75</f>
        <v>0</v>
      </c>
      <c r="I75" s="590">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1460.3193948024057</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1460.3193948024057</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51">
        <f>IFERROR(VLOOKUP("GGAL - 48hs",HomeBroker!$A$18:$F$106,6,0),0)</f>
        <v>2439</v>
      </c>
      <c r="C76" s="186"/>
      <c r="D76" s="187" t="s">
        <v>459</v>
      </c>
      <c r="E76" s="548">
        <f>SUM(E3:E75)</f>
        <v>0</v>
      </c>
      <c r="F76" s="549">
        <f>SUM(F3:F75)</f>
        <v>0</v>
      </c>
      <c r="G76" s="188"/>
      <c r="H76" s="189"/>
      <c r="I76" s="550">
        <f>SUM(I3:I75)</f>
        <v>0</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1537.1783103183218</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1537.1783103183218</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1618.0824319140231</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1618.0824319140231</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1703.2446651726559</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1703.2446651726559</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1792.8891212343747</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1792.8891212343747</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1887.2517065624997</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1887.2517065624997</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1986.5807437499998</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1986.5807437499998</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2091.1376249999998</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2091.1376249999998</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2201.1974999999998</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2201.1974999999998</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2317.0499999999997</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2317.0499999999997</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2439</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2439</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2560.9500000000003</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2560.9500000000003</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2688.9975000000004</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2688.9975000000004</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2823.4473750000006</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2823.4473750000006</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2964.6197437500009</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2964.6197437500009</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3112.8507309375009</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3112.8507309375009</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3268.4932674843762</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3268.4932674843762</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3431.9179308585954</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3431.9179308585954</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3603.5138274015253</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3603.5138274015253</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3783.6895187716018</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3783.6895187716018</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3972.8739947101822</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3972.8739947101822</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4171.5176944456916</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0</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0</v>
      </c>
      <c r="EU96" s="72"/>
      <c r="EV96" s="117">
        <f t="shared" si="171"/>
        <v>4171.5176944456916</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4380.0935791679767</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0</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0</v>
      </c>
      <c r="EU97" s="72"/>
      <c r="EV97" s="117">
        <f t="shared" si="171"/>
        <v>4380.0935791679767</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4599.0982581263761</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0</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0</v>
      </c>
      <c r="EU98" s="72"/>
      <c r="EV98" s="117">
        <f t="shared" si="171"/>
        <v>4599.0982581263761</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4829.053171032695</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0</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0</v>
      </c>
      <c r="EU99" s="72"/>
      <c r="EV99" s="117">
        <f t="shared" si="171"/>
        <v>4829.053171032695</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5070.5058295843301</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0</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0</v>
      </c>
      <c r="EU100" s="72"/>
      <c r="EV100" s="117">
        <f t="shared" si="171"/>
        <v>5070.5058295843301</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5324.0311210635464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0</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0</v>
      </c>
      <c r="EU101" s="72"/>
      <c r="EV101" s="117">
        <f t="shared" si="171"/>
        <v>5324.0311210635464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1129.9673103596376</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1129.9673103596376</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1189.4392740627766</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1189.4392740627766</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1252.0413411187124</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1252.0413411187124</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1317.9382538091709</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1317.9382538091709</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1387.3034250622852</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1387.3034250622852</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1460.3193948024057</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1460.3193948024057</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1537.1783103183218</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1537.1783103183218</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1618.0824319140231</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1618.0824319140231</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1703.2446651726559</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1703.2446651726559</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1792.8891212343747</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1792.8891212343747</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1887.2517065624997</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1887.2517065624997</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1986.5807437499998</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1986.5807437499998</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2091.1376249999998</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2091.1376249999998</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2201.1974999999998</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2201.1974999999998</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2317.0499999999997</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2317.0499999999997</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2439</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2439</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2560.9500000000003</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2560.9500000000003</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2688.9975000000004</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2688.9975000000004</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2823.4473750000006</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2823.4473750000006</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2964.6197437500009</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2964.6197437500009</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3112.8507309375009</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3112.8507309375009</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3268.4932674843762</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3268.4932674843762</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3431.9179308585954</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3431.9179308585954</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3603.5138274015253</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3603.5138274015253</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3783.6895187716018</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3783.6895187716018</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3972.8739947101822</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3972.8739947101822</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4171.5176944456916</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4171.5176944456916</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4380.0935791679767</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4380.0935791679767</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4599.0982581263761</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4599.0982581263761</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4829.053171032695</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4829.053171032695</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5070.5058295843301</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5070.5058295843301</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5324.0311210635464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5324.0311210635464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K40:M40"/>
    <mergeCell ref="K42:M42"/>
    <mergeCell ref="K36:M36"/>
    <mergeCell ref="K37:M37"/>
    <mergeCell ref="K38:M38"/>
    <mergeCell ref="K39:M39"/>
    <mergeCell ref="P43:AA44"/>
    <mergeCell ref="AB43:AM44"/>
    <mergeCell ref="K44:M44"/>
    <mergeCell ref="K45:M45"/>
    <mergeCell ref="K53:M53"/>
    <mergeCell ref="K46:M46"/>
    <mergeCell ref="A73:A75"/>
    <mergeCell ref="K47:M47"/>
    <mergeCell ref="K48:M48"/>
    <mergeCell ref="K49:M49"/>
    <mergeCell ref="K50:M50"/>
    <mergeCell ref="K51:M51"/>
    <mergeCell ref="K52:M52"/>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13"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500"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41"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41"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2024-03-12T20:07:15Z</dcterms:modified>
</cp:coreProperties>
</file>