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B_49765_coco\"/>
    </mc:Choice>
  </mc:AlternateContent>
  <xr:revisionPtr revIDLastSave="0" documentId="13_ncr:1_{8912C601-6D58-4606-B54E-19CAD4512CB0}" xr6:coauthVersionLast="47" xr6:coauthVersionMax="47" xr10:uidLastSave="{00000000-0000-0000-0000-000000000000}"/>
  <bookViews>
    <workbookView xWindow="7230" yWindow="46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38" l="1"/>
  <c r="AA10" i="38" s="1"/>
  <c r="Z11" i="38"/>
  <c r="AA11" i="38" s="1"/>
  <c r="Z12" i="38"/>
  <c r="AA12" i="38" s="1"/>
  <c r="Z13" i="38"/>
  <c r="AA13" i="38" s="1"/>
  <c r="W75" i="38"/>
  <c r="W74" i="38"/>
  <c r="W73" i="38"/>
  <c r="W72" i="38"/>
  <c r="W71" i="38"/>
  <c r="W70" i="38"/>
  <c r="W65" i="38"/>
  <c r="W64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4" i="38"/>
  <c r="AA22" i="38"/>
  <c r="Y14" i="38"/>
  <c r="Y18" i="38"/>
  <c r="AA14" i="38"/>
  <c r="AA15" i="38"/>
  <c r="AE11" i="38"/>
  <c r="AD11" i="38"/>
  <c r="C16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Y4" i="38"/>
  <c r="AA141" i="38"/>
  <c r="AB141" i="38" s="1"/>
  <c r="AA19" i="38"/>
  <c r="AA18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Z6" i="38"/>
  <c r="AA6" i="38" s="1"/>
  <c r="Z7" i="38"/>
  <c r="Z8" i="38"/>
  <c r="Z9" i="38"/>
  <c r="Z5" i="38"/>
  <c r="Z4" i="38"/>
  <c r="Z3" i="38"/>
  <c r="Z2" i="38"/>
  <c r="AA2" i="38" s="1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Y19" i="38" l="1"/>
  <c r="Z19" i="38" s="1"/>
  <c r="AL6" i="46"/>
  <c r="AP7" i="46"/>
  <c r="AK14" i="46"/>
  <c r="AN6" i="46"/>
  <c r="AK8" i="46"/>
  <c r="AO6" i="46"/>
  <c r="AP8" i="46"/>
  <c r="AN7" i="46"/>
  <c r="AA7" i="38"/>
  <c r="Y24" i="38"/>
  <c r="Y25" i="38"/>
  <c r="Y23" i="38"/>
  <c r="Y22" i="38"/>
  <c r="Z25" i="38"/>
  <c r="Z24" i="38"/>
  <c r="Z23" i="38"/>
  <c r="Z22" i="38"/>
  <c r="AA9" i="38"/>
  <c r="Y15" i="38"/>
  <c r="Y16" i="38" s="1"/>
  <c r="Y17" i="38" s="1"/>
  <c r="Z17" i="38" s="1"/>
  <c r="Z18" i="38"/>
  <c r="Z14" i="38"/>
  <c r="Z46" i="38"/>
  <c r="Z77" i="38"/>
  <c r="AA4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A8" i="38"/>
  <c r="AA5" i="38"/>
  <c r="AA3" i="38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Z15" i="38" l="1"/>
  <c r="Z16" i="38"/>
  <c r="Y20" i="38"/>
  <c r="AA16" i="38"/>
  <c r="M19" i="46"/>
  <c r="M16" i="46"/>
  <c r="M22" i="46"/>
  <c r="M13" i="46"/>
  <c r="M25" i="46"/>
  <c r="Q36" i="46"/>
  <c r="Z20" i="38" l="1"/>
  <c r="Y21" i="38"/>
  <c r="Z21" i="38" s="1"/>
  <c r="GL3" i="46"/>
  <c r="EU3" i="46"/>
  <c r="AA20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<sst xmlns="http://schemas.openxmlformats.org/spreadsheetml/2006/main" count="1430" uniqueCount="630">
  <si>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</si>
  <si>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</si>
  <si>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</si>
  <si>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</si>
  <si>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</si>
  <si>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</si>
  <si>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</si>
  <si>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</si>
  <si>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</si>
  <si>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</si>
  <si>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</si>
  <si>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</si>
  <si>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</si>
  <si>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</si>
  <si>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</si>
  <si>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</si>
  <si>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</si>
  <si>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</si>
  <si>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</si>
  <si>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</si>
  <si>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</si>
  <si>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</si>
  <si>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</si>
  <si>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</si>
  <si>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</si>
  <si>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</si>
  <si>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</si>
  <si>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</si>
  <si>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</si>
  <si>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</si>
  <si>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</si>
  <si>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</si>
  <si>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</si>
  <si>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</si>
  <si>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</si>
  <si>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</si>
  <si>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</si>
  <si>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</si>
  <si>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</si>
  <si>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</si>
  <si>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</si>
  <si>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</si>
  <si>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</si>
  <si>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</si>
  <si>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</si>
  <si>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</si>
  <si>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</si>
  <si>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</si>
  <si>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</si>
  <si>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</si>
  <si>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</si>
  <si>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</si>
  <si>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</si>
  <si>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</si>
  <si>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</si>
  <si>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</si>
  <si>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</si>
  <si>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</si>
  <si>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</si>
  <si>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</si>
  <si>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</si>
  <si>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</si>
  <si>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</si>
  <si>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</si>
  <si>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</si>
  <si>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</si>
  <si>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</si>
  <si>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</si>
  <si>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</si>
  <si>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</si>
  <si>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</si>
  <si>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</si>
  <si>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</si>
  <si>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</si>
  <si>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</si>
  <si>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</si>
  <si>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</si>
  <si>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</si>
  <si>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</si>
  <si>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</si>
  <si>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</si>
  <si>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</si>
  <si>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</si>
  <si>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</si>
  <si>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</si>
  <si>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</si>
  <si>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</si>
  <si>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</si>
  <si>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</si>
  <si>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</si>
  <si>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</si>
  <si>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</si>
  <si>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</si>
  <si>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</si>
  <si>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</si>
  <si>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</si>
  <si>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</si>
  <si>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</si>
  <si>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</si>
  <si>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</si>
  <si>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</si>
  <si>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</si>
  <si>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</si>
  <si>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</si>
  <si>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</si>
  <si>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</si>
  <si>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</si>
  <si>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</si>
  <si>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</si>
  <si>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</si>
  <si>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</si>
  <si>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</si>
  <si>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</si>
  <si>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</si>
  <si>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</si>
  <si>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</si>
  <si>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</si>
  <si>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</si>
  <si>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</si>
  <si>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</si>
  <si>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</si>
  <si>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</si>
  <si>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</si>
  <si>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</si>
  <si>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</si>
  <si>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</si>
  <si>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</si>
  <si>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</si>
  <si>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</si>
  <si>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</si>
  <si>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</si>
  <si>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</si>
  <si>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</si>
  <si>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</si>
  <si>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</si>
  <si>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</si>
  <si>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</si>
  <si>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</si>
  <si>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</si>
  <si>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</si>
  <si>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</si>
  <si>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</si>
  <si>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</si>
  <si>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</si>
  <si>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</si>
  <si>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</si>
  <si>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</si>
  <si>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</si>
  <si>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</si>
  <si>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</si>
  <si>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</si>
  <si>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</si>
  <si>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</si>
  <si>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</si>
  <si>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</si>
  <si>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</si>
  <si>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</si>
  <si>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</si>
  <si>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</si>
  <si>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</si>
  <si>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</si>
  <si>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</si>
  <si>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</si>
  <si>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</si>
  <si>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</si>
  <si>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</si>
  <si>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</si>
  <si>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</si>
  <si>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</si>
  <si>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</si>
  <si>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</si>
  <si>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</si>
  <si>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</si>
  <si>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</si>
  <si>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</si>
  <si>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</si>
  <si>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</si>
  <si>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</si>
  <si>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</si>
  <si>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</si>
  <si>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</si>
  <si>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</si>
  <si>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</si>
  <si>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</si>
  <si>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</si>
  <si>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</si>
  <si>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</si>
  <si>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</si>
  <si>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</si>
  <si>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</si>
  <si>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</si>
  <si>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</si>
  <si>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</si>
  <si>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</si>
  <si>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</si>
  <si>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</si>
  <si>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</si>
  <si>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</si>
  <si>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</si>
  <si>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</si>
  <si>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</si>
  <si>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</si>
  <si>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</si>
  <si>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</si>
  <si>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</si>
  <si>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</si>
  <si>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</si>
  <si>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</si>
  <si>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</si>
  <si>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</si>
  <si>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</si>
  <si>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</si>
  <si>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</si>
  <si>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</si>
  <si>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</si>
  <si>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</si>
  <si>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</si>
  <si>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</si>
  <si>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</si>
  <si>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</si>
  <si>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</si>
  <si>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</si>
  <si>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</si>
  <si>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</si>
  <si>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</si>
  <si>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</si>
  <si>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</si>
  <si>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</si>
  <si>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</si>
  <si>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</si>
  <si>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</si>
  <si>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</si>
  <si>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</si>
  <si>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</si>
  <si>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</si>
  <si>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</si>
  <si>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</si>
  <si>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</si>
  <si>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</si>
  <si>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</si>
  <si>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</si>
  <si>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</si>
  <si>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</si>
  <si>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</si>
  <si>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</si>
  <si>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</si>
  <si>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</si>
  <si>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</si>
  <si>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</si>
  <si>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</si>
  <si>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</si>
  <si>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</si>
  <si>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</si>
  <si>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</si>
  <si>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</si>
  <si>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</si>
  <si>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</si>
  <si>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</si>
  <si>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</si>
  <si>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</si>
  <si>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</si>
  <si>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</si>
  <si>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</si>
  <si>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</si>
  <si>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</si>
  <si>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</si>
  <si>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</si>
  <si>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</si>
  <si>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</si>
  <si>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</si>
  <si>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</si>
  <si>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</si>
  <si>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</si>
  <si>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</si>
  <si>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</si>
  <si>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</si>
  <si>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</si>
  <si>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</si>
  <si>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</si>
  <si>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</si>
  <si>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</si>
  <si>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</si>
  <si>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</si>
  <si>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</si>
  <si>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</si>
  <si>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</si>
  <si>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</si>
  <si>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</si>
  <si>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</si>
  <si>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</si>
  <si>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</si>
  <si>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</si>
  <si>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</si>
  <si>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</si>
  <si>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</si>
  <si>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</si>
  <si>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</si>
  <si>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</si>
  <si>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</si>
  <si>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</si>
  <si>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</si>
  <si>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</si>
  <si>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</si>
  <si>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</si>
  <si>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</si>
  <si>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</si>
  <si>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</si>
  <si>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</si>
  <si>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</si>
  <si>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</si>
  <si>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</si>
  <si>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</si>
  <si>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</si>
  <si>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</si>
  <si>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</si>
  <si>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</si>
  <si>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</si>
  <si>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</si>
  <si>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</si>
  <si>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</si>
  <si>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</si>
  <si>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</si>
  <si>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</si>
  <si>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</si>
  <si>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</si>
  <si>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</si>
  <si>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</si>
  <si>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</si>
  <si>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</si>
  <si>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</si>
  <si>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</si>
  <si>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</si>
  <si>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</si>
  <si>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</si>
  <si>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</si>
  <si>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</si>
  <si>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</si>
  <si>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</si>
  <si>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</si>
  <si>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</si>
  <si>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</si>
  <si>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</si>
  <si>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</si>
  <si>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</si>
  <si>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</si>
  <si>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</si>
  <si>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</si>
  <si>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</si>
  <si>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</si>
  <si>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</si>
  <si>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</si>
  <si>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</si>
  <si>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</si>
  <si>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</si>
  <si>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</si>
  <si>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</si>
  <si>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</si>
  <si>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</si>
  <si>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</si>
  <si>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</si>
  <si>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</si>
  <si>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</si>
  <si>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</si>
  <si>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</si>
  <si>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</si>
  <si>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</si>
  <si>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</si>
  <si>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</si>
  <si>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</si>
  <si>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</si>
  <si>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</si>
  <si>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</si>
  <si>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</si>
  <si>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</si>
  <si>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</si>
  <si>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</si>
  <si>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</si>
  <si>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</si>
  <si>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</si>
  <si>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</si>
  <si>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</si>
  <si>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</si>
  <si>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</si>
  <si>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</si>
  <si>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</si>
  <si>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</si>
  <si>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</si>
  <si>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</si>
  <si>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</si>
  <si>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</si>
  <si>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</si>
  <si>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</si>
  <si>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</si>
  <si>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</si>
  <si>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</si>
  <si>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</si>
  <si>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</si>
  <si>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</si>
  <si>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</si>
  <si>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</si>
  <si>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</si>
  <si>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</si>
  <si>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</si>
  <si>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</si>
  <si>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</si>
  <si>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</si>
  <si>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</si>
  <si>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</si>
  <si>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</si>
  <si>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</si>
  <si>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</si>
  <si>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</si>
  <si>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</si>
  <si>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</si>
  <si>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</si>
  <si>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</si>
  <si>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</si>
  <si>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</si>
  <si>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</si>
  <si>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</si>
  <si>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</si>
  <si>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</si>
  <si>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</si>
  <si>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</si>
  <si>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</si>
  <si>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</si>
  <si>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</si>
  <si>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</si>
  <si>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</si>
  <si>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</si>
  <si>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</si>
  <si>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</si>
  <si>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</si>
  <si>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</si>
  <si>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</si>
  <si>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</si>
  <si>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</si>
  <si>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</si>
  <si>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</si>
  <si>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</si>
  <si>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</si>
  <si>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</si>
  <si>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</si>
  <si>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</si>
  <si>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</si>
  <si>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</si>
  <si>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</si>
  <si>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</si>
  <si>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</si>
  <si>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</si>
  <si>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</si>
  <si>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</si>
  <si>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</si>
  <si>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</si>
  <si>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</si>
  <si>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</si>
  <si>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</si>
  <si>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</si>
  <si>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</si>
  <si>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</si>
  <si>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</si>
  <si>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</si>
  <si>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</si>
  <si>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</si>
  <si>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</si>
  <si>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</si>
  <si>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</si>
  <si>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</si>
  <si>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</si>
  <si>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</si>
  <si>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</si>
  <si>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</si>
  <si>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</si>
  <si>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</si>
  <si>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</si>
  <si>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</si>
  <si>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</si>
  <si>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</si>
  <si>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</si>
  <si>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</si>
  <si>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</si>
  <si>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</si>
  <si>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</si>
  <si>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</si>
  <si>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</si>
  <si>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</si>
  <si>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</si>
  <si>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</si>
  <si>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</si>
  <si>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</si>
  <si>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</si>
  <si>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</si>
  <si>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</si>
  <si>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</si>
  <si>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</si>
  <si>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</si>
  <si>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</si>
  <si>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</si>
  <si>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</si>
  <si>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</si>
  <si>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</si>
  <si>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</si>
  <si>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</si>
  <si>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</si>
  <si>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</si>
  <si>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</si>
  <si>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</si>
  <si>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</si>
  <si>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</si>
  <si>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</si>
  <si>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</si>
  <si>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</si>
  <si>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</si>
  <si>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</si>
  <si>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</si>
  <si>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</si>
  <si>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</si>
  <si>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</si>
  <si>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</si>
  <si>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</si>
  <si>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</si>
  <si>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</si>
  <si>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</si>
  <si>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</si>
  <si>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</si>
  <si>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</si>
  <si>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</si>
  <si>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</si>
  <si>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</si>
  <si>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</si>
  <si>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</si>
  <si>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</si>
  <si>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</si>
  <si>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</si>
  <si>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</si>
  <si>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</si>
  <si>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</si>
  <si>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</si>
  <si>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</si>
  <si>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</si>
  <si>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</si>
  <si>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</si>
  <si>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</si>
  <si>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</si>
  <si>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</si>
  <si>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</si>
  <si>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</si>
  <si>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</si>
  <si>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</si>
  <si>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</si>
  <si>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</si>
  <si>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</si>
  <si>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</si>
  <si>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</si>
  <si>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</si>
  <si>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</si>
  <si>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</si>
  <si>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</si>
  <si>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</si>
  <si>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</si>
  <si>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</si>
  <si>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</si>
  <si>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</si>
  <si>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</si>
  <si>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</si>
  <si>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</si>
  <si>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</si>
  <si>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</si>
  <si>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</si>
  <si>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</si>
  <si>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</si>
  <si>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</si>
  <si>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</si>
  <si>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</si>
  <si>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</si>
  <si>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</si>
  <si>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</si>
  <si>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</si>
  <si>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</si>
  <si>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</si>
  <si>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</si>
  <si>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</si>
  <si>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</si>
  <si>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</si>
  <si>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</si>
  <si>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</si>
  <si>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</si>
  <si>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</si>
  <si>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</si>
  <si>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</si>
  <si>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</si>
  <si>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</si>
  <si>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</si>
  <si>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</si>
  <si>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</si>
  <si>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</si>
  <si>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</si>
  <si>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</si>
  <si>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</si>
  <si>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</si>
  <si>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</si>
  <si>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</si>
  <si>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</si>
  <si>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</si>
  <si>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</si>
  <si>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</si>
  <si>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</si>
  <si>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</si>
  <si>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</si>
  <si>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</si>
  <si>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</si>
  <si>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</si>
  <si>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</si>
  <si>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</si>
  <si>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</si>
  <si>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</si>
  <si>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</si>
  <si>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Monto u$d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</si>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</sst>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indexed="64"/>
      </top>
      <bottom style="thin">
        <color rgb="FF002060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/>
      <top/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3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3" fillId="0" borderId="97" xfId="55" applyNumberFormat="1" applyFont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0" fontId="81" fillId="9" borderId="116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81" fillId="9" borderId="115" xfId="0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2" fontId="3" fillId="0" borderId="119" xfId="55" applyNumberFormat="1" applyFont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45" fillId="10" borderId="117" xfId="0" applyFont="1" applyFill="1" applyBorder="1" applyAlignment="1">
      <alignment horizontal="right" vertical="center"/>
    </xf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1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3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4" xfId="0" applyFont="1" applyFill="1" applyBorder="1" applyAlignment="1">
      <alignment horizontal="center" vertical="center"/>
    </xf>
    <xf numFmtId="2" fontId="3" fillId="0" borderId="107" xfId="55" applyNumberFormat="1" applyFont="1" applyBorder="1" applyAlignment="1">
      <alignment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4" xfId="55" applyNumberFormat="1" applyFont="1" applyFill="1" applyBorder="1" applyAlignment="1">
      <alignment horizontal="right" vertical="center"/>
    </xf>
    <xf numFmtId="0" fontId="81" fillId="10" borderId="144" xfId="0" applyFont="1" applyFill="1" applyBorder="1" applyAlignment="1">
      <alignment horizontal="right" vertical="center"/>
    </xf>
    <xf numFmtId="0" fontId="82" fillId="10" borderId="123" xfId="0" applyFont="1" applyFill="1" applyBorder="1" applyAlignment="1">
      <alignment horizontal="left" vertical="center"/>
    </xf>
    <xf numFmtId="0" fontId="83" fillId="10" borderId="142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5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2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3" fontId="42" fillId="10" borderId="148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87" fillId="10" borderId="149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87" fillId="9" borderId="107" xfId="0" applyFont="1" applyFill="1" applyBorder="1" applyAlignment="1">
      <alignment horizontal="center" vertical="center"/>
    </xf>
    <xf numFmtId="0" fontId="87" fillId="9" borderId="114" xfId="0" applyFont="1" applyFill="1" applyBorder="1" applyAlignment="1">
      <alignment horizontal="center" vertical="center"/>
    </xf>
    <xf numFmtId="0" fontId="32" fillId="10" borderId="151" xfId="0" applyFont="1" applyFill="1" applyBorder="1" applyAlignment="1">
      <alignment horizontal="right" vertical="center"/>
    </xf>
    <xf numFmtId="10" fontId="30" fillId="10" borderId="151" xfId="114" applyNumberFormat="1" applyFont="1" applyFill="1" applyBorder="1" applyAlignment="1">
      <alignment horizontal="center" vertical="center"/>
    </xf>
    <xf numFmtId="0" fontId="46" fillId="10" borderId="152" xfId="0" applyFont="1" applyFill="1" applyBorder="1" applyAlignment="1">
      <alignment horizontal="right" vertical="center"/>
    </xf>
    <xf numFmtId="0" fontId="46" fillId="10" borderId="151" xfId="0" applyFont="1" applyFill="1" applyBorder="1" applyAlignment="1">
      <alignment horizontal="right" vertical="center"/>
    </xf>
    <xf numFmtId="3" fontId="42" fillId="10" borderId="151" xfId="0" applyNumberFormat="1" applyFont="1" applyFill="1" applyBorder="1" applyAlignment="1">
      <alignment horizontal="right" vertical="center"/>
    </xf>
    <xf numFmtId="0" fontId="42" fillId="10" borderId="151" xfId="0" applyFont="1" applyFill="1" applyBorder="1" applyAlignment="1">
      <alignment horizontal="right" vertical="center"/>
    </xf>
    <xf numFmtId="1" fontId="25" fillId="9" borderId="154" xfId="0" applyNumberFormat="1" applyFont="1" applyFill="1" applyBorder="1" applyAlignment="1">
      <alignment horizontal="center" vertical="center"/>
    </xf>
    <xf numFmtId="0" fontId="47" fillId="9" borderId="155" xfId="55" applyNumberFormat="1" applyFont="1" applyFill="1" applyBorder="1" applyAlignment="1">
      <alignment vertical="center"/>
    </xf>
    <xf numFmtId="0" fontId="87" fillId="9" borderId="156" xfId="0" applyFont="1" applyFill="1" applyBorder="1" applyAlignment="1">
      <alignment horizontal="center" vertical="center"/>
    </xf>
    <xf numFmtId="167" fontId="42" fillId="10" borderId="151" xfId="55" applyNumberFormat="1" applyFont="1" applyFill="1" applyBorder="1" applyAlignment="1">
      <alignment horizontal="right" vertical="center"/>
    </xf>
    <xf numFmtId="3" fontId="42" fillId="10" borderId="156" xfId="0" applyNumberFormat="1" applyFont="1" applyFill="1" applyBorder="1" applyAlignment="1">
      <alignment horizontal="right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81" fillId="10" borderId="153" xfId="0" applyFont="1" applyFill="1" applyBorder="1" applyAlignment="1">
      <alignment horizontal="left" vertical="center"/>
    </xf>
    <xf numFmtId="0" fontId="81" fillId="10" borderId="151" xfId="0" applyFont="1" applyFill="1" applyBorder="1" applyAlignment="1">
      <alignment horizontal="right" vertical="center"/>
    </xf>
    <xf numFmtId="0" fontId="32" fillId="9" borderId="151" xfId="0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4" xfId="55" applyNumberFormat="1" applyFont="1" applyFill="1" applyBorder="1" applyAlignment="1">
      <alignment horizontal="right" vertical="center"/>
    </xf>
    <xf numFmtId="0" fontId="82" fillId="10" borderId="144" xfId="0" applyFont="1" applyFill="1" applyBorder="1" applyAlignment="1">
      <alignment horizontal="right" vertical="center"/>
    </xf>
    <xf numFmtId="0" fontId="47" fillId="9" borderId="160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1" xfId="77" applyNumberFormat="1" applyFont="1" applyFill="1" applyBorder="1" applyAlignment="1">
      <alignment horizontal="center" vertical="center"/>
    </xf>
    <xf numFmtId="1" fontId="23" fillId="11" borderId="163" xfId="77" applyNumberFormat="1" applyFont="1" applyFill="1" applyBorder="1" applyAlignment="1">
      <alignment horizontal="center" vertical="center"/>
    </xf>
    <xf numFmtId="168" fontId="37" fillId="15" borderId="162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50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5" fillId="12" borderId="164" xfId="55" applyNumberFormat="1" applyFont="1" applyFill="1" applyBorder="1" applyAlignment="1">
      <alignment horizontal="center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7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0" fontId="43" fillId="9" borderId="171" xfId="0" applyFont="1" applyFill="1" applyBorder="1" applyAlignment="1">
      <alignment horizontal="center" vertical="center"/>
    </xf>
    <xf numFmtId="2" fontId="47" fillId="9" borderId="168" xfId="0" applyNumberFormat="1" applyFont="1" applyFill="1" applyBorder="1" applyAlignment="1">
      <alignment vertical="center"/>
    </xf>
    <xf numFmtId="2" fontId="47" fillId="9" borderId="165" xfId="0" applyNumberFormat="1" applyFont="1" applyFill="1" applyBorder="1" applyAlignment="1">
      <alignment vertical="center"/>
    </xf>
    <xf numFmtId="2" fontId="47" fillId="9" borderId="166" xfId="0" applyNumberFormat="1" applyFont="1" applyFill="1" applyBorder="1" applyAlignment="1">
      <alignment vertical="center"/>
    </xf>
    <xf numFmtId="0" fontId="43" fillId="9" borderId="173" xfId="0" applyFont="1" applyFill="1" applyBorder="1" applyAlignment="1">
      <alignment horizontal="center" vertical="center"/>
    </xf>
    <xf numFmtId="0" fontId="43" fillId="9" borderId="167" xfId="0" applyFont="1" applyFill="1" applyBorder="1" applyAlignment="1">
      <alignment horizontal="center" vertical="center"/>
    </xf>
    <xf numFmtId="0" fontId="94" fillId="9" borderId="173" xfId="55" applyNumberFormat="1" applyFont="1" applyFill="1" applyBorder="1" applyAlignment="1">
      <alignment horizontal="center" vertical="center"/>
    </xf>
    <xf numFmtId="0" fontId="43" fillId="9" borderId="165" xfId="0" applyFont="1" applyFill="1" applyBorder="1" applyAlignment="1">
      <alignment horizontal="center" vertical="center"/>
    </xf>
    <xf numFmtId="0" fontId="36" fillId="9" borderId="173" xfId="0" applyFont="1" applyFill="1" applyBorder="1" applyAlignment="1">
      <alignment horizontal="center" vertical="center"/>
    </xf>
    <xf numFmtId="0" fontId="36" fillId="9" borderId="175" xfId="0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3" fillId="9" borderId="182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93" fillId="9" borderId="182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67" fontId="42" fillId="10" borderId="137" xfId="55" applyNumberFormat="1" applyFont="1" applyFill="1" applyBorder="1" applyAlignment="1">
      <alignment horizontal="right" vertical="center"/>
    </xf>
    <xf numFmtId="0" fontId="32" fillId="10" borderId="137" xfId="0" applyFont="1" applyFill="1" applyBorder="1" applyAlignment="1">
      <alignment horizontal="right" vertical="center"/>
    </xf>
    <xf numFmtId="0" fontId="81" fillId="9" borderId="137" xfId="0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0" fontId="47" fillId="9" borderId="191" xfId="55" applyNumberFormat="1" applyFont="1" applyFill="1" applyBorder="1" applyAlignment="1">
      <alignment vertical="center"/>
    </xf>
    <xf numFmtId="0" fontId="35" fillId="9" borderId="173" xfId="55" applyNumberFormat="1" applyFont="1" applyFill="1" applyBorder="1" applyAlignment="1">
      <alignment horizontal="center" vertical="center"/>
    </xf>
    <xf numFmtId="0" fontId="100" fillId="9" borderId="173" xfId="55" applyNumberFormat="1" applyFont="1" applyFill="1" applyBorder="1" applyAlignment="1">
      <alignment horizontal="center" vertical="center"/>
    </xf>
    <xf numFmtId="0" fontId="47" fillId="9" borderId="195" xfId="0" applyFont="1" applyFill="1" applyBorder="1" applyAlignment="1">
      <alignment vertical="center"/>
    </xf>
    <xf numFmtId="2" fontId="47" fillId="9" borderId="155" xfId="0" applyNumberFormat="1" applyFont="1" applyFill="1" applyBorder="1" applyAlignment="1">
      <alignment vertical="center"/>
    </xf>
    <xf numFmtId="2" fontId="47" fillId="9" borderId="169" xfId="0" applyNumberFormat="1" applyFont="1" applyFill="1" applyBorder="1" applyAlignment="1">
      <alignment vertical="center"/>
    </xf>
    <xf numFmtId="2" fontId="47" fillId="9" borderId="194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1" fontId="100" fillId="9" borderId="170" xfId="55" applyNumberFormat="1" applyFont="1" applyFill="1" applyBorder="1" applyAlignment="1">
      <alignment horizontal="center" vertical="center"/>
    </xf>
    <xf numFmtId="1" fontId="100" fillId="9" borderId="165" xfId="0" applyNumberFormat="1" applyFont="1" applyFill="1" applyBorder="1" applyAlignment="1">
      <alignment horizontal="center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96" xfId="0" applyFont="1" applyFill="1" applyBorder="1" applyAlignment="1">
      <alignment vertical="center"/>
    </xf>
    <xf numFmtId="2" fontId="47" fillId="9" borderId="197" xfId="0" applyNumberFormat="1" applyFont="1" applyFill="1" applyBorder="1" applyAlignment="1">
      <alignment vertical="center"/>
    </xf>
    <xf numFmtId="0" fontId="102" fillId="9" borderId="192" xfId="55" applyNumberFormat="1" applyFont="1" applyFill="1" applyBorder="1" applyAlignment="1">
      <alignment horizontal="center" vertical="center"/>
    </xf>
    <xf numFmtId="0" fontId="102" fillId="9" borderId="193" xfId="55" applyNumberFormat="1" applyFont="1" applyFill="1" applyBorder="1" applyAlignment="1">
      <alignment horizontal="center" vertical="center"/>
    </xf>
    <xf numFmtId="0" fontId="103" fillId="9" borderId="198" xfId="55" applyNumberFormat="1" applyFont="1" applyFill="1" applyBorder="1" applyAlignment="1">
      <alignment horizontal="center" vertical="center"/>
    </xf>
    <xf numFmtId="0" fontId="102" fillId="9" borderId="193" xfId="0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168" fontId="105" fillId="16" borderId="8" xfId="15" applyNumberFormat="1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0" fontId="107" fillId="16" borderId="8" xfId="15" applyFont="1" applyFill="1" applyBorder="1" applyAlignment="1">
      <alignment horizontal="center" vertical="center"/>
    </xf>
    <xf numFmtId="0" fontId="108" fillId="16" borderId="8" xfId="15" applyFont="1" applyFill="1" applyBorder="1" applyAlignment="1">
      <alignment horizontal="center" vertical="center"/>
    </xf>
    <xf numFmtId="0" fontId="109" fillId="16" borderId="8" xfId="15" applyFont="1" applyFill="1" applyBorder="1" applyAlignment="1">
      <alignment horizontal="center" vertical="center"/>
    </xf>
    <xf numFmtId="10" fontId="105" fillId="10" borderId="10" xfId="114" applyNumberFormat="1" applyFont="1" applyFill="1" applyBorder="1" applyAlignment="1">
      <alignment horizontal="right" vertical="center"/>
    </xf>
    <xf numFmtId="166" fontId="42" fillId="10" borderId="199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200" xfId="0" applyNumberFormat="1" applyFont="1" applyFill="1" applyBorder="1" applyAlignment="1">
      <alignment horizontal="center" vertical="center"/>
    </xf>
    <xf numFmtId="166" fontId="42" fillId="10" borderId="184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201" xfId="0" applyNumberFormat="1" applyFont="1" applyFill="1" applyBorder="1" applyAlignment="1">
      <alignment horizontal="center" vertical="center"/>
    </xf>
    <xf numFmtId="166" fontId="42" fillId="10" borderId="14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2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46" fillId="10" borderId="199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200" xfId="0" applyFont="1" applyFill="1" applyBorder="1" applyAlignment="1">
      <alignment horizontal="right" vertical="center"/>
    </xf>
    <xf numFmtId="0" fontId="46" fillId="10" borderId="184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201" xfId="0" applyFont="1" applyFill="1" applyBorder="1" applyAlignment="1">
      <alignment horizontal="right" vertical="center"/>
    </xf>
    <xf numFmtId="0" fontId="46" fillId="10" borderId="144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8" xfId="0" applyFont="1" applyFill="1" applyBorder="1" applyAlignment="1">
      <alignment horizontal="right" vertical="center"/>
    </xf>
    <xf numFmtId="0" fontId="42" fillId="10" borderId="203" xfId="0" applyFont="1" applyFill="1" applyBorder="1" applyAlignment="1">
      <alignment horizontal="right" vertical="center"/>
    </xf>
    <xf numFmtId="0" fontId="26" fillId="9" borderId="199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200" xfId="0" applyFont="1" applyFill="1" applyBorder="1" applyAlignment="1">
      <alignment horizontal="center" vertical="center"/>
    </xf>
    <xf numFmtId="0" fontId="26" fillId="9" borderId="184" xfId="0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0" fontId="23" fillId="9" borderId="204" xfId="0" applyFont="1" applyFill="1" applyBorder="1" applyAlignment="1">
      <alignment horizontal="center" vertical="center"/>
    </xf>
    <xf numFmtId="0" fontId="23" fillId="9" borderId="205" xfId="0" applyFont="1" applyFill="1" applyBorder="1" applyAlignment="1">
      <alignment horizontal="center" vertical="center"/>
    </xf>
    <xf numFmtId="0" fontId="23" fillId="9" borderId="206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208" xfId="0" applyFont="1" applyFill="1" applyBorder="1" applyAlignment="1">
      <alignment horizontal="center" vertical="center"/>
    </xf>
    <xf numFmtId="0" fontId="23" fillId="9" borderId="209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51" xfId="0" applyFont="1" applyFill="1" applyBorder="1" applyAlignment="1">
      <alignment horizontal="center" vertical="center"/>
    </xf>
    <xf numFmtId="0" fontId="23" fillId="9" borderId="147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42" fillId="10" borderId="184" xfId="55" applyNumberFormat="1" applyFont="1" applyFill="1" applyBorder="1" applyAlignment="1">
      <alignment horizontal="right" vertical="center"/>
    </xf>
    <xf numFmtId="0" fontId="82" fillId="10" borderId="184" xfId="0" applyFont="1" applyFill="1" applyBorder="1" applyAlignment="1">
      <alignment horizontal="right" vertical="center"/>
    </xf>
    <xf numFmtId="0" fontId="32" fillId="9" borderId="184" xfId="0" applyFont="1" applyFill="1" applyBorder="1" applyAlignment="1">
      <alignment horizontal="center" vertical="center"/>
    </xf>
    <xf numFmtId="166" fontId="42" fillId="10" borderId="210" xfId="0" applyNumberFormat="1" applyFont="1" applyFill="1" applyBorder="1" applyAlignment="1">
      <alignment horizontal="center" vertical="center"/>
    </xf>
    <xf numFmtId="0" fontId="103" fillId="9" borderId="173" xfId="55" applyNumberFormat="1" applyFont="1" applyFill="1" applyBorder="1" applyAlignment="1">
      <alignment horizontal="center" vertical="center"/>
    </xf>
    <xf numFmtId="0" fontId="47" fillId="9" borderId="210" xfId="0" applyFont="1" applyFill="1" applyBorder="1" applyAlignment="1">
      <alignment vertical="center"/>
    </xf>
    <xf numFmtId="2" fontId="47" fillId="9" borderId="152" xfId="0" applyNumberFormat="1" applyFont="1" applyFill="1" applyBorder="1" applyAlignment="1">
      <alignment vertical="center"/>
    </xf>
    <xf numFmtId="0" fontId="102" fillId="9" borderId="187" xfId="0" applyFont="1" applyFill="1" applyBorder="1" applyAlignment="1">
      <alignment horizontal="center" vertical="center"/>
    </xf>
    <xf numFmtId="0" fontId="47" fillId="9" borderId="119" xfId="55" applyNumberFormat="1" applyFont="1" applyFill="1" applyBorder="1" applyAlignment="1">
      <alignment vertical="center"/>
    </xf>
    <xf numFmtId="0" fontId="47" fillId="9" borderId="211" xfId="55" applyNumberFormat="1" applyFont="1" applyFill="1" applyBorder="1" applyAlignment="1">
      <alignment vertical="center"/>
    </xf>
    <xf numFmtId="1" fontId="90" fillId="9" borderId="212" xfId="183" applyNumberFormat="1" applyFont="1" applyFill="1" applyBorder="1" applyAlignment="1">
      <alignment horizontal="center" vertical="center"/>
    </xf>
    <xf numFmtId="1" fontId="90" fillId="9" borderId="213" xfId="183" applyNumberFormat="1" applyFont="1" applyFill="1" applyBorder="1" applyAlignment="1">
      <alignment horizontal="center" vertical="center"/>
    </xf>
    <xf numFmtId="1" fontId="90" fillId="9" borderId="214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43" fontId="100" fillId="9" borderId="114" xfId="55" applyFont="1" applyFill="1" applyBorder="1" applyAlignment="1">
      <alignment horizontal="center" vertical="center"/>
    </xf>
    <xf numFmtId="43" fontId="43" fillId="9" borderId="118" xfId="55" applyFont="1" applyFill="1" applyBorder="1" applyAlignment="1">
      <alignment horizontal="center" vertical="center"/>
    </xf>
    <xf numFmtId="43" fontId="100" fillId="9" borderId="115" xfId="55" applyFont="1" applyFill="1" applyBorder="1" applyAlignment="1">
      <alignment horizontal="center" vertical="center"/>
    </xf>
    <xf numFmtId="2" fontId="99" fillId="0" borderId="203" xfId="55" applyNumberFormat="1" applyFont="1" applyBorder="1" applyAlignment="1">
      <alignment horizontal="right" vertical="center"/>
    </xf>
    <xf numFmtId="2" fontId="3" fillId="0" borderId="137" xfId="55" applyNumberFormat="1" applyFont="1" applyBorder="1" applyAlignment="1">
      <alignment horizontal="right" vertical="center"/>
    </xf>
    <xf numFmtId="2" fontId="43" fillId="9" borderId="147" xfId="55" applyNumberFormat="1" applyFont="1" applyFill="1" applyBorder="1" applyAlignment="1">
      <alignment horizontal="right" vertical="center"/>
    </xf>
    <xf numFmtId="2" fontId="43" fillId="9" borderId="156" xfId="55" applyNumberFormat="1" applyFont="1" applyFill="1" applyBorder="1" applyAlignment="1">
      <alignment horizontal="right" vertical="center"/>
    </xf>
    <xf numFmtId="2" fontId="43" fillId="9" borderId="115" xfId="55" applyNumberFormat="1" applyFont="1" applyFill="1" applyBorder="1" applyAlignment="1">
      <alignment horizontal="right" vertical="center"/>
    </xf>
    <xf numFmtId="2" fontId="43" fillId="9" borderId="116" xfId="55" applyNumberFormat="1" applyFont="1" applyFill="1" applyBorder="1" applyAlignment="1">
      <alignment horizontal="right" vertical="center"/>
    </xf>
    <xf numFmtId="2" fontId="35" fillId="9" borderId="118" xfId="55" applyNumberFormat="1" applyFont="1" applyFill="1" applyBorder="1" applyAlignment="1">
      <alignment horizontal="right" vertical="center"/>
    </xf>
    <xf numFmtId="2" fontId="35" fillId="9" borderId="116" xfId="55" applyNumberFormat="1" applyFont="1" applyFill="1" applyBorder="1" applyAlignment="1">
      <alignment horizontal="right" vertical="center"/>
    </xf>
    <xf numFmtId="2" fontId="34" fillId="9" borderId="118" xfId="55" applyNumberFormat="1" applyFont="1" applyFill="1" applyBorder="1" applyAlignment="1">
      <alignment horizontal="right" vertical="center"/>
    </xf>
    <xf numFmtId="2" fontId="34" fillId="9" borderId="137" xfId="55" applyNumberFormat="1" applyFont="1" applyFill="1" applyBorder="1" applyAlignment="1">
      <alignment horizontal="right" vertical="center"/>
    </xf>
    <xf numFmtId="2" fontId="3" fillId="0" borderId="115" xfId="55" applyNumberFormat="1" applyFont="1" applyBorder="1" applyAlignment="1">
      <alignment horizontal="right" vertical="center"/>
    </xf>
    <xf numFmtId="2" fontId="3" fillId="0" borderId="116" xfId="55" applyNumberFormat="1" applyFont="1" applyBorder="1" applyAlignment="1">
      <alignment horizontal="right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9" xfId="55" applyNumberFormat="1" applyFont="1" applyFill="1" applyBorder="1" applyAlignment="1">
      <alignment horizontal="right" vertical="center"/>
    </xf>
    <xf numFmtId="10" fontId="32" fillId="10" borderId="219" xfId="114" applyNumberFormat="1" applyFont="1" applyFill="1" applyBorder="1" applyAlignment="1">
      <alignment horizontal="right" vertical="center"/>
    </xf>
    <xf numFmtId="0" fontId="13" fillId="17" borderId="220" xfId="15" applyFont="1" applyFill="1" applyBorder="1" applyAlignment="1">
      <alignment horizontal="center" vertical="center"/>
    </xf>
    <xf numFmtId="10" fontId="105" fillId="10" borderId="219" xfId="114" applyNumberFormat="1" applyFont="1" applyFill="1" applyBorder="1" applyAlignment="1">
      <alignment horizontal="right" vertical="center"/>
    </xf>
    <xf numFmtId="167" fontId="42" fillId="10" borderId="221" xfId="55" applyNumberFormat="1" applyFont="1" applyFill="1" applyBorder="1" applyAlignment="1">
      <alignment horizontal="right" vertical="center"/>
    </xf>
    <xf numFmtId="10" fontId="32" fillId="10" borderId="221" xfId="114" applyNumberFormat="1" applyFont="1" applyFill="1" applyBorder="1" applyAlignment="1">
      <alignment horizontal="right" vertical="center"/>
    </xf>
    <xf numFmtId="9" fontId="106" fillId="10" borderId="221" xfId="114" applyFont="1" applyFill="1" applyBorder="1" applyAlignment="1">
      <alignment horizontal="right" vertical="center"/>
    </xf>
    <xf numFmtId="0" fontId="13" fillId="17" borderId="139" xfId="15" applyFont="1" applyFill="1" applyBorder="1" applyAlignment="1">
      <alignment horizontal="center" vertical="center"/>
    </xf>
    <xf numFmtId="10" fontId="106" fillId="10" borderId="219" xfId="114" applyNumberFormat="1" applyFont="1" applyFill="1" applyBorder="1" applyAlignment="1">
      <alignment horizontal="right" vertical="center"/>
    </xf>
    <xf numFmtId="10" fontId="106" fillId="10" borderId="10" xfId="114" applyNumberFormat="1" applyFont="1" applyFill="1" applyBorder="1" applyAlignment="1">
      <alignment horizontal="right" vertical="center"/>
    </xf>
    <xf numFmtId="10" fontId="106" fillId="10" borderId="22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2" fontId="43" fillId="9" borderId="118" xfId="55" applyNumberFormat="1" applyFont="1" applyFill="1" applyBorder="1" applyAlignment="1">
      <alignment horizontal="right" vertical="center"/>
    </xf>
    <xf numFmtId="0" fontId="102" fillId="9" borderId="223" xfId="0" applyFont="1" applyFill="1" applyBorder="1" applyAlignment="1">
      <alignment horizontal="center" vertical="center"/>
    </xf>
    <xf numFmtId="2" fontId="43" fillId="9" borderId="151" xfId="55" applyNumberFormat="1" applyFont="1" applyFill="1" applyBorder="1" applyAlignment="1">
      <alignment horizontal="right" vertical="center"/>
    </xf>
    <xf numFmtId="0" fontId="32" fillId="9" borderId="224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0" fontId="110" fillId="10" borderId="117" xfId="0" applyFont="1" applyFill="1" applyBorder="1" applyAlignment="1">
      <alignment horizontal="right" vertical="center"/>
    </xf>
    <xf numFmtId="0" fontId="110" fillId="10" borderId="149" xfId="0" applyFont="1" applyFill="1" applyBorder="1" applyAlignment="1">
      <alignment horizontal="left" vertical="center"/>
    </xf>
    <xf numFmtId="0" fontId="35" fillId="9" borderId="171" xfId="0" applyFont="1" applyFill="1" applyBorder="1" applyAlignment="1">
      <alignment horizontal="center" vertical="center"/>
    </xf>
    <xf numFmtId="43" fontId="35" fillId="9" borderId="118" xfId="55" applyFont="1" applyFill="1" applyBorder="1" applyAlignment="1">
      <alignment horizontal="center" vertical="center"/>
    </xf>
    <xf numFmtId="2" fontId="35" fillId="9" borderId="172" xfId="0" applyNumberFormat="1" applyFont="1" applyFill="1" applyBorder="1" applyAlignment="1">
      <alignment horizontal="center" vertical="center"/>
    </xf>
    <xf numFmtId="43" fontId="35" fillId="9" borderId="142" xfId="55" applyFont="1" applyFill="1" applyBorder="1" applyAlignment="1">
      <alignment horizontal="center" vertical="center"/>
    </xf>
    <xf numFmtId="0" fontId="112" fillId="9" borderId="108" xfId="0" applyFont="1" applyFill="1" applyBorder="1" applyAlignment="1">
      <alignment horizontal="center" vertical="center"/>
    </xf>
    <xf numFmtId="0" fontId="111" fillId="9" borderId="97" xfId="0" applyFont="1" applyFill="1" applyBorder="1" applyAlignment="1">
      <alignment horizontal="center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3" xfId="77" applyNumberFormat="1" applyFont="1" applyFill="1" applyBorder="1" applyAlignment="1">
      <alignment horizontal="center" vertical="center"/>
    </xf>
    <xf numFmtId="1" fontId="113" fillId="11" borderId="163" xfId="77" applyNumberFormat="1" applyFont="1" applyFill="1" applyBorder="1" applyAlignment="1">
      <alignment horizontal="center" vertical="center"/>
    </xf>
    <xf numFmtId="1" fontId="113" fillId="11" borderId="161" xfId="77" applyNumberFormat="1" applyFont="1" applyFill="1" applyBorder="1" applyAlignment="1">
      <alignment horizontal="center" vertical="center"/>
    </xf>
    <xf numFmtId="0" fontId="45" fillId="10" borderId="153" xfId="0" applyFont="1" applyFill="1" applyBorder="1" applyAlignment="1">
      <alignment horizontal="left" vertical="center"/>
    </xf>
    <xf numFmtId="0" fontId="81" fillId="9" borderId="151" xfId="0" applyFont="1" applyFill="1" applyBorder="1" applyAlignment="1">
      <alignment horizontal="center" vertical="center"/>
    </xf>
    <xf numFmtId="2" fontId="43" fillId="9" borderId="169" xfId="0" applyNumberFormat="1" applyFont="1" applyFill="1" applyBorder="1" applyAlignment="1">
      <alignment horizontal="center" vertical="center"/>
    </xf>
    <xf numFmtId="43" fontId="43" fillId="9" borderId="156" xfId="55" applyFont="1" applyFill="1" applyBorder="1" applyAlignment="1">
      <alignment horizontal="center" vertical="center"/>
    </xf>
    <xf numFmtId="1" fontId="92" fillId="11" borderId="161" xfId="77" applyNumberFormat="1" applyFont="1" applyFill="1" applyBorder="1" applyAlignment="1">
      <alignment horizontal="center" vertical="center"/>
    </xf>
    <xf numFmtId="1" fontId="114" fillId="11" borderId="163" xfId="77" applyNumberFormat="1" applyFont="1" applyFill="1" applyBorder="1" applyAlignment="1">
      <alignment horizontal="center" vertical="center"/>
    </xf>
    <xf numFmtId="1" fontId="115" fillId="11" borderId="161" xfId="77" applyNumberFormat="1" applyFont="1" applyFill="1" applyBorder="1" applyAlignment="1">
      <alignment horizontal="center" vertical="center"/>
    </xf>
    <xf numFmtId="1" fontId="116" fillId="11" borderId="161" xfId="77" applyNumberFormat="1" applyFont="1" applyFill="1" applyBorder="1" applyAlignment="1">
      <alignment horizontal="center" vertical="center"/>
    </xf>
    <xf numFmtId="1" fontId="117" fillId="11" borderId="163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40" xfId="0" applyNumberFormat="1" applyFont="1" applyFill="1" applyBorder="1" applyAlignment="1">
      <alignment vertical="center"/>
    </xf>
    <xf numFmtId="1" fontId="118" fillId="9" borderId="176" xfId="55" applyNumberFormat="1" applyFont="1" applyFill="1" applyBorder="1" applyAlignment="1">
      <alignment horizontal="center" vertical="center"/>
    </xf>
    <xf numFmtId="1" fontId="118" fillId="9" borderId="177" xfId="55" applyNumberFormat="1" applyFont="1" applyFill="1" applyBorder="1" applyAlignment="1">
      <alignment horizontal="center" vertical="center"/>
    </xf>
    <xf numFmtId="1" fontId="118" fillId="9" borderId="170" xfId="55" applyNumberFormat="1" applyFont="1" applyFill="1" applyBorder="1" applyAlignment="1">
      <alignment horizontal="center" vertical="center"/>
    </xf>
    <xf numFmtId="1" fontId="118" fillId="9" borderId="178" xfId="55" applyNumberFormat="1" applyFont="1" applyFill="1" applyBorder="1" applyAlignment="1">
      <alignment horizontal="center" vertical="center"/>
    </xf>
    <xf numFmtId="0" fontId="47" fillId="9" borderId="226" xfId="0" applyNumberFormat="1" applyFont="1" applyFill="1" applyBorder="1" applyAlignment="1">
      <alignment vertical="center"/>
    </xf>
    <xf numFmtId="0" fontId="47" fillId="9" borderId="227" xfId="55" applyNumberFormat="1" applyFont="1" applyFill="1" applyBorder="1" applyAlignment="1">
      <alignment vertical="center"/>
    </xf>
    <xf numFmtId="0" fontId="41" fillId="9" borderId="216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13" fillId="9" borderId="217" xfId="0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11" fillId="9" borderId="218" xfId="0" applyFont="1" applyFill="1" applyBorder="1" applyAlignment="1">
      <alignment horizontal="center" vertical="center"/>
    </xf>
    <xf numFmtId="0" fontId="111" fillId="9" borderId="116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18" xfId="0" applyFont="1" applyFill="1" applyBorder="1" applyAlignment="1">
      <alignment horizontal="center" vertical="center"/>
    </xf>
    <xf numFmtId="0" fontId="90" fillId="9" borderId="215" xfId="0" applyFont="1" applyFill="1" applyBorder="1" applyAlignment="1">
      <alignment vertical="center"/>
    </xf>
    <xf numFmtId="0" fontId="90" fillId="9" borderId="139" xfId="0" applyFont="1" applyFill="1" applyBorder="1" applyAlignment="1">
      <alignment vertical="center"/>
    </xf>
    <xf numFmtId="0" fontId="23" fillId="9" borderId="174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111" fillId="9" borderId="222" xfId="0" applyFont="1" applyFill="1" applyBorder="1" applyAlignment="1">
      <alignment horizontal="center" vertical="center"/>
    </xf>
    <xf numFmtId="0" fontId="111" fillId="9" borderId="151" xfId="0" applyFont="1" applyFill="1" applyBorder="1" applyAlignment="1">
      <alignment horizontal="center" vertical="center"/>
    </xf>
    <xf numFmtId="0" fontId="90" fillId="9" borderId="225" xfId="0" applyFont="1" applyFill="1" applyBorder="1" applyAlignment="1">
      <alignment vertical="center"/>
    </xf>
    <xf numFmtId="0" fontId="35" fillId="9" borderId="174" xfId="0" applyFont="1" applyFill="1" applyBorder="1" applyAlignment="1">
      <alignment horizontal="center" vertical="center"/>
    </xf>
    <xf numFmtId="0" fontId="35" fillId="9" borderId="165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51" fillId="40" borderId="71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40" borderId="71" xfId="0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81" fillId="10" borderId="228" xfId="0" applyFont="1" applyFill="1" applyBorder="1" applyAlignment="1">
      <alignment horizontal="left" vertical="center"/>
    </xf>
    <xf numFmtId="0" fontId="81" fillId="10" borderId="229" xfId="0" applyFont="1" applyFill="1" applyBorder="1" applyAlignment="1">
      <alignment horizontal="right" vertical="center"/>
    </xf>
    <xf numFmtId="0" fontId="33" fillId="10" borderId="123" xfId="0" applyFont="1" applyFill="1" applyBorder="1" applyAlignment="1">
      <alignment horizontal="left" vertical="center"/>
    </xf>
    <xf numFmtId="0" fontId="32" fillId="10" borderId="113" xfId="0" applyFont="1" applyFill="1" applyBorder="1" applyAlignment="1">
      <alignment horizontal="right" vertical="center"/>
    </xf>
    <xf numFmtId="0" fontId="32" fillId="10" borderId="150" xfId="0" applyFont="1" applyFill="1" applyBorder="1" applyAlignment="1">
      <alignment horizontal="right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73"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0" zoomScaleNormal="80" workbookViewId="0">
      <pane ySplit="1" topLeftCell="A2" activePane="bottomLeft" state="frozen"/>
      <selection pane="bottomLeft" activeCell="V23" sqref="V23"/>
    </sheetView>
  </sheetViews>
  <sheetFormatPr baseColWidth="10" defaultRowHeight="12.75" customHeight="1"/>
  <cols>
    <col min="1" max="1" width="15" style="38" bestFit="1" customWidth="1"/>
    <col min="2" max="2" width="8.7109375" style="33" bestFit="1" customWidth="1"/>
    <col min="3" max="4" width="7.42578125" style="13" bestFit="1" customWidth="1"/>
    <col min="5" max="5" width="8.710937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9.5703125" style="12" hidden="1" customWidth="1"/>
    <col min="13" max="13" width="8.85546875" style="12" customWidth="1"/>
    <col min="14" max="14" width="5.85546875" style="12" hidden="1" customWidth="1"/>
    <col min="15" max="15" width="7.7109375" style="38" hidden="1" customWidth="1"/>
    <col min="16" max="16" width="2.42578125" style="44" hidden="1" customWidth="1"/>
    <col min="17" max="17" width="5.5703125" style="10" customWidth="1"/>
    <col min="18" max="18" width="5.5703125" style="39" hidden="1" customWidth="1"/>
    <col min="19" max="19" width="5.5703125" style="34" hidden="1" customWidth="1"/>
    <col min="20" max="20" width="5.5703125" style="11" customWidth="1"/>
    <col min="21" max="21" width="6.5703125" style="11" bestFit="1" customWidth="1"/>
    <col min="22" max="22" width="6.7109375" style="11" bestFit="1" customWidth="1"/>
    <col min="23" max="23" width="8.42578125" bestFit="1" customWidth="1"/>
    <col min="24" max="24" width="7" bestFit="1" customWidth="1"/>
    <col min="25" max="25" width="12.140625" customWidth="1"/>
    <col min="26" max="26" width="11" style="40" bestFit="1" customWidth="1"/>
    <col min="27" max="27" width="9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7.425781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1.5703125" bestFit="1" customWidth="1"/>
    <col min="38" max="38" width="7.140625" bestFit="1" customWidth="1"/>
  </cols>
  <sheetData>
    <row r="1" spans="1:38" s="1" customFormat="1" ht="12.75" customHeight="1">
      <c r="A1" s="282" t="s">
        <v>126</v>
      </c>
      <c r="B1" s="283" t="s">
        <v>337</v>
      </c>
      <c r="C1" s="284" t="s">
        <v>306</v>
      </c>
      <c r="D1" s="284" t="s">
        <v>307</v>
      </c>
      <c r="E1" s="285" t="s">
        <v>338</v>
      </c>
      <c r="F1" s="286" t="s">
        <v>127</v>
      </c>
      <c r="G1" s="287" t="s">
        <v>304</v>
      </c>
      <c r="H1" s="288" t="s">
        <v>128</v>
      </c>
      <c r="I1" s="288" t="s">
        <v>129</v>
      </c>
      <c r="J1" s="288" t="s">
        <v>130</v>
      </c>
      <c r="K1" s="288" t="s">
        <v>308</v>
      </c>
      <c r="L1" s="437" t="s">
        <v>305</v>
      </c>
      <c r="M1" s="289" t="s">
        <v>131</v>
      </c>
      <c r="N1" s="290" t="s">
        <v>132</v>
      </c>
      <c r="O1" s="291" t="s">
        <v>133</v>
      </c>
      <c r="P1" s="292"/>
      <c r="Q1" s="293">
        <v>1</v>
      </c>
      <c r="R1" s="294">
        <v>2</v>
      </c>
      <c r="S1" s="295">
        <v>3</v>
      </c>
      <c r="T1" s="296">
        <v>4</v>
      </c>
      <c r="U1" s="659">
        <v>0</v>
      </c>
      <c r="V1" s="484">
        <v>0</v>
      </c>
      <c r="W1" s="275">
        <v>1</v>
      </c>
      <c r="X1" s="276">
        <f>W1</f>
        <v>1</v>
      </c>
      <c r="Y1" s="277">
        <v>20800</v>
      </c>
      <c r="Z1" s="278">
        <f>Y1*($AE$1*$AD$1)</f>
        <v>105.99452054794521</v>
      </c>
      <c r="AA1" s="38">
        <f>AD1</f>
        <v>2</v>
      </c>
      <c r="AB1" s="406">
        <v>525</v>
      </c>
      <c r="AC1" s="279" t="s">
        <v>312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2.5479452054794523E-3</v>
      </c>
      <c r="AF1" s="553" t="s">
        <v>315</v>
      </c>
      <c r="AG1" s="553" t="s">
        <v>316</v>
      </c>
      <c r="AH1" s="553" t="s">
        <v>317</v>
      </c>
      <c r="AI1" s="553" t="s">
        <v>318</v>
      </c>
      <c r="AJ1" s="554" t="s">
        <v>313</v>
      </c>
      <c r="AK1" s="551" t="s">
        <v>314</v>
      </c>
    </row>
    <row r="2" spans="1:38" ht="12.75" customHeight="1">
      <c r="A2" s="732" t="s">
        <v>16</v>
      </c>
      <c r="B2" s="328">
        <f t="shared" ref="B2:B17" si="0">VLOOKUP($A2,$A$42:$N$157,2,0)</f>
        <v>534</v>
      </c>
      <c r="C2" s="330">
        <f t="shared" ref="C2:C25" si="1">VLOOKUP($A2,$A$42:$N$157,3,0)</f>
        <v>35042</v>
      </c>
      <c r="D2" s="330">
        <f t="shared" ref="D2:D25" si="2">VLOOKUP($A2,$A$42:$N$157,4,0)</f>
        <v>35277</v>
      </c>
      <c r="E2" s="328">
        <f t="shared" ref="E2:E25" si="3">VLOOKUP($A2,$A$42:$N$157,5,0)</f>
        <v>400</v>
      </c>
      <c r="F2" s="541">
        <f t="shared" ref="F2:F25" si="4">VLOOKUP($A2,$A$42:$N$157,6,0)</f>
        <v>35100</v>
      </c>
      <c r="G2" s="334">
        <f t="shared" ref="G2:G25" si="5">VLOOKUP($A2,$A$42:$N$157,7,0)</f>
        <v>8.6E-3</v>
      </c>
      <c r="H2" s="345">
        <f t="shared" ref="H2:H25" si="6">VLOOKUP($A2,$A$42:$N$157,8,0)</f>
        <v>35650</v>
      </c>
      <c r="I2" s="336">
        <f t="shared" ref="I2:I25" si="7">VLOOKUP($A2,$A$42:$N$157,9,0)</f>
        <v>36000</v>
      </c>
      <c r="J2" s="570">
        <f t="shared" ref="J2:J25" si="8">VLOOKUP($A2,$A$42:$N$157,10,0)</f>
        <v>33460</v>
      </c>
      <c r="K2" s="578">
        <f t="shared" ref="K2:K25" si="9">VLOOKUP($A2,$A$42:$N$157,11,0)</f>
        <v>34800</v>
      </c>
      <c r="L2" s="440">
        <f t="shared" ref="L2:L25" si="10">VLOOKUP($A2,$A$42:$N$157,12,0)</f>
        <v>3887308459</v>
      </c>
      <c r="M2" s="340">
        <f t="shared" ref="M2:M25" si="11">VLOOKUP($A2,$A$42:$N$157,13,0)</f>
        <v>11163176</v>
      </c>
      <c r="N2" s="451">
        <f t="shared" ref="N2:N25" si="12">VLOOKUP($A2,$A$42:$N$157,14,0)</f>
        <v>5758</v>
      </c>
      <c r="O2" s="556">
        <f t="shared" ref="O2:O25" si="13">VLOOKUP($A2,$A$42:$O$157,15,0)</f>
        <v>45264.6875462963</v>
      </c>
      <c r="P2" s="580">
        <v>1</v>
      </c>
      <c r="Q2" s="585">
        <v>0</v>
      </c>
      <c r="R2" s="505">
        <v>0</v>
      </c>
      <c r="S2" s="517">
        <v>0</v>
      </c>
      <c r="T2" s="380">
        <v>0</v>
      </c>
      <c r="U2" s="489">
        <v>0</v>
      </c>
      <c r="V2" s="663">
        <v>0</v>
      </c>
      <c r="W2" s="674">
        <v>52910.514999999999</v>
      </c>
      <c r="X2" s="491">
        <v>348.09549342105265</v>
      </c>
      <c r="Y2" s="679">
        <v>100</v>
      </c>
      <c r="Z2" s="456" t="str">
        <f>A3</f>
        <v>MRCAO - spot</v>
      </c>
      <c r="AA2" s="609">
        <f t="shared" ref="AA2:AA13" si="14">IFERROR((VLOOKUP($A2,$A$42:$N$157,6,0)*$Y2/100)/(VLOOKUP($Z2,$A$42:$N$157,6,0)/100),"")</f>
        <v>50.007123521869211</v>
      </c>
      <c r="AD2" s="634" t="s">
        <v>319</v>
      </c>
      <c r="AE2" s="643">
        <v>45265</v>
      </c>
      <c r="AF2" s="632">
        <v>570242773.64999998</v>
      </c>
      <c r="AG2" s="633">
        <v>0.95</v>
      </c>
      <c r="AH2" s="633">
        <v>0.96</v>
      </c>
      <c r="AI2" s="632">
        <v>827400.44</v>
      </c>
      <c r="AJ2" s="640">
        <v>0.95</v>
      </c>
      <c r="AK2" s="632">
        <v>876436619162</v>
      </c>
    </row>
    <row r="3" spans="1:38" ht="12.75" customHeight="1">
      <c r="A3" s="733" t="s">
        <v>615</v>
      </c>
      <c r="B3" s="329">
        <f t="shared" si="0"/>
        <v>107</v>
      </c>
      <c r="C3" s="331">
        <f t="shared" si="1"/>
        <v>68500</v>
      </c>
      <c r="D3" s="331">
        <f t="shared" si="2"/>
        <v>70199</v>
      </c>
      <c r="E3" s="329">
        <f t="shared" si="3"/>
        <v>312</v>
      </c>
      <c r="F3" s="360">
        <f t="shared" si="4"/>
        <v>70190</v>
      </c>
      <c r="G3" s="335">
        <f t="shared" si="5"/>
        <v>-1.83E-2</v>
      </c>
      <c r="H3" s="346">
        <f t="shared" si="6"/>
        <v>71500</v>
      </c>
      <c r="I3" s="337">
        <f t="shared" si="7"/>
        <v>72199.5</v>
      </c>
      <c r="J3" s="571">
        <f t="shared" si="8"/>
        <v>65200.5</v>
      </c>
      <c r="K3" s="341">
        <f t="shared" si="9"/>
        <v>71500</v>
      </c>
      <c r="L3" s="344">
        <f t="shared" si="10"/>
        <v>25497615</v>
      </c>
      <c r="M3" s="378">
        <f t="shared" si="11"/>
        <v>36699</v>
      </c>
      <c r="N3" s="344">
        <f t="shared" si="12"/>
        <v>201</v>
      </c>
      <c r="O3" s="557">
        <f t="shared" si="13"/>
        <v>45264.685196759259</v>
      </c>
      <c r="P3" s="581">
        <v>2</v>
      </c>
      <c r="Q3" s="586">
        <v>0</v>
      </c>
      <c r="R3" s="506">
        <v>0</v>
      </c>
      <c r="S3" s="518">
        <v>0</v>
      </c>
      <c r="T3" s="379">
        <v>0</v>
      </c>
      <c r="U3" s="403">
        <v>0</v>
      </c>
      <c r="V3" s="664">
        <v>0</v>
      </c>
      <c r="W3" s="675">
        <v>0</v>
      </c>
      <c r="X3" s="490">
        <v>0</v>
      </c>
      <c r="Y3" s="680">
        <v>50</v>
      </c>
      <c r="Z3" s="457" t="str">
        <f>A2</f>
        <v>GD30 - spot</v>
      </c>
      <c r="AA3" s="610">
        <f t="shared" si="14"/>
        <v>99.98575498575498</v>
      </c>
      <c r="AD3" s="49" t="s">
        <v>320</v>
      </c>
      <c r="AE3" s="644">
        <v>45266</v>
      </c>
      <c r="AF3" s="48">
        <v>45769367.490000002</v>
      </c>
      <c r="AG3" s="52">
        <v>0.93</v>
      </c>
      <c r="AH3" s="52">
        <v>0.95</v>
      </c>
      <c r="AI3" s="48">
        <v>120000</v>
      </c>
      <c r="AJ3" s="641">
        <v>0.93</v>
      </c>
      <c r="AK3" s="48">
        <v>10096437846</v>
      </c>
    </row>
    <row r="4" spans="1:38" ht="12.75" customHeight="1">
      <c r="A4" s="732" t="s">
        <v>5</v>
      </c>
      <c r="B4" s="328">
        <f t="shared" si="0"/>
        <v>5000</v>
      </c>
      <c r="C4" s="330">
        <f t="shared" si="1"/>
        <v>35301</v>
      </c>
      <c r="D4" s="330">
        <f t="shared" si="2"/>
        <v>35335</v>
      </c>
      <c r="E4" s="328">
        <f t="shared" si="3"/>
        <v>4102</v>
      </c>
      <c r="F4" s="541">
        <f t="shared" si="4"/>
        <v>35335</v>
      </c>
      <c r="G4" s="334">
        <f t="shared" si="5"/>
        <v>1E-3</v>
      </c>
      <c r="H4" s="345">
        <f t="shared" si="6"/>
        <v>36289</v>
      </c>
      <c r="I4" s="336">
        <f t="shared" si="7"/>
        <v>36289</v>
      </c>
      <c r="J4" s="572">
        <f t="shared" si="8"/>
        <v>33800</v>
      </c>
      <c r="K4" s="340">
        <f t="shared" si="9"/>
        <v>35299.5</v>
      </c>
      <c r="L4" s="441">
        <f t="shared" si="10"/>
        <v>21786202257</v>
      </c>
      <c r="M4" s="340">
        <f t="shared" si="11"/>
        <v>62036125</v>
      </c>
      <c r="N4" s="441">
        <f t="shared" si="12"/>
        <v>6585</v>
      </c>
      <c r="O4" s="558">
        <f t="shared" si="13"/>
        <v>45264.708368055559</v>
      </c>
      <c r="P4" s="582">
        <v>3</v>
      </c>
      <c r="Q4" s="587">
        <v>0</v>
      </c>
      <c r="R4" s="505">
        <v>0</v>
      </c>
      <c r="S4" s="519">
        <v>0</v>
      </c>
      <c r="T4" s="380">
        <v>0</v>
      </c>
      <c r="U4" s="404">
        <v>0</v>
      </c>
      <c r="V4" s="663">
        <v>0</v>
      </c>
      <c r="W4" s="674">
        <v>0</v>
      </c>
      <c r="X4" s="491">
        <v>0</v>
      </c>
      <c r="Y4" s="681">
        <f>Y2</f>
        <v>100</v>
      </c>
      <c r="Z4" s="456" t="str">
        <f>A5</f>
        <v>MRCAO - 48hs</v>
      </c>
      <c r="AA4" s="609">
        <f t="shared" si="14"/>
        <v>50.320421532326968</v>
      </c>
      <c r="AD4" s="634" t="s">
        <v>321</v>
      </c>
      <c r="AE4" s="644">
        <v>45267</v>
      </c>
      <c r="AF4" s="632">
        <v>48829216.740000002</v>
      </c>
      <c r="AG4" s="633">
        <v>0.85129999999999995</v>
      </c>
      <c r="AH4" s="633">
        <v>1.01</v>
      </c>
      <c r="AI4" s="632">
        <v>281695</v>
      </c>
      <c r="AJ4" s="640">
        <v>0.85120000000000007</v>
      </c>
      <c r="AK4" s="632">
        <v>2005664135</v>
      </c>
      <c r="AL4" s="47"/>
    </row>
    <row r="5" spans="1:38" ht="12.75" customHeight="1">
      <c r="A5" s="486" t="s">
        <v>616</v>
      </c>
      <c r="B5" s="467">
        <f t="shared" si="0"/>
        <v>30</v>
      </c>
      <c r="C5" s="458">
        <f t="shared" si="1"/>
        <v>70220</v>
      </c>
      <c r="D5" s="458">
        <f t="shared" si="2"/>
        <v>70234</v>
      </c>
      <c r="E5" s="467">
        <f t="shared" si="3"/>
        <v>910</v>
      </c>
      <c r="F5" s="648">
        <f t="shared" si="4"/>
        <v>70220</v>
      </c>
      <c r="G5" s="459">
        <f t="shared" si="5"/>
        <v>-3.9000000000000003E-3</v>
      </c>
      <c r="H5" s="460">
        <f t="shared" si="6"/>
        <v>70500</v>
      </c>
      <c r="I5" s="461">
        <f t="shared" si="7"/>
        <v>72449</v>
      </c>
      <c r="J5" s="573">
        <f t="shared" si="8"/>
        <v>68300</v>
      </c>
      <c r="K5" s="463">
        <f t="shared" si="9"/>
        <v>70500</v>
      </c>
      <c r="L5" s="462">
        <f t="shared" si="10"/>
        <v>366194279</v>
      </c>
      <c r="M5" s="463">
        <f t="shared" si="11"/>
        <v>523802</v>
      </c>
      <c r="N5" s="462">
        <f t="shared" si="12"/>
        <v>1217</v>
      </c>
      <c r="O5" s="559">
        <f t="shared" si="13"/>
        <v>45264.708379629628</v>
      </c>
      <c r="P5" s="581">
        <v>4</v>
      </c>
      <c r="Q5" s="588">
        <v>0</v>
      </c>
      <c r="R5" s="507">
        <v>0</v>
      </c>
      <c r="S5" s="520">
        <v>0</v>
      </c>
      <c r="T5" s="464">
        <v>0</v>
      </c>
      <c r="U5" s="403">
        <v>0</v>
      </c>
      <c r="V5" s="664">
        <v>0</v>
      </c>
      <c r="W5" s="683">
        <v>41116</v>
      </c>
      <c r="X5" s="492">
        <v>685.26666666666665</v>
      </c>
      <c r="Y5" s="682">
        <v>50</v>
      </c>
      <c r="Z5" s="466" t="str">
        <f>A4</f>
        <v>GD30 - 48hs</v>
      </c>
      <c r="AA5" s="611">
        <f t="shared" si="14"/>
        <v>99.363237583132872</v>
      </c>
      <c r="AD5" s="49" t="s">
        <v>322</v>
      </c>
      <c r="AE5" s="644">
        <v>45268</v>
      </c>
      <c r="AF5" s="48"/>
      <c r="AG5" s="52"/>
      <c r="AH5" s="52"/>
      <c r="AI5" s="48"/>
      <c r="AJ5" s="641"/>
      <c r="AK5" s="48"/>
      <c r="AL5" s="47"/>
    </row>
    <row r="6" spans="1:38" ht="12.75" customHeight="1">
      <c r="A6" s="732" t="s">
        <v>13</v>
      </c>
      <c r="B6" s="328">
        <f t="shared" si="0"/>
        <v>164</v>
      </c>
      <c r="C6" s="330">
        <f t="shared" si="1"/>
        <v>32120</v>
      </c>
      <c r="D6" s="330">
        <f t="shared" si="2"/>
        <v>32125</v>
      </c>
      <c r="E6" s="328">
        <f t="shared" si="3"/>
        <v>880</v>
      </c>
      <c r="F6" s="541">
        <f t="shared" si="4"/>
        <v>32124</v>
      </c>
      <c r="G6" s="334">
        <f t="shared" si="5"/>
        <v>-1.15E-2</v>
      </c>
      <c r="H6" s="345">
        <f t="shared" si="6"/>
        <v>33470</v>
      </c>
      <c r="I6" s="336">
        <f t="shared" si="7"/>
        <v>33470</v>
      </c>
      <c r="J6" s="572">
        <f t="shared" si="8"/>
        <v>31088</v>
      </c>
      <c r="K6" s="340">
        <f t="shared" si="9"/>
        <v>32500</v>
      </c>
      <c r="L6" s="441">
        <f t="shared" si="10"/>
        <v>70975110482</v>
      </c>
      <c r="M6" s="340">
        <f t="shared" si="11"/>
        <v>220663556</v>
      </c>
      <c r="N6" s="441">
        <f t="shared" si="12"/>
        <v>91639</v>
      </c>
      <c r="O6" s="558">
        <f t="shared" si="13"/>
        <v>45264.687824074077</v>
      </c>
      <c r="P6" s="582">
        <v>5</v>
      </c>
      <c r="Q6" s="587">
        <v>0</v>
      </c>
      <c r="R6" s="505">
        <v>0</v>
      </c>
      <c r="S6" s="519">
        <v>0</v>
      </c>
      <c r="T6" s="380">
        <v>0</v>
      </c>
      <c r="U6" s="404">
        <v>0</v>
      </c>
      <c r="V6" s="663">
        <v>0</v>
      </c>
      <c r="W6" s="674">
        <v>0</v>
      </c>
      <c r="X6" s="491">
        <v>0</v>
      </c>
      <c r="Y6" s="681">
        <v>100</v>
      </c>
      <c r="Z6" s="456" t="str">
        <f>A7</f>
        <v>MRCAO - spot</v>
      </c>
      <c r="AA6" s="609">
        <f t="shared" si="14"/>
        <v>45.767203305314148</v>
      </c>
      <c r="AD6" s="634" t="s">
        <v>323</v>
      </c>
      <c r="AE6" s="644">
        <v>45269</v>
      </c>
      <c r="AF6" s="632"/>
      <c r="AG6" s="633"/>
      <c r="AH6" s="633"/>
      <c r="AI6" s="632"/>
      <c r="AJ6" s="640"/>
      <c r="AK6" s="632"/>
    </row>
    <row r="7" spans="1:38" ht="12.75" customHeight="1">
      <c r="A7" s="733" t="s">
        <v>615</v>
      </c>
      <c r="B7" s="329">
        <f t="shared" si="0"/>
        <v>107</v>
      </c>
      <c r="C7" s="331">
        <f t="shared" si="1"/>
        <v>68500</v>
      </c>
      <c r="D7" s="331">
        <f t="shared" si="2"/>
        <v>70199</v>
      </c>
      <c r="E7" s="329">
        <f t="shared" si="3"/>
        <v>312</v>
      </c>
      <c r="F7" s="360">
        <f t="shared" si="4"/>
        <v>70190</v>
      </c>
      <c r="G7" s="335">
        <f t="shared" si="5"/>
        <v>-1.83E-2</v>
      </c>
      <c r="H7" s="346">
        <f t="shared" si="6"/>
        <v>71500</v>
      </c>
      <c r="I7" s="337">
        <f t="shared" si="7"/>
        <v>72199.5</v>
      </c>
      <c r="J7" s="571">
        <f t="shared" si="8"/>
        <v>65200.5</v>
      </c>
      <c r="K7" s="341">
        <f t="shared" si="9"/>
        <v>71500</v>
      </c>
      <c r="L7" s="344">
        <f t="shared" si="10"/>
        <v>25497615</v>
      </c>
      <c r="M7" s="341">
        <f t="shared" si="11"/>
        <v>36699</v>
      </c>
      <c r="N7" s="344">
        <f t="shared" si="12"/>
        <v>201</v>
      </c>
      <c r="O7" s="557">
        <f t="shared" si="13"/>
        <v>45264.685196759259</v>
      </c>
      <c r="P7" s="581">
        <v>6</v>
      </c>
      <c r="Q7" s="586">
        <v>0</v>
      </c>
      <c r="R7" s="506">
        <v>0</v>
      </c>
      <c r="S7" s="518">
        <v>0</v>
      </c>
      <c r="T7" s="379">
        <v>0</v>
      </c>
      <c r="U7" s="403">
        <v>0</v>
      </c>
      <c r="V7" s="664">
        <v>0</v>
      </c>
      <c r="W7" s="675">
        <v>0</v>
      </c>
      <c r="X7" s="490">
        <v>0</v>
      </c>
      <c r="Y7" s="680">
        <v>46</v>
      </c>
      <c r="Z7" s="457" t="str">
        <f>A6</f>
        <v>AL30 - spot</v>
      </c>
      <c r="AA7" s="610">
        <f t="shared" si="14"/>
        <v>100.5086539658822</v>
      </c>
      <c r="AD7" s="49" t="s">
        <v>324</v>
      </c>
      <c r="AE7" s="644">
        <v>45270</v>
      </c>
      <c r="AF7" s="48"/>
      <c r="AG7" s="52"/>
      <c r="AH7" s="52"/>
      <c r="AI7" s="48"/>
      <c r="AJ7" s="641"/>
      <c r="AK7" s="48"/>
    </row>
    <row r="8" spans="1:38">
      <c r="A8" s="732" t="s">
        <v>2</v>
      </c>
      <c r="B8" s="328">
        <f t="shared" si="0"/>
        <v>34808</v>
      </c>
      <c r="C8" s="330">
        <f t="shared" si="1"/>
        <v>32120</v>
      </c>
      <c r="D8" s="330">
        <f t="shared" si="2"/>
        <v>32125</v>
      </c>
      <c r="E8" s="328">
        <f t="shared" si="3"/>
        <v>50000</v>
      </c>
      <c r="F8" s="541">
        <f t="shared" si="4"/>
        <v>32120</v>
      </c>
      <c r="G8" s="334">
        <f t="shared" si="5"/>
        <v>-1.3500000000000002E-2</v>
      </c>
      <c r="H8" s="345">
        <f t="shared" si="6"/>
        <v>32800</v>
      </c>
      <c r="I8" s="336">
        <f t="shared" si="7"/>
        <v>33460</v>
      </c>
      <c r="J8" s="572">
        <f t="shared" si="8"/>
        <v>31280</v>
      </c>
      <c r="K8" s="340">
        <f t="shared" si="9"/>
        <v>32560</v>
      </c>
      <c r="L8" s="441">
        <f t="shared" si="10"/>
        <v>80262289145</v>
      </c>
      <c r="M8" s="340">
        <f t="shared" si="11"/>
        <v>248417976</v>
      </c>
      <c r="N8" s="441">
        <f t="shared" si="12"/>
        <v>44052</v>
      </c>
      <c r="O8" s="558">
        <f t="shared" si="13"/>
        <v>45264.708437499998</v>
      </c>
      <c r="P8" s="582">
        <v>7</v>
      </c>
      <c r="Q8" s="587">
        <v>0</v>
      </c>
      <c r="R8" s="505">
        <v>0</v>
      </c>
      <c r="S8" s="519">
        <v>0</v>
      </c>
      <c r="T8" s="380">
        <v>0</v>
      </c>
      <c r="U8" s="404">
        <v>0</v>
      </c>
      <c r="V8" s="663">
        <v>0</v>
      </c>
      <c r="W8" s="674">
        <v>0</v>
      </c>
      <c r="X8" s="491">
        <v>0</v>
      </c>
      <c r="Y8" s="681">
        <v>100</v>
      </c>
      <c r="Z8" s="456" t="str">
        <f>A9</f>
        <v>MRCAO - 48hs</v>
      </c>
      <c r="AA8" s="609">
        <f t="shared" si="14"/>
        <v>45.741953859299343</v>
      </c>
      <c r="AD8" s="634" t="s">
        <v>325</v>
      </c>
      <c r="AE8" s="644">
        <v>45271</v>
      </c>
      <c r="AF8" s="632">
        <v>14919048.52</v>
      </c>
      <c r="AG8" s="633">
        <v>1.05</v>
      </c>
      <c r="AH8" s="633">
        <v>1.0590000000000002</v>
      </c>
      <c r="AI8" s="632">
        <v>250318162.81999999</v>
      </c>
      <c r="AJ8" s="640">
        <v>1.05</v>
      </c>
      <c r="AK8" s="632">
        <v>42152637247</v>
      </c>
    </row>
    <row r="9" spans="1:38" ht="12.75" customHeight="1">
      <c r="A9" s="486" t="s">
        <v>616</v>
      </c>
      <c r="B9" s="467">
        <f t="shared" si="0"/>
        <v>30</v>
      </c>
      <c r="C9" s="458">
        <f t="shared" si="1"/>
        <v>70220</v>
      </c>
      <c r="D9" s="458">
        <f t="shared" si="2"/>
        <v>70234</v>
      </c>
      <c r="E9" s="467">
        <f t="shared" si="3"/>
        <v>910</v>
      </c>
      <c r="F9" s="648">
        <f t="shared" si="4"/>
        <v>70220</v>
      </c>
      <c r="G9" s="459">
        <f t="shared" si="5"/>
        <v>-3.9000000000000003E-3</v>
      </c>
      <c r="H9" s="460">
        <f t="shared" si="6"/>
        <v>70500</v>
      </c>
      <c r="I9" s="461">
        <f t="shared" si="7"/>
        <v>72449</v>
      </c>
      <c r="J9" s="573">
        <f t="shared" si="8"/>
        <v>68300</v>
      </c>
      <c r="K9" s="463">
        <f t="shared" si="9"/>
        <v>70500</v>
      </c>
      <c r="L9" s="462">
        <f t="shared" si="10"/>
        <v>366194279</v>
      </c>
      <c r="M9" s="463">
        <f t="shared" si="11"/>
        <v>523802</v>
      </c>
      <c r="N9" s="462">
        <f t="shared" si="12"/>
        <v>1217</v>
      </c>
      <c r="O9" s="559">
        <f t="shared" si="13"/>
        <v>45264.708379629628</v>
      </c>
      <c r="P9" s="581">
        <v>8</v>
      </c>
      <c r="Q9" s="588">
        <v>0</v>
      </c>
      <c r="R9" s="507">
        <v>0</v>
      </c>
      <c r="S9" s="520">
        <v>0</v>
      </c>
      <c r="T9" s="464">
        <v>0</v>
      </c>
      <c r="U9" s="403">
        <v>0</v>
      </c>
      <c r="V9" s="664">
        <v>0</v>
      </c>
      <c r="W9" s="683">
        <v>0</v>
      </c>
      <c r="X9" s="492">
        <v>0</v>
      </c>
      <c r="Y9" s="682">
        <v>46</v>
      </c>
      <c r="Z9" s="466" t="str">
        <f>A8</f>
        <v>AL30 - 48hs</v>
      </c>
      <c r="AA9" s="611">
        <f t="shared" si="14"/>
        <v>100.56413449564135</v>
      </c>
      <c r="AD9" s="49"/>
      <c r="AE9" s="644"/>
      <c r="AF9" s="636"/>
      <c r="AG9" s="637"/>
      <c r="AH9" s="637"/>
      <c r="AI9" s="636"/>
      <c r="AJ9" s="642"/>
      <c r="AK9" s="636"/>
    </row>
    <row r="10" spans="1:38" ht="12.75" customHeight="1">
      <c r="A10" s="732" t="s">
        <v>16</v>
      </c>
      <c r="B10" s="351">
        <f t="shared" si="0"/>
        <v>534</v>
      </c>
      <c r="C10" s="330">
        <f t="shared" si="1"/>
        <v>35042</v>
      </c>
      <c r="D10" s="352">
        <f t="shared" si="2"/>
        <v>35277</v>
      </c>
      <c r="E10" s="351">
        <f t="shared" si="3"/>
        <v>400</v>
      </c>
      <c r="F10" s="478">
        <f t="shared" si="4"/>
        <v>35100</v>
      </c>
      <c r="G10" s="348">
        <f t="shared" si="5"/>
        <v>8.6E-3</v>
      </c>
      <c r="H10" s="347">
        <f t="shared" si="6"/>
        <v>35650</v>
      </c>
      <c r="I10" s="339">
        <f t="shared" si="7"/>
        <v>36000</v>
      </c>
      <c r="J10" s="574">
        <f t="shared" si="8"/>
        <v>33460</v>
      </c>
      <c r="K10" s="343">
        <f t="shared" si="9"/>
        <v>34800</v>
      </c>
      <c r="L10" s="410">
        <f t="shared" si="10"/>
        <v>3887308459</v>
      </c>
      <c r="M10" s="343">
        <f t="shared" si="11"/>
        <v>11163176</v>
      </c>
      <c r="N10" s="410">
        <f t="shared" si="12"/>
        <v>5758</v>
      </c>
      <c r="O10" s="560">
        <f t="shared" si="13"/>
        <v>45264.6875462963</v>
      </c>
      <c r="P10" s="582">
        <v>9</v>
      </c>
      <c r="Q10" s="589">
        <v>0</v>
      </c>
      <c r="R10" s="508">
        <v>0</v>
      </c>
      <c r="S10" s="521">
        <v>0</v>
      </c>
      <c r="T10" s="415">
        <v>0</v>
      </c>
      <c r="U10" s="404">
        <v>0</v>
      </c>
      <c r="V10" s="663">
        <v>-103</v>
      </c>
      <c r="W10" s="454">
        <v>-36438.31</v>
      </c>
      <c r="X10" s="491">
        <v>353.77</v>
      </c>
      <c r="Y10" s="681">
        <v>100</v>
      </c>
      <c r="Z10" s="456" t="str">
        <f>A11</f>
        <v>AL30 - spot</v>
      </c>
      <c r="AA10" s="609">
        <f t="shared" si="14"/>
        <v>109.26410160627567</v>
      </c>
      <c r="AF10" s="280"/>
      <c r="AH10" s="280"/>
      <c r="AJ10" s="47"/>
      <c r="AK10" s="47"/>
    </row>
    <row r="11" spans="1:38" ht="12.75" customHeight="1">
      <c r="A11" s="733" t="s">
        <v>13</v>
      </c>
      <c r="B11" s="381">
        <f t="shared" si="0"/>
        <v>164</v>
      </c>
      <c r="C11" s="382">
        <f t="shared" si="1"/>
        <v>32120</v>
      </c>
      <c r="D11" s="382">
        <f t="shared" si="2"/>
        <v>32125</v>
      </c>
      <c r="E11" s="381">
        <f t="shared" si="3"/>
        <v>880</v>
      </c>
      <c r="F11" s="479">
        <f t="shared" si="4"/>
        <v>32124</v>
      </c>
      <c r="G11" s="383">
        <f t="shared" si="5"/>
        <v>-1.15E-2</v>
      </c>
      <c r="H11" s="384">
        <f t="shared" si="6"/>
        <v>33470</v>
      </c>
      <c r="I11" s="385">
        <f t="shared" si="7"/>
        <v>33470</v>
      </c>
      <c r="J11" s="575">
        <f t="shared" si="8"/>
        <v>31088</v>
      </c>
      <c r="K11" s="386">
        <f t="shared" si="9"/>
        <v>32500</v>
      </c>
      <c r="L11" s="444">
        <f t="shared" si="10"/>
        <v>70975110482</v>
      </c>
      <c r="M11" s="386">
        <f t="shared" si="11"/>
        <v>220663556</v>
      </c>
      <c r="N11" s="444">
        <f t="shared" si="12"/>
        <v>91639</v>
      </c>
      <c r="O11" s="561">
        <f t="shared" si="13"/>
        <v>45264.687824074077</v>
      </c>
      <c r="P11" s="581">
        <v>10</v>
      </c>
      <c r="Q11" s="590">
        <v>0</v>
      </c>
      <c r="R11" s="509">
        <v>0</v>
      </c>
      <c r="S11" s="522">
        <v>0</v>
      </c>
      <c r="T11" s="387">
        <v>0</v>
      </c>
      <c r="U11" s="403">
        <v>0</v>
      </c>
      <c r="V11" s="664">
        <v>115</v>
      </c>
      <c r="W11" s="455">
        <v>37190.625</v>
      </c>
      <c r="X11" s="490">
        <v>323.39673913043481</v>
      </c>
      <c r="Y11" s="680">
        <v>110</v>
      </c>
      <c r="Z11" s="457" t="str">
        <f>A10</f>
        <v>GD30 - spot</v>
      </c>
      <c r="AA11" s="610">
        <f t="shared" si="14"/>
        <v>100.67350427350428</v>
      </c>
      <c r="AD11" s="548">
        <f>IF(AJ13&lt;&gt;0,2,IF(AJ14&lt;&gt;0,4,IF(AJ15&lt;&gt;0,5,IF(AJ16&lt;&gt;0,6,IF(AJ17&lt;&gt;0,7,IF(AJ18&lt;&gt;0,8,30))))))</f>
        <v>6</v>
      </c>
      <c r="AE11" s="549">
        <f>IF(AJ13&lt;&gt;0,AJ13/365,IF(AJ14&lt;&gt;0,AJ15/365,IF(AJ15&lt;&gt;0,AJ16/365,IF(AJ16&lt;&gt;0,AJ17/365,IF(AJ17&lt;&gt;0,AJ18/365,IF(AJ18&lt;&gt;0,AJ19/365,110/365))))))</f>
        <v>2.8767123287671234E-3</v>
      </c>
      <c r="AF11" s="552" t="s">
        <v>315</v>
      </c>
      <c r="AG11" s="552" t="s">
        <v>316</v>
      </c>
      <c r="AH11" s="552" t="s">
        <v>317</v>
      </c>
      <c r="AI11" s="552" t="s">
        <v>318</v>
      </c>
      <c r="AJ11" s="548" t="s">
        <v>313</v>
      </c>
      <c r="AK11" s="550" t="s">
        <v>617</v>
      </c>
    </row>
    <row r="12" spans="1:38" ht="12.75" customHeight="1">
      <c r="A12" s="732" t="s">
        <v>5</v>
      </c>
      <c r="B12" s="328">
        <f t="shared" si="0"/>
        <v>5000</v>
      </c>
      <c r="C12" s="330">
        <f t="shared" si="1"/>
        <v>35301</v>
      </c>
      <c r="D12" s="330">
        <f t="shared" si="2"/>
        <v>35335</v>
      </c>
      <c r="E12" s="328">
        <f t="shared" si="3"/>
        <v>4102</v>
      </c>
      <c r="F12" s="332">
        <f t="shared" si="4"/>
        <v>35335</v>
      </c>
      <c r="G12" s="334">
        <f t="shared" si="5"/>
        <v>1E-3</v>
      </c>
      <c r="H12" s="345">
        <f t="shared" si="6"/>
        <v>36289</v>
      </c>
      <c r="I12" s="336">
        <f t="shared" si="7"/>
        <v>36289</v>
      </c>
      <c r="J12" s="572">
        <f t="shared" si="8"/>
        <v>33800</v>
      </c>
      <c r="K12" s="340">
        <f t="shared" si="9"/>
        <v>35299.5</v>
      </c>
      <c r="L12" s="441">
        <f t="shared" si="10"/>
        <v>21786202257</v>
      </c>
      <c r="M12" s="340">
        <f t="shared" si="11"/>
        <v>62036125</v>
      </c>
      <c r="N12" s="441">
        <f t="shared" si="12"/>
        <v>6585</v>
      </c>
      <c r="O12" s="558">
        <f t="shared" si="13"/>
        <v>45264.708368055559</v>
      </c>
      <c r="P12" s="582">
        <v>11</v>
      </c>
      <c r="Q12" s="591">
        <v>0</v>
      </c>
      <c r="R12" s="505">
        <v>0</v>
      </c>
      <c r="S12" s="519">
        <v>0</v>
      </c>
      <c r="T12" s="380">
        <v>0</v>
      </c>
      <c r="U12" s="404">
        <v>0</v>
      </c>
      <c r="V12" s="663">
        <v>0</v>
      </c>
      <c r="W12" s="454">
        <v>0</v>
      </c>
      <c r="X12" s="491">
        <v>0</v>
      </c>
      <c r="Y12" s="681">
        <v>100</v>
      </c>
      <c r="Z12" s="456" t="str">
        <f>A13</f>
        <v>AL30 - 48hs</v>
      </c>
      <c r="AA12" s="609">
        <f t="shared" si="14"/>
        <v>110.0093399750934</v>
      </c>
      <c r="AD12" s="634" t="s">
        <v>319</v>
      </c>
      <c r="AE12" s="643"/>
      <c r="AF12" s="632">
        <v>44366431.299999997</v>
      </c>
      <c r="AG12" s="633">
        <v>1.0915000000000001</v>
      </c>
      <c r="AH12" s="633">
        <v>1.0948</v>
      </c>
      <c r="AI12" s="632">
        <v>265000000</v>
      </c>
      <c r="AJ12" s="635">
        <v>1.0915000000000001</v>
      </c>
      <c r="AK12" s="632">
        <v>856974687875</v>
      </c>
    </row>
    <row r="13" spans="1:38" ht="12.75" customHeight="1">
      <c r="A13" s="486" t="s">
        <v>2</v>
      </c>
      <c r="B13" s="467">
        <f t="shared" si="0"/>
        <v>34808</v>
      </c>
      <c r="C13" s="458">
        <f t="shared" si="1"/>
        <v>32120</v>
      </c>
      <c r="D13" s="458">
        <f t="shared" si="2"/>
        <v>32125</v>
      </c>
      <c r="E13" s="467">
        <f t="shared" si="3"/>
        <v>50000</v>
      </c>
      <c r="F13" s="666">
        <f t="shared" si="4"/>
        <v>32120</v>
      </c>
      <c r="G13" s="459">
        <f t="shared" si="5"/>
        <v>-1.3500000000000002E-2</v>
      </c>
      <c r="H13" s="460">
        <f t="shared" si="6"/>
        <v>32800</v>
      </c>
      <c r="I13" s="461">
        <f t="shared" si="7"/>
        <v>33460</v>
      </c>
      <c r="J13" s="573">
        <f t="shared" si="8"/>
        <v>31280</v>
      </c>
      <c r="K13" s="463">
        <f t="shared" si="9"/>
        <v>32560</v>
      </c>
      <c r="L13" s="462">
        <f t="shared" si="10"/>
        <v>80262289145</v>
      </c>
      <c r="M13" s="463">
        <f t="shared" si="11"/>
        <v>248417976</v>
      </c>
      <c r="N13" s="462">
        <f t="shared" si="12"/>
        <v>44052</v>
      </c>
      <c r="O13" s="559">
        <f t="shared" si="13"/>
        <v>45264.708437499998</v>
      </c>
      <c r="P13" s="583">
        <v>12</v>
      </c>
      <c r="Q13" s="588">
        <v>0</v>
      </c>
      <c r="R13" s="507">
        <v>0</v>
      </c>
      <c r="S13" s="520">
        <v>0</v>
      </c>
      <c r="T13" s="464">
        <v>0</v>
      </c>
      <c r="U13" s="403">
        <v>0</v>
      </c>
      <c r="V13" s="664">
        <v>0</v>
      </c>
      <c r="W13" s="465">
        <v>0</v>
      </c>
      <c r="X13" s="684">
        <v>0</v>
      </c>
      <c r="Y13" s="682">
        <v>110</v>
      </c>
      <c r="Z13" s="466" t="str">
        <f>A12</f>
        <v>GD30 - 48hs</v>
      </c>
      <c r="AA13" s="611">
        <f t="shared" si="14"/>
        <v>99.991509834441771</v>
      </c>
      <c r="AD13" s="49" t="s">
        <v>320</v>
      </c>
      <c r="AE13" s="644">
        <v>45248</v>
      </c>
      <c r="AF13" s="48"/>
      <c r="AG13" s="52"/>
      <c r="AH13" s="52"/>
      <c r="AI13" s="48"/>
      <c r="AJ13" s="555"/>
      <c r="AK13" s="48"/>
    </row>
    <row r="14" spans="1:38" ht="12.75" hidden="1" customHeight="1">
      <c r="A14" s="537" t="s">
        <v>4</v>
      </c>
      <c r="B14" s="351">
        <f t="shared" si="0"/>
        <v>76289</v>
      </c>
      <c r="C14" s="330">
        <f t="shared" si="1"/>
        <v>34.799999999999997</v>
      </c>
      <c r="D14" s="352">
        <f t="shared" si="2"/>
        <v>34.83</v>
      </c>
      <c r="E14" s="351">
        <f t="shared" si="3"/>
        <v>4415</v>
      </c>
      <c r="F14" s="478">
        <f t="shared" si="4"/>
        <v>34.83</v>
      </c>
      <c r="G14" s="348">
        <f t="shared" si="5"/>
        <v>8.0000000000000004E-4</v>
      </c>
      <c r="H14" s="347">
        <f t="shared" si="6"/>
        <v>34.6</v>
      </c>
      <c r="I14" s="339">
        <f t="shared" si="7"/>
        <v>35.200000000000003</v>
      </c>
      <c r="J14" s="574">
        <f t="shared" si="8"/>
        <v>34.25</v>
      </c>
      <c r="K14" s="343">
        <f t="shared" si="9"/>
        <v>34.799999999999997</v>
      </c>
      <c r="L14" s="410">
        <f t="shared" si="10"/>
        <v>33375447</v>
      </c>
      <c r="M14" s="343">
        <f t="shared" si="11"/>
        <v>95822327</v>
      </c>
      <c r="N14" s="410">
        <f t="shared" si="12"/>
        <v>35456</v>
      </c>
      <c r="O14" s="560">
        <f t="shared" si="13"/>
        <v>45264.70853009259</v>
      </c>
      <c r="P14" s="582">
        <v>13</v>
      </c>
      <c r="Q14" s="589">
        <v>0</v>
      </c>
      <c r="R14" s="510">
        <v>0</v>
      </c>
      <c r="S14" s="521">
        <v>0</v>
      </c>
      <c r="T14" s="415">
        <v>0</v>
      </c>
      <c r="U14" s="404">
        <v>0</v>
      </c>
      <c r="V14" s="662">
        <v>0</v>
      </c>
      <c r="W14" s="454">
        <v>0</v>
      </c>
      <c r="X14" s="491">
        <v>0</v>
      </c>
      <c r="Y14" s="539">
        <f t="shared" ref="Y14" si="15">IFERROR(IF(V14&lt;&gt;0,V14,$AB$1/(VLOOKUP($A14,$A$42:$N$157,6,0)/100)),"")</f>
        <v>1507.3212747631353</v>
      </c>
      <c r="Z14" s="616">
        <f t="shared" ref="Z14" si="16">IFERROR($F14*(1-$V$1)/100*$Y14,"")</f>
        <v>525</v>
      </c>
      <c r="AA14" s="612" t="str">
        <f>MID(A14,1,5)</f>
        <v>AL30D</v>
      </c>
      <c r="AD14" s="634" t="s">
        <v>321</v>
      </c>
      <c r="AE14" s="644">
        <v>45249</v>
      </c>
      <c r="AF14" s="632"/>
      <c r="AG14" s="633"/>
      <c r="AH14" s="633"/>
      <c r="AI14" s="632"/>
      <c r="AJ14" s="635"/>
      <c r="AK14" s="632"/>
    </row>
    <row r="15" spans="1:38" ht="12.75" hidden="1" customHeight="1">
      <c r="A15" s="538" t="s">
        <v>7</v>
      </c>
      <c r="B15" s="381">
        <f t="shared" si="0"/>
        <v>4025</v>
      </c>
      <c r="C15" s="382">
        <f t="shared" si="1"/>
        <v>38.56</v>
      </c>
      <c r="D15" s="382">
        <f t="shared" si="2"/>
        <v>38.700000000000003</v>
      </c>
      <c r="E15" s="381">
        <f t="shared" si="3"/>
        <v>394</v>
      </c>
      <c r="F15" s="479">
        <f t="shared" si="4"/>
        <v>38.56</v>
      </c>
      <c r="G15" s="383">
        <f t="shared" si="5"/>
        <v>-8.3999999999999995E-3</v>
      </c>
      <c r="H15" s="384">
        <f t="shared" si="6"/>
        <v>37.85</v>
      </c>
      <c r="I15" s="385">
        <f t="shared" si="7"/>
        <v>39</v>
      </c>
      <c r="J15" s="575">
        <f t="shared" si="8"/>
        <v>36.5</v>
      </c>
      <c r="K15" s="386">
        <f t="shared" si="9"/>
        <v>38.89</v>
      </c>
      <c r="L15" s="444">
        <f t="shared" si="10"/>
        <v>537283</v>
      </c>
      <c r="M15" s="386">
        <f t="shared" si="11"/>
        <v>1409401</v>
      </c>
      <c r="N15" s="444">
        <f t="shared" si="12"/>
        <v>595</v>
      </c>
      <c r="O15" s="561">
        <f t="shared" si="13"/>
        <v>45264.708518518521</v>
      </c>
      <c r="P15" s="581">
        <v>14</v>
      </c>
      <c r="Q15" s="590">
        <v>0</v>
      </c>
      <c r="R15" s="509">
        <v>0</v>
      </c>
      <c r="S15" s="522">
        <v>0</v>
      </c>
      <c r="T15" s="387">
        <v>0</v>
      </c>
      <c r="U15" s="403">
        <v>0</v>
      </c>
      <c r="V15" s="669">
        <v>0</v>
      </c>
      <c r="W15" s="455">
        <v>0</v>
      </c>
      <c r="X15" s="490">
        <v>0</v>
      </c>
      <c r="Y15" s="540">
        <f t="shared" ref="Y15" si="17">IFERROR(ROUND((($F14*(1-$V$1)/100)*$Y14)/($F15/100),0),0)</f>
        <v>1362</v>
      </c>
      <c r="Z15" s="614">
        <f t="shared" ref="Z15" si="18">$F15/100*INT($Y15)</f>
        <v>525.18719999999996</v>
      </c>
      <c r="AA15" s="613" t="str">
        <f>MID(A15,1,5)</f>
        <v>GD30D</v>
      </c>
      <c r="AD15" s="49" t="s">
        <v>322</v>
      </c>
      <c r="AE15" s="644">
        <v>45250</v>
      </c>
      <c r="AF15" s="48"/>
      <c r="AG15" s="52"/>
      <c r="AH15" s="52"/>
      <c r="AI15" s="48"/>
      <c r="AJ15" s="555"/>
      <c r="AK15" s="48"/>
    </row>
    <row r="16" spans="1:38" ht="12.75" hidden="1" customHeight="1">
      <c r="A16" s="651" t="s">
        <v>6</v>
      </c>
      <c r="B16" s="328">
        <f t="shared" si="0"/>
        <v>5426</v>
      </c>
      <c r="C16" s="330">
        <f>VLOOKUP($A16,$A$42:$N$157,3,0)</f>
        <v>40</v>
      </c>
      <c r="D16" s="330">
        <f t="shared" si="2"/>
        <v>41</v>
      </c>
      <c r="E16" s="328">
        <f t="shared" si="3"/>
        <v>2000</v>
      </c>
      <c r="F16" s="332">
        <f t="shared" si="4"/>
        <v>40</v>
      </c>
      <c r="G16" s="334">
        <f t="shared" si="5"/>
        <v>3.8900000000000004E-2</v>
      </c>
      <c r="H16" s="345">
        <f t="shared" si="6"/>
        <v>39</v>
      </c>
      <c r="I16" s="336">
        <f t="shared" si="7"/>
        <v>40</v>
      </c>
      <c r="J16" s="572">
        <f t="shared" si="8"/>
        <v>39</v>
      </c>
      <c r="K16" s="340">
        <f t="shared" si="9"/>
        <v>38.5</v>
      </c>
      <c r="L16" s="441">
        <f t="shared" si="10"/>
        <v>944</v>
      </c>
      <c r="M16" s="340">
        <f t="shared" si="11"/>
        <v>2391</v>
      </c>
      <c r="N16" s="441">
        <f t="shared" si="12"/>
        <v>5</v>
      </c>
      <c r="O16" s="558">
        <f t="shared" si="13"/>
        <v>45264.69703703704</v>
      </c>
      <c r="P16" s="582">
        <v>15</v>
      </c>
      <c r="Q16" s="591">
        <v>0</v>
      </c>
      <c r="R16" s="505">
        <v>0</v>
      </c>
      <c r="S16" s="519">
        <v>0</v>
      </c>
      <c r="T16" s="380">
        <v>0</v>
      </c>
      <c r="U16" s="404">
        <v>0</v>
      </c>
      <c r="V16" s="663">
        <v>0</v>
      </c>
      <c r="W16" s="474">
        <v>0</v>
      </c>
      <c r="X16" s="607">
        <v>0</v>
      </c>
      <c r="Y16" s="653">
        <f t="shared" ref="Y16:Y20" si="19">Y15</f>
        <v>1362</v>
      </c>
      <c r="Z16" s="654">
        <f t="shared" ref="Z16" si="20">$F16*(1-$V$1)/100*INT($Y16)</f>
        <v>544.80000000000007</v>
      </c>
      <c r="AA16" s="693">
        <f>IFERROR((Z17/(VLOOKUP($A17,$A$46:$N$157,6,0)/100))*(VLOOKUP($A14,$A$46:$N$157,6,0)/100),"")</f>
        <v>540.90989999999999</v>
      </c>
      <c r="AD16" s="634" t="s">
        <v>323</v>
      </c>
      <c r="AE16" s="644">
        <v>45251</v>
      </c>
      <c r="AF16" s="632">
        <v>4800208.5599999996</v>
      </c>
      <c r="AG16" s="633">
        <v>1.1000000000000001</v>
      </c>
      <c r="AH16" s="633">
        <v>1.2</v>
      </c>
      <c r="AI16" s="632">
        <v>2904482.2</v>
      </c>
      <c r="AJ16" s="635">
        <v>1.2</v>
      </c>
      <c r="AK16" s="632">
        <v>16346380133</v>
      </c>
    </row>
    <row r="17" spans="1:37" ht="12.75" hidden="1" customHeight="1">
      <c r="A17" s="652" t="s">
        <v>3</v>
      </c>
      <c r="B17" s="525">
        <f t="shared" si="0"/>
        <v>17870</v>
      </c>
      <c r="C17" s="526">
        <f t="shared" si="1"/>
        <v>35.049999999999997</v>
      </c>
      <c r="D17" s="526">
        <f t="shared" si="2"/>
        <v>35.06</v>
      </c>
      <c r="E17" s="525">
        <f t="shared" si="3"/>
        <v>692</v>
      </c>
      <c r="F17" s="527">
        <f t="shared" si="4"/>
        <v>35.06</v>
      </c>
      <c r="G17" s="411">
        <f t="shared" si="5"/>
        <v>1.7000000000000001E-3</v>
      </c>
      <c r="H17" s="412">
        <f t="shared" si="6"/>
        <v>36</v>
      </c>
      <c r="I17" s="413">
        <f t="shared" si="7"/>
        <v>36.299999999999997</v>
      </c>
      <c r="J17" s="576">
        <f t="shared" si="8"/>
        <v>34.6</v>
      </c>
      <c r="K17" s="414">
        <f t="shared" si="9"/>
        <v>35</v>
      </c>
      <c r="L17" s="418">
        <f t="shared" si="10"/>
        <v>160090</v>
      </c>
      <c r="M17" s="414">
        <f t="shared" si="11"/>
        <v>455582</v>
      </c>
      <c r="N17" s="418">
        <f t="shared" si="12"/>
        <v>92</v>
      </c>
      <c r="O17" s="562">
        <f t="shared" si="13"/>
        <v>45264.701111111113</v>
      </c>
      <c r="P17" s="584">
        <v>16</v>
      </c>
      <c r="Q17" s="592">
        <v>0</v>
      </c>
      <c r="R17" s="528">
        <v>0</v>
      </c>
      <c r="S17" s="524">
        <v>0</v>
      </c>
      <c r="T17" s="529">
        <v>0</v>
      </c>
      <c r="U17" s="403">
        <v>0</v>
      </c>
      <c r="V17" s="664">
        <v>0</v>
      </c>
      <c r="W17" s="608">
        <v>0</v>
      </c>
      <c r="X17" s="530">
        <v>0</v>
      </c>
      <c r="Y17" s="655">
        <f t="shared" ref="Y17" si="21">IFERROR(($Y16*($F16*(1-$V$1)/100)/($F17/100)),0)</f>
        <v>1553.9075869937251</v>
      </c>
      <c r="Z17" s="656">
        <f t="shared" ref="Z17" si="22">$F17/100*INT($Y17)</f>
        <v>544.48180000000002</v>
      </c>
      <c r="AA17" s="694"/>
      <c r="AD17" s="49" t="s">
        <v>324</v>
      </c>
      <c r="AE17" s="644">
        <v>45252</v>
      </c>
      <c r="AF17" s="48">
        <v>236719976.19999999</v>
      </c>
      <c r="AG17" s="52">
        <v>1.05</v>
      </c>
      <c r="AH17" s="52">
        <v>1.08</v>
      </c>
      <c r="AI17" s="48">
        <v>5338.68</v>
      </c>
      <c r="AJ17" s="555">
        <v>1.05</v>
      </c>
      <c r="AK17" s="48">
        <v>2028095752</v>
      </c>
    </row>
    <row r="18" spans="1:37" ht="12.75" hidden="1" customHeight="1">
      <c r="A18" s="537" t="s">
        <v>4</v>
      </c>
      <c r="B18" s="351">
        <f t="shared" ref="B18:B25" si="23">VLOOKUP($A18,$A$46:$N$157,2,0)</f>
        <v>76289</v>
      </c>
      <c r="C18" s="330">
        <f t="shared" si="1"/>
        <v>34.799999999999997</v>
      </c>
      <c r="D18" s="352">
        <f t="shared" si="2"/>
        <v>34.83</v>
      </c>
      <c r="E18" s="351">
        <f t="shared" si="3"/>
        <v>4415</v>
      </c>
      <c r="F18" s="349">
        <f t="shared" si="4"/>
        <v>34.83</v>
      </c>
      <c r="G18" s="348">
        <f t="shared" si="5"/>
        <v>8.0000000000000004E-4</v>
      </c>
      <c r="H18" s="347">
        <f t="shared" si="6"/>
        <v>34.6</v>
      </c>
      <c r="I18" s="339">
        <f t="shared" si="7"/>
        <v>35.200000000000003</v>
      </c>
      <c r="J18" s="574">
        <f t="shared" si="8"/>
        <v>34.25</v>
      </c>
      <c r="K18" s="343">
        <f t="shared" si="9"/>
        <v>34.799999999999997</v>
      </c>
      <c r="L18" s="410">
        <f t="shared" si="10"/>
        <v>33375447</v>
      </c>
      <c r="M18" s="343">
        <f t="shared" si="11"/>
        <v>95822327</v>
      </c>
      <c r="N18" s="410">
        <f t="shared" si="12"/>
        <v>35456</v>
      </c>
      <c r="O18" s="563">
        <f t="shared" si="13"/>
        <v>45264.70853009259</v>
      </c>
      <c r="P18" s="582">
        <v>17</v>
      </c>
      <c r="Q18" s="589">
        <v>0</v>
      </c>
      <c r="R18" s="511">
        <v>0</v>
      </c>
      <c r="S18" s="521">
        <v>0</v>
      </c>
      <c r="T18" s="390">
        <v>0</v>
      </c>
      <c r="U18" s="404">
        <v>0</v>
      </c>
      <c r="V18" s="662">
        <v>0</v>
      </c>
      <c r="W18" s="454">
        <v>0</v>
      </c>
      <c r="X18" s="454">
        <v>0</v>
      </c>
      <c r="Y18" s="539">
        <f t="shared" ref="Y18" si="24">IFERROR(IF(V18&lt;&gt;0,V18,$AB$1/(VLOOKUP($A18,$A$42:$N$157,6,0)/100)),"")</f>
        <v>1507.3212747631353</v>
      </c>
      <c r="Z18" s="616">
        <f t="shared" ref="Z18" si="25">IFERROR($F18*(1-$V$1)/100*$Y18,"")</f>
        <v>525</v>
      </c>
      <c r="AA18" s="612" t="str">
        <f>MID(A18,1,5)</f>
        <v>AL30D</v>
      </c>
      <c r="AB18" s="327"/>
      <c r="AC18" s="327"/>
      <c r="AD18" s="634" t="s">
        <v>325</v>
      </c>
      <c r="AE18" s="644">
        <v>45253</v>
      </c>
      <c r="AF18" s="632">
        <v>2000000</v>
      </c>
      <c r="AG18" s="633">
        <v>0.92</v>
      </c>
      <c r="AH18" s="633">
        <v>1.165</v>
      </c>
      <c r="AI18" s="632">
        <v>10359920</v>
      </c>
      <c r="AJ18" s="635">
        <v>1.1599999999999999</v>
      </c>
      <c r="AK18" s="632">
        <v>48192507003</v>
      </c>
    </row>
    <row r="19" spans="1:37" ht="12.75" hidden="1" customHeight="1">
      <c r="A19" s="538" t="s">
        <v>7</v>
      </c>
      <c r="B19" s="329">
        <f t="shared" si="23"/>
        <v>4025</v>
      </c>
      <c r="C19" s="382">
        <f t="shared" si="1"/>
        <v>38.56</v>
      </c>
      <c r="D19" s="382">
        <f t="shared" si="2"/>
        <v>38.700000000000003</v>
      </c>
      <c r="E19" s="329">
        <f t="shared" si="3"/>
        <v>394</v>
      </c>
      <c r="F19" s="333">
        <f t="shared" si="4"/>
        <v>38.56</v>
      </c>
      <c r="G19" s="335">
        <f t="shared" si="5"/>
        <v>-8.3999999999999995E-3</v>
      </c>
      <c r="H19" s="346">
        <f t="shared" si="6"/>
        <v>37.85</v>
      </c>
      <c r="I19" s="337">
        <f t="shared" si="7"/>
        <v>39</v>
      </c>
      <c r="J19" s="571">
        <f t="shared" si="8"/>
        <v>36.5</v>
      </c>
      <c r="K19" s="341">
        <f t="shared" si="9"/>
        <v>38.89</v>
      </c>
      <c r="L19" s="344">
        <f t="shared" si="10"/>
        <v>537283</v>
      </c>
      <c r="M19" s="341">
        <f t="shared" si="11"/>
        <v>1409401</v>
      </c>
      <c r="N19" s="344">
        <f t="shared" si="12"/>
        <v>595</v>
      </c>
      <c r="O19" s="564">
        <f t="shared" si="13"/>
        <v>45264.708518518521</v>
      </c>
      <c r="P19" s="581">
        <v>18</v>
      </c>
      <c r="Q19" s="593">
        <v>0</v>
      </c>
      <c r="R19" s="512">
        <v>0</v>
      </c>
      <c r="S19" s="518">
        <v>0</v>
      </c>
      <c r="T19" s="389">
        <v>0</v>
      </c>
      <c r="U19" s="403">
        <v>0</v>
      </c>
      <c r="V19" s="669">
        <v>0</v>
      </c>
      <c r="W19" s="455">
        <v>0</v>
      </c>
      <c r="X19" s="455">
        <v>0</v>
      </c>
      <c r="Y19" s="540">
        <f t="shared" ref="Y19" si="26">IFERROR(ROUND((($F18*(1-$V$1)/100)*$Y18)/($F19/100),0),0)</f>
        <v>1362</v>
      </c>
      <c r="Z19" s="614">
        <f t="shared" ref="Z19" si="27">$F19/100*INT($Y19)</f>
        <v>525.18719999999996</v>
      </c>
      <c r="AA19" s="613" t="str">
        <f>MID(A19,1,5)</f>
        <v>GD30D</v>
      </c>
      <c r="AD19" s="639"/>
      <c r="AE19" s="644"/>
      <c r="AF19" s="636"/>
      <c r="AG19" s="637"/>
      <c r="AH19" s="637"/>
      <c r="AI19" s="636"/>
      <c r="AJ19" s="638"/>
      <c r="AK19" s="636"/>
    </row>
    <row r="20" spans="1:37" ht="12.75" hidden="1" customHeight="1">
      <c r="A20" s="407" t="s">
        <v>5</v>
      </c>
      <c r="B20" s="351">
        <f t="shared" si="23"/>
        <v>5000</v>
      </c>
      <c r="C20" s="330">
        <f t="shared" si="1"/>
        <v>35301</v>
      </c>
      <c r="D20" s="330">
        <f t="shared" si="2"/>
        <v>35335</v>
      </c>
      <c r="E20" s="351">
        <f t="shared" si="3"/>
        <v>4102</v>
      </c>
      <c r="F20" s="349">
        <f t="shared" si="4"/>
        <v>35335</v>
      </c>
      <c r="G20" s="348">
        <f t="shared" si="5"/>
        <v>1E-3</v>
      </c>
      <c r="H20" s="347">
        <f t="shared" si="6"/>
        <v>36289</v>
      </c>
      <c r="I20" s="339">
        <f t="shared" si="7"/>
        <v>36289</v>
      </c>
      <c r="J20" s="574">
        <f t="shared" si="8"/>
        <v>33800</v>
      </c>
      <c r="K20" s="343">
        <f t="shared" si="9"/>
        <v>35299.5</v>
      </c>
      <c r="L20" s="410">
        <f t="shared" si="10"/>
        <v>21786202257</v>
      </c>
      <c r="M20" s="343">
        <f t="shared" si="11"/>
        <v>62036125</v>
      </c>
      <c r="N20" s="410">
        <f t="shared" si="12"/>
        <v>6585</v>
      </c>
      <c r="O20" s="563">
        <f t="shared" si="13"/>
        <v>45264.708368055559</v>
      </c>
      <c r="P20" s="582">
        <v>19</v>
      </c>
      <c r="Q20" s="589">
        <v>0</v>
      </c>
      <c r="R20" s="511">
        <v>0</v>
      </c>
      <c r="S20" s="521">
        <v>0</v>
      </c>
      <c r="T20" s="390">
        <v>0</v>
      </c>
      <c r="U20" s="404">
        <v>0</v>
      </c>
      <c r="V20" s="663">
        <v>0</v>
      </c>
      <c r="W20" s="474">
        <v>0</v>
      </c>
      <c r="X20" s="474">
        <v>0</v>
      </c>
      <c r="Y20" s="495">
        <f t="shared" si="19"/>
        <v>1362</v>
      </c>
      <c r="Z20" s="615">
        <f t="shared" ref="Z20" si="28">$F20*(1-$V$1)/100*INT($Y20)</f>
        <v>481262.7</v>
      </c>
      <c r="AA20" s="693">
        <f>IFERROR((Z21/(VLOOKUP($A21,$A$46:$N$157,6,0)/100))*(VLOOKUP($A18,$A$46:$N$157,6,0)/100),"")</f>
        <v>521.75339999999994</v>
      </c>
    </row>
    <row r="21" spans="1:37" ht="12.75" hidden="1" customHeight="1">
      <c r="A21" s="665" t="s">
        <v>2</v>
      </c>
      <c r="B21" s="467">
        <f t="shared" si="23"/>
        <v>34808</v>
      </c>
      <c r="C21" s="458">
        <f t="shared" si="1"/>
        <v>32120</v>
      </c>
      <c r="D21" s="458">
        <f t="shared" si="2"/>
        <v>32125</v>
      </c>
      <c r="E21" s="467">
        <f t="shared" si="3"/>
        <v>50000</v>
      </c>
      <c r="F21" s="666">
        <f t="shared" si="4"/>
        <v>32120</v>
      </c>
      <c r="G21" s="459">
        <f t="shared" si="5"/>
        <v>-1.3500000000000002E-2</v>
      </c>
      <c r="H21" s="460">
        <f t="shared" si="6"/>
        <v>32800</v>
      </c>
      <c r="I21" s="461">
        <f t="shared" si="7"/>
        <v>33460</v>
      </c>
      <c r="J21" s="573">
        <f t="shared" si="8"/>
        <v>31280</v>
      </c>
      <c r="K21" s="463">
        <f t="shared" si="9"/>
        <v>32560</v>
      </c>
      <c r="L21" s="462">
        <f t="shared" si="10"/>
        <v>80262289145</v>
      </c>
      <c r="M21" s="463">
        <f t="shared" si="11"/>
        <v>248417976</v>
      </c>
      <c r="N21" s="462">
        <f t="shared" si="12"/>
        <v>44052</v>
      </c>
      <c r="O21" s="565">
        <f t="shared" si="13"/>
        <v>45264.708437499998</v>
      </c>
      <c r="P21" s="583">
        <v>20</v>
      </c>
      <c r="Q21" s="594">
        <v>0</v>
      </c>
      <c r="R21" s="513">
        <v>0</v>
      </c>
      <c r="S21" s="520">
        <v>0</v>
      </c>
      <c r="T21" s="469">
        <v>0</v>
      </c>
      <c r="U21" s="403">
        <v>0</v>
      </c>
      <c r="V21" s="664">
        <v>0</v>
      </c>
      <c r="W21" s="465">
        <v>0</v>
      </c>
      <c r="X21" s="465">
        <v>0</v>
      </c>
      <c r="Y21" s="667">
        <f t="shared" ref="Y21" si="29">IFERROR(($Y20*($F20*(1-$V$1)/100)/($F21/100)),0)</f>
        <v>1498.3272104607722</v>
      </c>
      <c r="Z21" s="668">
        <f t="shared" ref="Z21" si="30">$F21/100*INT($Y21)</f>
        <v>481157.6</v>
      </c>
      <c r="AA21" s="699"/>
    </row>
    <row r="22" spans="1:37" ht="12.75" customHeight="1">
      <c r="A22" s="734" t="s">
        <v>16</v>
      </c>
      <c r="B22" s="351">
        <f t="shared" si="23"/>
        <v>534</v>
      </c>
      <c r="C22" s="330">
        <f t="shared" si="1"/>
        <v>35042</v>
      </c>
      <c r="D22" s="352">
        <f t="shared" si="2"/>
        <v>35277</v>
      </c>
      <c r="E22" s="351">
        <f t="shared" si="3"/>
        <v>400</v>
      </c>
      <c r="F22" s="657">
        <f t="shared" si="4"/>
        <v>35100</v>
      </c>
      <c r="G22" s="348">
        <f t="shared" si="5"/>
        <v>8.6E-3</v>
      </c>
      <c r="H22" s="347">
        <f t="shared" si="6"/>
        <v>35650</v>
      </c>
      <c r="I22" s="339">
        <f t="shared" si="7"/>
        <v>36000</v>
      </c>
      <c r="J22" s="574">
        <f t="shared" si="8"/>
        <v>33460</v>
      </c>
      <c r="K22" s="343">
        <f t="shared" si="9"/>
        <v>34800</v>
      </c>
      <c r="L22" s="410">
        <f t="shared" si="10"/>
        <v>3887308459</v>
      </c>
      <c r="M22" s="343">
        <f t="shared" si="11"/>
        <v>11163176</v>
      </c>
      <c r="N22" s="410">
        <f t="shared" si="12"/>
        <v>5758</v>
      </c>
      <c r="O22" s="563">
        <f t="shared" si="13"/>
        <v>45264.6875462963</v>
      </c>
      <c r="P22" s="582">
        <v>21</v>
      </c>
      <c r="Q22" s="589">
        <v>0</v>
      </c>
      <c r="R22" s="511">
        <v>0</v>
      </c>
      <c r="S22" s="521">
        <v>0</v>
      </c>
      <c r="T22" s="390">
        <v>0</v>
      </c>
      <c r="U22" s="404">
        <v>0</v>
      </c>
      <c r="V22" s="663">
        <v>0</v>
      </c>
      <c r="W22" s="674">
        <v>0</v>
      </c>
      <c r="X22" s="454">
        <v>0</v>
      </c>
      <c r="Y22" s="603">
        <f>($C23*(1-$V$1))-$D22</f>
        <v>24</v>
      </c>
      <c r="Z22" s="621">
        <f>($F22/100*$X$1)-($F23/100*$W$1)+($F23/100*$W$1*($AE$1*$AD$1))</f>
        <v>-0.54936712328769377</v>
      </c>
      <c r="AA22" s="689" t="str">
        <f>MID($A22,1,5)</f>
        <v xml:space="preserve">GD30 </v>
      </c>
      <c r="AB22" s="327"/>
    </row>
    <row r="23" spans="1:37" ht="12.75" customHeight="1">
      <c r="A23" s="735" t="s">
        <v>5</v>
      </c>
      <c r="B23" s="329">
        <f t="shared" si="23"/>
        <v>5000</v>
      </c>
      <c r="C23" s="382">
        <f t="shared" si="1"/>
        <v>35301</v>
      </c>
      <c r="D23" s="382">
        <f t="shared" si="2"/>
        <v>35335</v>
      </c>
      <c r="E23" s="329">
        <f t="shared" si="3"/>
        <v>4102</v>
      </c>
      <c r="F23" s="658">
        <f t="shared" si="4"/>
        <v>35335</v>
      </c>
      <c r="G23" s="335">
        <f t="shared" si="5"/>
        <v>1E-3</v>
      </c>
      <c r="H23" s="346">
        <f t="shared" si="6"/>
        <v>36289</v>
      </c>
      <c r="I23" s="337">
        <f t="shared" si="7"/>
        <v>36289</v>
      </c>
      <c r="J23" s="571">
        <f t="shared" si="8"/>
        <v>33800</v>
      </c>
      <c r="K23" s="341">
        <f t="shared" si="9"/>
        <v>35299.5</v>
      </c>
      <c r="L23" s="344">
        <f t="shared" si="10"/>
        <v>21786202257</v>
      </c>
      <c r="M23" s="341">
        <f t="shared" si="11"/>
        <v>62036125</v>
      </c>
      <c r="N23" s="344">
        <f t="shared" si="12"/>
        <v>6585</v>
      </c>
      <c r="O23" s="564">
        <f t="shared" si="13"/>
        <v>45264.708368055559</v>
      </c>
      <c r="P23" s="581">
        <v>22</v>
      </c>
      <c r="Q23" s="593">
        <v>0</v>
      </c>
      <c r="R23" s="512">
        <v>0</v>
      </c>
      <c r="S23" s="518">
        <v>0</v>
      </c>
      <c r="T23" s="389">
        <v>0</v>
      </c>
      <c r="U23" s="403">
        <v>0</v>
      </c>
      <c r="V23" s="664">
        <v>0</v>
      </c>
      <c r="W23" s="675">
        <v>0</v>
      </c>
      <c r="X23" s="455">
        <v>0</v>
      </c>
      <c r="Y23" s="547">
        <f>IFERROR((($C23-$D22)/100)/$D22*100,0)</f>
        <v>6.8032996003061482E-4</v>
      </c>
      <c r="Z23" s="622">
        <f>$F23/100*$W$1*($AE$1*$AD$1)</f>
        <v>1.800632876712329</v>
      </c>
      <c r="AA23" s="690"/>
    </row>
    <row r="24" spans="1:37" ht="12.75" customHeight="1">
      <c r="A24" s="734" t="s">
        <v>13</v>
      </c>
      <c r="B24" s="351">
        <f t="shared" si="23"/>
        <v>164</v>
      </c>
      <c r="C24" s="330">
        <f t="shared" si="1"/>
        <v>32120</v>
      </c>
      <c r="D24" s="330">
        <f t="shared" si="2"/>
        <v>32125</v>
      </c>
      <c r="E24" s="351">
        <f t="shared" si="3"/>
        <v>880</v>
      </c>
      <c r="F24" s="541">
        <f t="shared" si="4"/>
        <v>32124</v>
      </c>
      <c r="G24" s="348">
        <f t="shared" si="5"/>
        <v>-1.15E-2</v>
      </c>
      <c r="H24" s="347">
        <f t="shared" si="6"/>
        <v>33470</v>
      </c>
      <c r="I24" s="339">
        <f t="shared" si="7"/>
        <v>33470</v>
      </c>
      <c r="J24" s="574">
        <f t="shared" si="8"/>
        <v>31088</v>
      </c>
      <c r="K24" s="343">
        <f t="shared" si="9"/>
        <v>32500</v>
      </c>
      <c r="L24" s="410">
        <f t="shared" si="10"/>
        <v>70975110482</v>
      </c>
      <c r="M24" s="343">
        <f t="shared" si="11"/>
        <v>220663556</v>
      </c>
      <c r="N24" s="410">
        <f t="shared" si="12"/>
        <v>91639</v>
      </c>
      <c r="O24" s="563">
        <f t="shared" si="13"/>
        <v>45264.687824074077</v>
      </c>
      <c r="P24" s="582">
        <v>23</v>
      </c>
      <c r="Q24" s="589">
        <v>0</v>
      </c>
      <c r="R24" s="511">
        <v>0</v>
      </c>
      <c r="S24" s="521">
        <v>0</v>
      </c>
      <c r="T24" s="390">
        <v>0</v>
      </c>
      <c r="U24" s="404">
        <v>0</v>
      </c>
      <c r="V24" s="663">
        <v>0</v>
      </c>
      <c r="W24" s="674">
        <v>0</v>
      </c>
      <c r="X24" s="474">
        <v>0</v>
      </c>
      <c r="Y24" s="603">
        <f>($C25*(1-$V$1))-$D24</f>
        <v>-5</v>
      </c>
      <c r="Z24" s="645">
        <f>($F24/100*$X$1)-($F25/100*$W$1)+($F25/100*$W$1*($AE$1*$AD$1))</f>
        <v>1.6768000000000205</v>
      </c>
      <c r="AA24" s="697" t="str">
        <f>MID($A24,1,5)</f>
        <v xml:space="preserve">AL30 </v>
      </c>
    </row>
    <row r="25" spans="1:37" ht="12.75" customHeight="1">
      <c r="A25" s="736" t="s">
        <v>2</v>
      </c>
      <c r="B25" s="467">
        <f t="shared" si="23"/>
        <v>34808</v>
      </c>
      <c r="C25" s="458">
        <f t="shared" si="1"/>
        <v>32120</v>
      </c>
      <c r="D25" s="458">
        <f t="shared" si="2"/>
        <v>32125</v>
      </c>
      <c r="E25" s="467">
        <f t="shared" si="3"/>
        <v>50000</v>
      </c>
      <c r="F25" s="648">
        <f t="shared" si="4"/>
        <v>32120</v>
      </c>
      <c r="G25" s="459">
        <f t="shared" si="5"/>
        <v>-1.3500000000000002E-2</v>
      </c>
      <c r="H25" s="460">
        <f t="shared" si="6"/>
        <v>32800</v>
      </c>
      <c r="I25" s="461">
        <f t="shared" si="7"/>
        <v>33460</v>
      </c>
      <c r="J25" s="573">
        <f t="shared" si="8"/>
        <v>31280</v>
      </c>
      <c r="K25" s="463">
        <f t="shared" si="9"/>
        <v>32560</v>
      </c>
      <c r="L25" s="462">
        <f t="shared" si="10"/>
        <v>80262289145</v>
      </c>
      <c r="M25" s="463">
        <f t="shared" si="11"/>
        <v>248417976</v>
      </c>
      <c r="N25" s="468">
        <f t="shared" si="12"/>
        <v>44052</v>
      </c>
      <c r="O25" s="565">
        <f t="shared" si="13"/>
        <v>45264.708437499998</v>
      </c>
      <c r="P25" s="581">
        <v>24</v>
      </c>
      <c r="Q25" s="594">
        <v>0</v>
      </c>
      <c r="R25" s="513">
        <v>0</v>
      </c>
      <c r="S25" s="520">
        <v>0</v>
      </c>
      <c r="T25" s="469">
        <v>0</v>
      </c>
      <c r="U25" s="403">
        <v>0</v>
      </c>
      <c r="V25" s="664">
        <v>85</v>
      </c>
      <c r="W25" s="683">
        <v>27669.1</v>
      </c>
      <c r="X25" s="465">
        <v>325.51882352941175</v>
      </c>
      <c r="Y25" s="646">
        <f>IFERROR((($C25-$D24)/100)/$D24*100,0)</f>
        <v>-1.5564202334630351E-4</v>
      </c>
      <c r="Z25" s="647">
        <f>$F25/100*$W$1*($AE$1*$AD$1)</f>
        <v>1.6368</v>
      </c>
      <c r="AA25" s="698"/>
    </row>
    <row r="26" spans="1:37" ht="12.75" hidden="1" customHeight="1">
      <c r="A26" s="433" t="s">
        <v>570</v>
      </c>
      <c r="B26" s="351"/>
      <c r="C26" s="408"/>
      <c r="D26" s="408"/>
      <c r="E26" s="351"/>
      <c r="F26" s="409"/>
      <c r="G26" s="348"/>
      <c r="H26" s="347"/>
      <c r="I26" s="339"/>
      <c r="J26" s="574"/>
      <c r="K26" s="579"/>
      <c r="L26" s="410"/>
      <c r="M26" s="410"/>
      <c r="N26" s="410"/>
      <c r="O26" s="563"/>
      <c r="P26" s="582">
        <v>25</v>
      </c>
      <c r="Q26" s="448">
        <v>0</v>
      </c>
      <c r="R26" s="511">
        <v>0</v>
      </c>
      <c r="S26" s="521">
        <v>0</v>
      </c>
      <c r="T26" s="390">
        <v>0</v>
      </c>
      <c r="U26" s="480">
        <v>0</v>
      </c>
      <c r="V26" s="483">
        <v>0</v>
      </c>
      <c r="W26" s="326">
        <v>0</v>
      </c>
      <c r="X26" s="326">
        <v>0</v>
      </c>
      <c r="Y26" s="496">
        <v>0</v>
      </c>
      <c r="Z26" s="326">
        <v>0</v>
      </c>
      <c r="AA26" s="405"/>
    </row>
    <row r="27" spans="1:37" ht="12.75" hidden="1" customHeight="1">
      <c r="A27" s="434" t="s">
        <v>579</v>
      </c>
      <c r="B27" s="329"/>
      <c r="C27" s="353"/>
      <c r="D27" s="353"/>
      <c r="E27" s="329"/>
      <c r="F27" s="350"/>
      <c r="G27" s="335"/>
      <c r="H27" s="346"/>
      <c r="I27" s="337"/>
      <c r="J27" s="571"/>
      <c r="K27" s="341"/>
      <c r="L27" s="344"/>
      <c r="M27" s="344"/>
      <c r="N27" s="344"/>
      <c r="O27" s="564"/>
      <c r="P27" s="581">
        <v>26</v>
      </c>
      <c r="Q27" s="445">
        <v>0</v>
      </c>
      <c r="R27" s="512">
        <v>0</v>
      </c>
      <c r="S27" s="518">
        <v>0</v>
      </c>
      <c r="T27" s="389">
        <v>0</v>
      </c>
      <c r="U27" s="481">
        <v>0</v>
      </c>
      <c r="V27" s="482">
        <v>0</v>
      </c>
      <c r="W27" s="281">
        <v>0</v>
      </c>
      <c r="X27" s="281">
        <v>0</v>
      </c>
      <c r="Y27" s="497">
        <v>0</v>
      </c>
      <c r="Z27" s="281">
        <v>0</v>
      </c>
      <c r="AA27" s="405"/>
    </row>
    <row r="28" spans="1:37" ht="12.75" hidden="1" customHeight="1">
      <c r="A28" s="435" t="s">
        <v>580</v>
      </c>
      <c r="B28" s="391"/>
      <c r="C28" s="392"/>
      <c r="D28" s="392"/>
      <c r="E28" s="391"/>
      <c r="F28" s="393"/>
      <c r="G28" s="367"/>
      <c r="H28" s="368"/>
      <c r="I28" s="338"/>
      <c r="J28" s="577"/>
      <c r="K28" s="342"/>
      <c r="L28" s="394"/>
      <c r="M28" s="394"/>
      <c r="N28" s="394"/>
      <c r="O28" s="566"/>
      <c r="P28" s="582">
        <v>27</v>
      </c>
      <c r="Q28" s="446">
        <v>0</v>
      </c>
      <c r="R28" s="514">
        <v>0</v>
      </c>
      <c r="S28" s="523">
        <v>0</v>
      </c>
      <c r="T28" s="388">
        <v>0</v>
      </c>
      <c r="U28" s="480">
        <v>0</v>
      </c>
      <c r="V28" s="483">
        <v>0</v>
      </c>
      <c r="W28" s="395">
        <v>0</v>
      </c>
      <c r="X28" s="395">
        <v>0</v>
      </c>
      <c r="Y28" s="498">
        <v>0</v>
      </c>
      <c r="Z28" s="395">
        <v>0</v>
      </c>
      <c r="AA28" s="405"/>
    </row>
    <row r="29" spans="1:37" ht="12.75" hidden="1" customHeight="1">
      <c r="A29" s="434" t="s">
        <v>571</v>
      </c>
      <c r="B29" s="329"/>
      <c r="C29" s="353"/>
      <c r="D29" s="353"/>
      <c r="E29" s="329"/>
      <c r="F29" s="350"/>
      <c r="G29" s="335"/>
      <c r="H29" s="346"/>
      <c r="I29" s="337"/>
      <c r="J29" s="571"/>
      <c r="K29" s="341"/>
      <c r="L29" s="344"/>
      <c r="M29" s="344"/>
      <c r="N29" s="344"/>
      <c r="O29" s="564"/>
      <c r="P29" s="581">
        <v>28</v>
      </c>
      <c r="Q29" s="445">
        <v>0</v>
      </c>
      <c r="R29" s="512">
        <v>0</v>
      </c>
      <c r="S29" s="518">
        <v>0</v>
      </c>
      <c r="T29" s="389">
        <v>0</v>
      </c>
      <c r="U29" s="481">
        <v>0</v>
      </c>
      <c r="V29" s="482">
        <v>0</v>
      </c>
      <c r="W29" s="281">
        <v>0</v>
      </c>
      <c r="X29" s="281">
        <v>0</v>
      </c>
      <c r="Y29" s="497">
        <v>0</v>
      </c>
      <c r="Z29" s="281">
        <v>0</v>
      </c>
      <c r="AA29" s="405"/>
    </row>
    <row r="30" spans="1:37" ht="12.75" hidden="1" customHeight="1">
      <c r="A30" s="435" t="s">
        <v>572</v>
      </c>
      <c r="B30" s="391"/>
      <c r="C30" s="392"/>
      <c r="D30" s="392"/>
      <c r="E30" s="391"/>
      <c r="F30" s="393"/>
      <c r="G30" s="367"/>
      <c r="H30" s="368"/>
      <c r="I30" s="338"/>
      <c r="J30" s="577"/>
      <c r="K30" s="342"/>
      <c r="L30" s="394"/>
      <c r="M30" s="394"/>
      <c r="N30" s="394"/>
      <c r="O30" s="566"/>
      <c r="P30" s="582">
        <v>29</v>
      </c>
      <c r="Q30" s="446">
        <v>0</v>
      </c>
      <c r="R30" s="514">
        <v>0</v>
      </c>
      <c r="S30" s="523">
        <v>0</v>
      </c>
      <c r="T30" s="388">
        <v>0</v>
      </c>
      <c r="U30" s="480">
        <v>0</v>
      </c>
      <c r="V30" s="483">
        <v>0</v>
      </c>
      <c r="W30" s="395">
        <v>0</v>
      </c>
      <c r="X30" s="395">
        <v>0</v>
      </c>
      <c r="Y30" s="498">
        <v>0</v>
      </c>
      <c r="Z30" s="395">
        <v>0</v>
      </c>
      <c r="AA30" s="405"/>
    </row>
    <row r="31" spans="1:37" ht="12.75" hidden="1" customHeight="1">
      <c r="A31" s="434" t="s">
        <v>573</v>
      </c>
      <c r="B31" s="329"/>
      <c r="C31" s="353"/>
      <c r="D31" s="353"/>
      <c r="E31" s="329"/>
      <c r="F31" s="350"/>
      <c r="G31" s="335"/>
      <c r="H31" s="346"/>
      <c r="I31" s="337"/>
      <c r="J31" s="571"/>
      <c r="K31" s="341"/>
      <c r="L31" s="344"/>
      <c r="M31" s="344"/>
      <c r="N31" s="344"/>
      <c r="O31" s="564"/>
      <c r="P31" s="581">
        <v>30</v>
      </c>
      <c r="Q31" s="445">
        <v>0</v>
      </c>
      <c r="R31" s="512">
        <v>0</v>
      </c>
      <c r="S31" s="518">
        <v>0</v>
      </c>
      <c r="T31" s="389">
        <v>0</v>
      </c>
      <c r="U31" s="481">
        <v>0</v>
      </c>
      <c r="V31" s="482">
        <v>0</v>
      </c>
      <c r="W31" s="281">
        <v>0</v>
      </c>
      <c r="X31" s="281">
        <v>0</v>
      </c>
      <c r="Y31" s="497">
        <v>0</v>
      </c>
      <c r="Z31" s="281">
        <v>0</v>
      </c>
      <c r="AA31" s="405"/>
    </row>
    <row r="32" spans="1:37" ht="12.75" hidden="1" customHeight="1">
      <c r="A32" s="435" t="s">
        <v>581</v>
      </c>
      <c r="B32" s="391"/>
      <c r="C32" s="392"/>
      <c r="D32" s="392"/>
      <c r="E32" s="391"/>
      <c r="F32" s="393"/>
      <c r="G32" s="367"/>
      <c r="H32" s="368"/>
      <c r="I32" s="338"/>
      <c r="J32" s="577"/>
      <c r="K32" s="342"/>
      <c r="L32" s="394"/>
      <c r="M32" s="394"/>
      <c r="N32" s="394"/>
      <c r="O32" s="566"/>
      <c r="P32" s="582">
        <v>31</v>
      </c>
      <c r="Q32" s="446">
        <v>0</v>
      </c>
      <c r="R32" s="514">
        <v>0</v>
      </c>
      <c r="S32" s="523">
        <v>0</v>
      </c>
      <c r="T32" s="388">
        <v>0</v>
      </c>
      <c r="U32" s="480">
        <v>0</v>
      </c>
      <c r="V32" s="483">
        <v>0</v>
      </c>
      <c r="W32" s="395">
        <v>0</v>
      </c>
      <c r="X32" s="395">
        <v>0</v>
      </c>
      <c r="Y32" s="498">
        <v>0</v>
      </c>
      <c r="Z32" s="395">
        <v>0</v>
      </c>
      <c r="AA32" s="405"/>
    </row>
    <row r="33" spans="1:29" ht="12.75" hidden="1" customHeight="1">
      <c r="A33" s="434" t="s">
        <v>574</v>
      </c>
      <c r="B33" s="329"/>
      <c r="C33" s="353"/>
      <c r="D33" s="353"/>
      <c r="E33" s="329"/>
      <c r="F33" s="350"/>
      <c r="G33" s="335"/>
      <c r="H33" s="346"/>
      <c r="I33" s="337"/>
      <c r="J33" s="571"/>
      <c r="K33" s="341"/>
      <c r="L33" s="344"/>
      <c r="M33" s="344"/>
      <c r="N33" s="344"/>
      <c r="O33" s="564"/>
      <c r="P33" s="581">
        <v>32</v>
      </c>
      <c r="Q33" s="445">
        <v>0</v>
      </c>
      <c r="R33" s="512">
        <v>0</v>
      </c>
      <c r="S33" s="518">
        <v>0</v>
      </c>
      <c r="T33" s="389">
        <v>0</v>
      </c>
      <c r="U33" s="481">
        <v>0</v>
      </c>
      <c r="V33" s="482">
        <v>0</v>
      </c>
      <c r="W33" s="281">
        <v>0</v>
      </c>
      <c r="X33" s="281">
        <v>0</v>
      </c>
      <c r="Y33" s="497">
        <v>0</v>
      </c>
      <c r="Z33" s="281">
        <v>0</v>
      </c>
      <c r="AA33" s="405"/>
    </row>
    <row r="34" spans="1:29" ht="12.75" hidden="1" customHeight="1">
      <c r="A34" s="435" t="s">
        <v>582</v>
      </c>
      <c r="B34" s="391"/>
      <c r="C34" s="392"/>
      <c r="D34" s="392"/>
      <c r="E34" s="391"/>
      <c r="F34" s="393"/>
      <c r="G34" s="367"/>
      <c r="H34" s="368"/>
      <c r="I34" s="338"/>
      <c r="J34" s="577"/>
      <c r="K34" s="342"/>
      <c r="L34" s="394"/>
      <c r="M34" s="394"/>
      <c r="N34" s="394"/>
      <c r="O34" s="566"/>
      <c r="P34" s="582">
        <v>33</v>
      </c>
      <c r="Q34" s="446">
        <v>0</v>
      </c>
      <c r="R34" s="514">
        <v>0</v>
      </c>
      <c r="S34" s="523">
        <v>0</v>
      </c>
      <c r="T34" s="388">
        <v>0</v>
      </c>
      <c r="U34" s="480">
        <v>0</v>
      </c>
      <c r="V34" s="483">
        <v>0</v>
      </c>
      <c r="W34" s="395">
        <v>0</v>
      </c>
      <c r="X34" s="395">
        <v>0</v>
      </c>
      <c r="Y34" s="498">
        <v>0</v>
      </c>
      <c r="Z34" s="395">
        <v>0</v>
      </c>
      <c r="AA34" s="405"/>
    </row>
    <row r="35" spans="1:29" ht="12.75" hidden="1" customHeight="1">
      <c r="A35" s="434" t="s">
        <v>583</v>
      </c>
      <c r="B35" s="329"/>
      <c r="C35" s="353"/>
      <c r="D35" s="353"/>
      <c r="E35" s="329"/>
      <c r="F35" s="350"/>
      <c r="G35" s="335"/>
      <c r="H35" s="346"/>
      <c r="I35" s="337"/>
      <c r="J35" s="571"/>
      <c r="K35" s="341"/>
      <c r="L35" s="344"/>
      <c r="M35" s="344"/>
      <c r="N35" s="344"/>
      <c r="O35" s="564"/>
      <c r="P35" s="581">
        <v>34</v>
      </c>
      <c r="Q35" s="445">
        <v>0</v>
      </c>
      <c r="R35" s="512">
        <v>0</v>
      </c>
      <c r="S35" s="518">
        <v>0</v>
      </c>
      <c r="T35" s="389">
        <v>0</v>
      </c>
      <c r="U35" s="481">
        <v>0</v>
      </c>
      <c r="V35" s="482">
        <v>0</v>
      </c>
      <c r="W35" s="281">
        <v>0</v>
      </c>
      <c r="X35" s="281">
        <v>0</v>
      </c>
      <c r="Y35" s="497">
        <v>0</v>
      </c>
      <c r="Z35" s="281">
        <v>0</v>
      </c>
      <c r="AA35" s="405"/>
    </row>
    <row r="36" spans="1:29" ht="12.75" hidden="1" customHeight="1">
      <c r="A36" s="435" t="s">
        <v>575</v>
      </c>
      <c r="B36" s="391"/>
      <c r="C36" s="392"/>
      <c r="D36" s="392"/>
      <c r="E36" s="391"/>
      <c r="F36" s="393"/>
      <c r="G36" s="367"/>
      <c r="H36" s="368"/>
      <c r="I36" s="338"/>
      <c r="J36" s="577"/>
      <c r="K36" s="342"/>
      <c r="L36" s="394"/>
      <c r="M36" s="394"/>
      <c r="N36" s="394"/>
      <c r="O36" s="566"/>
      <c r="P36" s="582">
        <v>35</v>
      </c>
      <c r="Q36" s="446">
        <v>0</v>
      </c>
      <c r="R36" s="514">
        <v>0</v>
      </c>
      <c r="S36" s="523">
        <v>0</v>
      </c>
      <c r="T36" s="388">
        <v>0</v>
      </c>
      <c r="U36" s="480">
        <v>0</v>
      </c>
      <c r="V36" s="483">
        <v>0</v>
      </c>
      <c r="W36" s="395">
        <v>0</v>
      </c>
      <c r="X36" s="395">
        <v>0</v>
      </c>
      <c r="Y36" s="498">
        <v>0</v>
      </c>
      <c r="Z36" s="395">
        <v>0</v>
      </c>
      <c r="AA36" s="405"/>
    </row>
    <row r="37" spans="1:29" ht="12.75" hidden="1" customHeight="1">
      <c r="A37" s="434" t="s">
        <v>576</v>
      </c>
      <c r="B37" s="329"/>
      <c r="C37" s="353"/>
      <c r="D37" s="353"/>
      <c r="E37" s="329"/>
      <c r="F37" s="350"/>
      <c r="G37" s="335"/>
      <c r="H37" s="346"/>
      <c r="I37" s="337"/>
      <c r="J37" s="571"/>
      <c r="K37" s="341"/>
      <c r="L37" s="344"/>
      <c r="M37" s="344"/>
      <c r="N37" s="344"/>
      <c r="O37" s="564"/>
      <c r="P37" s="581">
        <v>36</v>
      </c>
      <c r="Q37" s="445">
        <v>0</v>
      </c>
      <c r="R37" s="512">
        <v>0</v>
      </c>
      <c r="S37" s="518">
        <v>0</v>
      </c>
      <c r="T37" s="389">
        <v>0</v>
      </c>
      <c r="U37" s="481">
        <v>0</v>
      </c>
      <c r="V37" s="482">
        <v>0</v>
      </c>
      <c r="W37" s="281">
        <v>0</v>
      </c>
      <c r="X37" s="281">
        <v>0</v>
      </c>
      <c r="Y37" s="497">
        <v>0</v>
      </c>
      <c r="Z37" s="281">
        <v>0</v>
      </c>
      <c r="AA37" s="405"/>
    </row>
    <row r="38" spans="1:29" ht="12.75" hidden="1" customHeight="1">
      <c r="A38" s="435" t="s">
        <v>584</v>
      </c>
      <c r="B38" s="391"/>
      <c r="C38" s="392"/>
      <c r="D38" s="392"/>
      <c r="E38" s="391"/>
      <c r="F38" s="393"/>
      <c r="G38" s="367"/>
      <c r="H38" s="368"/>
      <c r="I38" s="338"/>
      <c r="J38" s="577"/>
      <c r="K38" s="342"/>
      <c r="L38" s="394"/>
      <c r="M38" s="394"/>
      <c r="N38" s="394"/>
      <c r="O38" s="566"/>
      <c r="P38" s="582">
        <v>37</v>
      </c>
      <c r="Q38" s="446">
        <v>0</v>
      </c>
      <c r="R38" s="514">
        <v>0</v>
      </c>
      <c r="S38" s="523">
        <v>0</v>
      </c>
      <c r="T38" s="388">
        <v>0</v>
      </c>
      <c r="U38" s="480">
        <v>0</v>
      </c>
      <c r="V38" s="483">
        <v>0</v>
      </c>
      <c r="W38" s="395">
        <v>0</v>
      </c>
      <c r="X38" s="395">
        <v>0</v>
      </c>
      <c r="Y38" s="498">
        <v>0</v>
      </c>
      <c r="Z38" s="395">
        <v>0</v>
      </c>
      <c r="AA38" s="405"/>
    </row>
    <row r="39" spans="1:29" ht="12.75" hidden="1" customHeight="1">
      <c r="A39" s="434" t="s">
        <v>577</v>
      </c>
      <c r="B39" s="329"/>
      <c r="C39" s="353"/>
      <c r="D39" s="353"/>
      <c r="E39" s="329"/>
      <c r="F39" s="350"/>
      <c r="G39" s="335"/>
      <c r="H39" s="346"/>
      <c r="I39" s="337"/>
      <c r="J39" s="571"/>
      <c r="K39" s="341"/>
      <c r="L39" s="344"/>
      <c r="M39" s="344"/>
      <c r="N39" s="344"/>
      <c r="O39" s="564"/>
      <c r="P39" s="581">
        <v>38</v>
      </c>
      <c r="Q39" s="445">
        <v>0</v>
      </c>
      <c r="R39" s="512">
        <v>0</v>
      </c>
      <c r="S39" s="518">
        <v>0</v>
      </c>
      <c r="T39" s="389">
        <v>0</v>
      </c>
      <c r="U39" s="481">
        <v>0</v>
      </c>
      <c r="V39" s="482">
        <v>0</v>
      </c>
      <c r="W39" s="281">
        <v>0</v>
      </c>
      <c r="X39" s="281">
        <v>0</v>
      </c>
      <c r="Y39" s="497">
        <v>0</v>
      </c>
      <c r="Z39" s="281">
        <v>0</v>
      </c>
      <c r="AA39" s="405"/>
    </row>
    <row r="40" spans="1:29" ht="12.75" hidden="1" customHeight="1">
      <c r="A40" s="435" t="s">
        <v>578</v>
      </c>
      <c r="B40" s="391"/>
      <c r="C40" s="392"/>
      <c r="D40" s="392"/>
      <c r="E40" s="391"/>
      <c r="F40" s="393"/>
      <c r="G40" s="367"/>
      <c r="H40" s="368"/>
      <c r="I40" s="338"/>
      <c r="J40" s="577"/>
      <c r="K40" s="342"/>
      <c r="L40" s="394"/>
      <c r="M40" s="394"/>
      <c r="N40" s="394"/>
      <c r="O40" s="566"/>
      <c r="P40" s="582">
        <v>39</v>
      </c>
      <c r="Q40" s="446">
        <v>0</v>
      </c>
      <c r="R40" s="514">
        <v>0</v>
      </c>
      <c r="S40" s="523">
        <v>0</v>
      </c>
      <c r="T40" s="388">
        <v>0</v>
      </c>
      <c r="U40" s="480">
        <v>0</v>
      </c>
      <c r="V40" s="483">
        <v>0</v>
      </c>
      <c r="W40" s="395">
        <v>0</v>
      </c>
      <c r="X40" s="395">
        <v>0</v>
      </c>
      <c r="Y40" s="498">
        <v>0</v>
      </c>
      <c r="Z40" s="395">
        <v>0</v>
      </c>
      <c r="AA40" s="405"/>
    </row>
    <row r="41" spans="1:29" ht="12.75" hidden="1" customHeight="1">
      <c r="A41" s="470" t="s">
        <v>585</v>
      </c>
      <c r="B41" s="467"/>
      <c r="C41" s="471"/>
      <c r="D41" s="471"/>
      <c r="E41" s="467"/>
      <c r="F41" s="472"/>
      <c r="G41" s="459"/>
      <c r="H41" s="460"/>
      <c r="I41" s="461"/>
      <c r="J41" s="573"/>
      <c r="K41" s="463"/>
      <c r="L41" s="462"/>
      <c r="M41" s="462"/>
      <c r="N41" s="462"/>
      <c r="O41" s="565"/>
      <c r="P41" s="581">
        <v>40</v>
      </c>
      <c r="Q41" s="595">
        <v>0</v>
      </c>
      <c r="R41" s="515">
        <v>0</v>
      </c>
      <c r="S41" s="520">
        <v>0</v>
      </c>
      <c r="T41" s="473">
        <v>0</v>
      </c>
      <c r="U41" s="481">
        <v>0</v>
      </c>
      <c r="V41" s="482">
        <v>0</v>
      </c>
      <c r="W41" s="534">
        <v>0</v>
      </c>
      <c r="X41" s="534">
        <v>0</v>
      </c>
      <c r="Y41" s="535">
        <v>0</v>
      </c>
      <c r="Z41" s="536">
        <v>0</v>
      </c>
      <c r="AA41" s="405"/>
    </row>
    <row r="42" spans="1:29" ht="12.75" hidden="1" customHeight="1">
      <c r="A42" s="487" t="s">
        <v>335</v>
      </c>
      <c r="B42" s="399"/>
      <c r="C42" s="330"/>
      <c r="D42" s="416"/>
      <c r="E42" s="399"/>
      <c r="F42" s="417"/>
      <c r="G42" s="348"/>
      <c r="H42" s="347"/>
      <c r="I42" s="339"/>
      <c r="J42" s="574"/>
      <c r="K42" s="343"/>
      <c r="L42" s="410"/>
      <c r="M42" s="343"/>
      <c r="N42" s="410"/>
      <c r="O42" s="563"/>
      <c r="P42" s="582">
        <v>41</v>
      </c>
      <c r="Q42" s="448">
        <v>0</v>
      </c>
      <c r="R42" s="511">
        <v>0</v>
      </c>
      <c r="S42" s="521">
        <v>0</v>
      </c>
      <c r="T42" s="390">
        <v>0</v>
      </c>
      <c r="U42" s="480">
        <v>0</v>
      </c>
      <c r="V42" s="483">
        <v>0</v>
      </c>
      <c r="W42" s="533">
        <v>0</v>
      </c>
      <c r="X42" s="326">
        <v>0</v>
      </c>
      <c r="Y42" s="499">
        <f>(C43*(1-$V$1))-D42</f>
        <v>0</v>
      </c>
      <c r="Z42" s="617">
        <f>($F42/100*$X$1)-($F43/100*$W$1)+($F43/100*$W$1*($AE$1*$AD$1))</f>
        <v>0</v>
      </c>
      <c r="AA42" s="685" t="str">
        <f>MID($A42,1,5)</f>
        <v xml:space="preserve">GGAL </v>
      </c>
    </row>
    <row r="43" spans="1:29" ht="12.75" hidden="1" customHeight="1">
      <c r="A43" s="598" t="s">
        <v>336</v>
      </c>
      <c r="B43" s="475"/>
      <c r="C43" s="476"/>
      <c r="D43" s="476"/>
      <c r="E43" s="475"/>
      <c r="F43" s="421"/>
      <c r="G43" s="411"/>
      <c r="H43" s="412"/>
      <c r="I43" s="413"/>
      <c r="J43" s="576"/>
      <c r="K43" s="414"/>
      <c r="L43" s="418"/>
      <c r="M43" s="414"/>
      <c r="N43" s="418"/>
      <c r="O43" s="567"/>
      <c r="P43" s="581">
        <v>42</v>
      </c>
      <c r="Q43" s="447">
        <v>0</v>
      </c>
      <c r="R43" s="516">
        <v>0</v>
      </c>
      <c r="S43" s="524">
        <v>0</v>
      </c>
      <c r="T43" s="419">
        <v>0</v>
      </c>
      <c r="U43" s="481">
        <v>0</v>
      </c>
      <c r="V43" s="482">
        <v>0</v>
      </c>
      <c r="W43" s="477">
        <v>0</v>
      </c>
      <c r="X43" s="430">
        <v>0</v>
      </c>
      <c r="Y43" s="500">
        <f>IFERROR(((C43-D42)/100)/D42*100,0)</f>
        <v>0</v>
      </c>
      <c r="Z43" s="618">
        <f>$F43/100*$W$1*($AE$1*$AD$1)</f>
        <v>0</v>
      </c>
      <c r="AA43" s="691"/>
    </row>
    <row r="44" spans="1:29" ht="12.75" hidden="1" customHeight="1">
      <c r="A44" s="487" t="s">
        <v>622</v>
      </c>
      <c r="B44" s="399"/>
      <c r="C44" s="330"/>
      <c r="D44" s="416"/>
      <c r="E44" s="399"/>
      <c r="F44" s="541"/>
      <c r="G44" s="348"/>
      <c r="H44" s="347"/>
      <c r="I44" s="339"/>
      <c r="J44" s="574"/>
      <c r="K44" s="343"/>
      <c r="L44" s="410"/>
      <c r="M44" s="343"/>
      <c r="N44" s="410"/>
      <c r="O44" s="563"/>
      <c r="P44" s="582">
        <v>43</v>
      </c>
      <c r="Q44" s="448">
        <v>0</v>
      </c>
      <c r="R44" s="511">
        <v>0</v>
      </c>
      <c r="S44" s="521">
        <v>0</v>
      </c>
      <c r="T44" s="390">
        <v>0</v>
      </c>
      <c r="U44" s="480">
        <v>0</v>
      </c>
      <c r="V44" s="483">
        <v>0</v>
      </c>
      <c r="W44" s="542">
        <v>0</v>
      </c>
      <c r="X44" s="543">
        <v>0</v>
      </c>
      <c r="Y44" s="546">
        <f>($F45*(1-$V$1))-$F44</f>
        <v>0</v>
      </c>
      <c r="Z44" s="619">
        <f>($F44/100*$X$1)-($F45/100*$W$1)+($F45/100*$W$1*($AE$1*$AD$1))</f>
        <v>0</v>
      </c>
      <c r="AA44" s="687" t="str">
        <f>MID($A44,1,5)</f>
        <v xml:space="preserve">PAMP </v>
      </c>
    </row>
    <row r="45" spans="1:29" ht="12.75" hidden="1" customHeight="1">
      <c r="A45" s="486" t="s">
        <v>623</v>
      </c>
      <c r="B45" s="599"/>
      <c r="C45" s="600"/>
      <c r="D45" s="600"/>
      <c r="E45" s="599"/>
      <c r="F45" s="601"/>
      <c r="G45" s="459"/>
      <c r="H45" s="460"/>
      <c r="I45" s="461"/>
      <c r="J45" s="573"/>
      <c r="K45" s="463"/>
      <c r="L45" s="462"/>
      <c r="M45" s="463"/>
      <c r="N45" s="462"/>
      <c r="O45" s="602"/>
      <c r="P45" s="583">
        <v>44</v>
      </c>
      <c r="Q45" s="595">
        <v>0</v>
      </c>
      <c r="R45" s="515">
        <v>0</v>
      </c>
      <c r="S45" s="520">
        <v>0</v>
      </c>
      <c r="T45" s="473">
        <v>0</v>
      </c>
      <c r="U45" s="481">
        <v>0</v>
      </c>
      <c r="V45" s="482">
        <v>0</v>
      </c>
      <c r="W45" s="604">
        <v>0</v>
      </c>
      <c r="X45" s="605">
        <v>0</v>
      </c>
      <c r="Y45" s="606">
        <f>IFERROR((($F45-$F44)/100)/$F44*100,0)</f>
        <v>0</v>
      </c>
      <c r="Z45" s="620">
        <f>$F45/100*$W$1*($AE$1*$AD$1)</f>
        <v>0</v>
      </c>
      <c r="AA45" s="688"/>
    </row>
    <row r="46" spans="1:29" ht="12.75" customHeight="1">
      <c r="A46" s="487" t="s">
        <v>13</v>
      </c>
      <c r="B46" s="397">
        <v>164</v>
      </c>
      <c r="C46" s="330">
        <v>32120</v>
      </c>
      <c r="D46" s="420">
        <v>32125</v>
      </c>
      <c r="E46" s="649">
        <v>880</v>
      </c>
      <c r="F46" s="660">
        <v>32124</v>
      </c>
      <c r="G46" s="348">
        <v>-1.15E-2</v>
      </c>
      <c r="H46" s="347">
        <v>33470</v>
      </c>
      <c r="I46" s="339">
        <v>33470</v>
      </c>
      <c r="J46" s="574">
        <v>31088</v>
      </c>
      <c r="K46" s="343">
        <v>32500</v>
      </c>
      <c r="L46" s="410">
        <v>70975110482</v>
      </c>
      <c r="M46" s="343">
        <v>220663556</v>
      </c>
      <c r="N46" s="410">
        <v>91639</v>
      </c>
      <c r="O46" s="563">
        <v>45264.687824074077</v>
      </c>
      <c r="P46" s="582">
        <v>45</v>
      </c>
      <c r="Q46" s="448">
        <v>0</v>
      </c>
      <c r="R46" s="511">
        <v>0</v>
      </c>
      <c r="S46" s="521">
        <v>0</v>
      </c>
      <c r="T46" s="390">
        <v>0</v>
      </c>
      <c r="U46" s="480">
        <v>0</v>
      </c>
      <c r="V46" s="670">
        <v>0</v>
      </c>
      <c r="W46" s="674" t="str">
        <f>IF(X46&gt;0,(F46*V46/100)-(V46*X46),"")</f>
        <v/>
      </c>
      <c r="X46" s="674">
        <v>0</v>
      </c>
      <c r="Y46" s="603">
        <f>($C47*(1-$V$1))-$D46</f>
        <v>-5</v>
      </c>
      <c r="Z46" s="621">
        <f>($F46/100*$X$1)-($F47/100*$W$1)+($F47/100*$W$1*($AE$1*$AD$1))</f>
        <v>1.6768000000000205</v>
      </c>
      <c r="AA46" s="692" t="str">
        <f>MID($A46,1,5)</f>
        <v xml:space="preserve">AL30 </v>
      </c>
      <c r="AB46" s="38"/>
      <c r="AC46" s="396"/>
    </row>
    <row r="47" spans="1:29" ht="12.75" customHeight="1">
      <c r="A47" s="485" t="s">
        <v>2</v>
      </c>
      <c r="B47" s="357">
        <v>34808</v>
      </c>
      <c r="C47" s="359">
        <v>32120</v>
      </c>
      <c r="D47" s="359">
        <v>32125</v>
      </c>
      <c r="E47" s="650">
        <v>50000</v>
      </c>
      <c r="F47" s="661">
        <v>32120</v>
      </c>
      <c r="G47" s="335">
        <v>-1.3500000000000002E-2</v>
      </c>
      <c r="H47" s="346">
        <v>32800</v>
      </c>
      <c r="I47" s="337">
        <v>33460</v>
      </c>
      <c r="J47" s="571">
        <v>31280</v>
      </c>
      <c r="K47" s="341">
        <v>32560</v>
      </c>
      <c r="L47" s="344">
        <v>80262289145</v>
      </c>
      <c r="M47" s="341">
        <v>248417976</v>
      </c>
      <c r="N47" s="344">
        <v>44052</v>
      </c>
      <c r="O47" s="564">
        <v>45264.708437499998</v>
      </c>
      <c r="P47" s="581">
        <v>46</v>
      </c>
      <c r="Q47" s="445">
        <v>0</v>
      </c>
      <c r="R47" s="512">
        <v>0</v>
      </c>
      <c r="S47" s="518">
        <v>0</v>
      </c>
      <c r="T47" s="389">
        <v>0</v>
      </c>
      <c r="U47" s="481">
        <v>0</v>
      </c>
      <c r="V47" s="671">
        <v>0</v>
      </c>
      <c r="W47" s="675" t="str">
        <f>IF(X47&gt;0,(F47*V47/100)-(V47*X47),"")</f>
        <v/>
      </c>
      <c r="X47" s="675">
        <v>0</v>
      </c>
      <c r="Y47" s="547">
        <f>IFERROR((($C47-$D46)/100)/$D46*100,0)</f>
        <v>-1.5564202334630351E-4</v>
      </c>
      <c r="Z47" s="622">
        <f>$F47/100*$W$1*($AE$1*$AD$1)</f>
        <v>1.6368</v>
      </c>
      <c r="AA47" s="686"/>
      <c r="AB47" s="38"/>
      <c r="AC47" s="402"/>
    </row>
    <row r="48" spans="1:29" ht="12.75" customHeight="1">
      <c r="A48" s="376" t="s">
        <v>15</v>
      </c>
      <c r="B48" s="364">
        <v>800</v>
      </c>
      <c r="C48" s="365">
        <v>36</v>
      </c>
      <c r="D48" s="365">
        <v>36.9</v>
      </c>
      <c r="E48" s="364">
        <v>50000</v>
      </c>
      <c r="F48" s="366">
        <v>36.89</v>
      </c>
      <c r="G48" s="367">
        <v>2.18E-2</v>
      </c>
      <c r="H48" s="368">
        <v>35.5</v>
      </c>
      <c r="I48" s="338">
        <v>37</v>
      </c>
      <c r="J48" s="577">
        <v>34.5</v>
      </c>
      <c r="K48" s="342">
        <v>36.1</v>
      </c>
      <c r="L48" s="394">
        <v>935708</v>
      </c>
      <c r="M48" s="342">
        <v>2644831</v>
      </c>
      <c r="N48" s="394">
        <v>493</v>
      </c>
      <c r="O48" s="566">
        <v>45264.685127314813</v>
      </c>
      <c r="P48" s="582">
        <v>47</v>
      </c>
      <c r="Q48" s="446">
        <v>0</v>
      </c>
      <c r="R48" s="514">
        <v>0</v>
      </c>
      <c r="S48" s="523">
        <v>0</v>
      </c>
      <c r="T48" s="388">
        <v>0</v>
      </c>
      <c r="U48" s="480">
        <v>0</v>
      </c>
      <c r="V48" s="673">
        <v>0</v>
      </c>
      <c r="W48" s="674" t="str">
        <f t="shared" ref="W48:W51" si="31">IF(X48&gt;0,(F48*V48/100)-(V48*X48),"")</f>
        <v/>
      </c>
      <c r="X48" s="676">
        <v>0</v>
      </c>
      <c r="Y48" s="531">
        <f>($F49*(1-$V$1))-$F48</f>
        <v>-1.8299999999999983</v>
      </c>
      <c r="Z48" s="623">
        <f>IFERROR(F46/F48,0)</f>
        <v>870.80509623204114</v>
      </c>
      <c r="AA48" s="629">
        <f>IFERROR($AB$1/(F48/100)*(F46/100),"")</f>
        <v>457172.67552182166</v>
      </c>
      <c r="AB48" s="436">
        <f>IFERROR((AA48/(F46/100))*(F48/100),"")</f>
        <v>525</v>
      </c>
      <c r="AC48" s="402"/>
    </row>
    <row r="49" spans="1:29" ht="12.75" customHeight="1">
      <c r="A49" s="355" t="s">
        <v>3</v>
      </c>
      <c r="B49" s="356">
        <v>17870</v>
      </c>
      <c r="C49" s="358">
        <v>35.049999999999997</v>
      </c>
      <c r="D49" s="358">
        <v>35.06</v>
      </c>
      <c r="E49" s="356">
        <v>692</v>
      </c>
      <c r="F49" s="360">
        <v>35.06</v>
      </c>
      <c r="G49" s="335">
        <v>1.7000000000000001E-3</v>
      </c>
      <c r="H49" s="346">
        <v>36</v>
      </c>
      <c r="I49" s="337">
        <v>36.299999999999997</v>
      </c>
      <c r="J49" s="571">
        <v>34.6</v>
      </c>
      <c r="K49" s="341">
        <v>35</v>
      </c>
      <c r="L49" s="344">
        <v>160090</v>
      </c>
      <c r="M49" s="341">
        <v>455582</v>
      </c>
      <c r="N49" s="344">
        <v>92</v>
      </c>
      <c r="O49" s="564">
        <v>45264.701111111113</v>
      </c>
      <c r="P49" s="581">
        <v>48</v>
      </c>
      <c r="Q49" s="445">
        <v>0</v>
      </c>
      <c r="R49" s="512">
        <v>0</v>
      </c>
      <c r="S49" s="518">
        <v>0</v>
      </c>
      <c r="T49" s="389">
        <v>0</v>
      </c>
      <c r="U49" s="481">
        <v>0</v>
      </c>
      <c r="V49" s="672">
        <v>0</v>
      </c>
      <c r="W49" s="675" t="str">
        <f t="shared" si="31"/>
        <v/>
      </c>
      <c r="X49" s="675">
        <v>0</v>
      </c>
      <c r="Y49" s="545">
        <f>IFERROR((($F49-$F48)/100)/$F48*100,0)</f>
        <v>-4.9606939550013503E-2</v>
      </c>
      <c r="Z49" s="624">
        <f>IFERROR(F47/F49,0)</f>
        <v>916.1437535653165</v>
      </c>
      <c r="AA49" s="630">
        <f>IFERROR($AB$1/(F49/100)*(F47/100),"")</f>
        <v>480975.47062179114</v>
      </c>
      <c r="AB49" s="436">
        <f>IFERROR((AA49/(F47/100))*(F49/100),"")</f>
        <v>525</v>
      </c>
      <c r="AC49" s="402"/>
    </row>
    <row r="50" spans="1:29" ht="12.75" customHeight="1">
      <c r="A50" s="376" t="s">
        <v>14</v>
      </c>
      <c r="B50" s="369">
        <v>82391</v>
      </c>
      <c r="C50" s="365">
        <v>34.799999999999997</v>
      </c>
      <c r="D50" s="365">
        <v>34.85</v>
      </c>
      <c r="E50" s="369">
        <v>13131</v>
      </c>
      <c r="F50" s="366">
        <v>34.799999999999997</v>
      </c>
      <c r="G50" s="367">
        <v>-2.8000000000000004E-3</v>
      </c>
      <c r="H50" s="368">
        <v>33.999000000000002</v>
      </c>
      <c r="I50" s="338">
        <v>35.5</v>
      </c>
      <c r="J50" s="577">
        <v>33.999000000000002</v>
      </c>
      <c r="K50" s="342">
        <v>34.9</v>
      </c>
      <c r="L50" s="394">
        <v>43595379</v>
      </c>
      <c r="M50" s="342">
        <v>124905280</v>
      </c>
      <c r="N50" s="394">
        <v>41547</v>
      </c>
      <c r="O50" s="566">
        <v>45264.687581018516</v>
      </c>
      <c r="P50" s="582">
        <v>49</v>
      </c>
      <c r="Q50" s="446">
        <v>0</v>
      </c>
      <c r="R50" s="514">
        <v>0</v>
      </c>
      <c r="S50" s="523">
        <v>0</v>
      </c>
      <c r="T50" s="388">
        <v>0</v>
      </c>
      <c r="U50" s="480">
        <v>0</v>
      </c>
      <c r="V50" s="662">
        <v>0</v>
      </c>
      <c r="W50" s="674" t="str">
        <f t="shared" si="31"/>
        <v/>
      </c>
      <c r="X50" s="676">
        <v>0</v>
      </c>
      <c r="Y50" s="532">
        <f>($C51*(1-$V$1))-$D50</f>
        <v>-5.0000000000004263E-2</v>
      </c>
      <c r="Z50" s="625">
        <f>IFERROR(F46/F50,0)</f>
        <v>923.10344827586209</v>
      </c>
      <c r="AA50" s="629">
        <f>IFERROR($AB$1/(F50/100)*(F46/100),"")</f>
        <v>484629.31034482765</v>
      </c>
      <c r="AB50" s="436">
        <f>IFERROR((AA50/(F46/100))*(F50/100),"")</f>
        <v>525</v>
      </c>
      <c r="AC50" s="402"/>
    </row>
    <row r="51" spans="1:29" ht="12.75" customHeight="1">
      <c r="A51" s="425" t="s">
        <v>4</v>
      </c>
      <c r="B51" s="426">
        <v>76289</v>
      </c>
      <c r="C51" s="427">
        <v>34.799999999999997</v>
      </c>
      <c r="D51" s="427">
        <v>34.83</v>
      </c>
      <c r="E51" s="426">
        <v>4415</v>
      </c>
      <c r="F51" s="421">
        <v>34.83</v>
      </c>
      <c r="G51" s="411">
        <v>8.0000000000000004E-4</v>
      </c>
      <c r="H51" s="412">
        <v>34.6</v>
      </c>
      <c r="I51" s="413">
        <v>35.200000000000003</v>
      </c>
      <c r="J51" s="576">
        <v>34.25</v>
      </c>
      <c r="K51" s="414">
        <v>34.799999999999997</v>
      </c>
      <c r="L51" s="418">
        <v>33375447</v>
      </c>
      <c r="M51" s="414">
        <v>95822327</v>
      </c>
      <c r="N51" s="418">
        <v>35456</v>
      </c>
      <c r="O51" s="567">
        <v>45264.70853009259</v>
      </c>
      <c r="P51" s="581">
        <v>50</v>
      </c>
      <c r="Q51" s="447">
        <v>0</v>
      </c>
      <c r="R51" s="516">
        <v>0</v>
      </c>
      <c r="S51" s="524">
        <v>0</v>
      </c>
      <c r="T51" s="419">
        <v>0</v>
      </c>
      <c r="U51" s="481">
        <v>0</v>
      </c>
      <c r="V51" s="482">
        <v>0</v>
      </c>
      <c r="W51" s="678" t="str">
        <f t="shared" si="31"/>
        <v/>
      </c>
      <c r="X51" s="677">
        <v>0</v>
      </c>
      <c r="Y51" s="544">
        <f>IFERROR((($F51-$F50)/100)/$F50*100,0)</f>
        <v>8.6206896551727411E-4</v>
      </c>
      <c r="Z51" s="626">
        <f>IFERROR(F47/F51,0)</f>
        <v>922.19351134079818</v>
      </c>
      <c r="AA51" s="631">
        <f>IFERROR($AB$1/(F51/100)*(F47/100),"")</f>
        <v>484151.59345391905</v>
      </c>
      <c r="AB51" s="436">
        <f>IFERROR((AA51/(F47/100))*(F51/100),"")</f>
        <v>525</v>
      </c>
      <c r="AC51" s="402"/>
    </row>
    <row r="52" spans="1:29" ht="12.75" customHeight="1">
      <c r="A52" s="487" t="s">
        <v>16</v>
      </c>
      <c r="B52" s="397">
        <v>534</v>
      </c>
      <c r="C52" s="330">
        <v>35042</v>
      </c>
      <c r="D52" s="420">
        <v>35277</v>
      </c>
      <c r="E52" s="397">
        <v>400</v>
      </c>
      <c r="F52" s="660">
        <v>35100</v>
      </c>
      <c r="G52" s="424">
        <v>8.6E-3</v>
      </c>
      <c r="H52" s="347">
        <v>35650</v>
      </c>
      <c r="I52" s="339">
        <v>36000</v>
      </c>
      <c r="J52" s="574">
        <v>33460</v>
      </c>
      <c r="K52" s="343">
        <v>34800</v>
      </c>
      <c r="L52" s="410">
        <v>3887308459</v>
      </c>
      <c r="M52" s="343">
        <v>11163176</v>
      </c>
      <c r="N52" s="410">
        <v>5758</v>
      </c>
      <c r="O52" s="563">
        <v>45264.6875462963</v>
      </c>
      <c r="P52" s="582">
        <v>51</v>
      </c>
      <c r="Q52" s="448">
        <v>0</v>
      </c>
      <c r="R52" s="511">
        <v>0</v>
      </c>
      <c r="S52" s="521">
        <v>0</v>
      </c>
      <c r="T52" s="390">
        <v>0</v>
      </c>
      <c r="U52" s="480">
        <v>0</v>
      </c>
      <c r="V52" s="670">
        <v>0</v>
      </c>
      <c r="W52" s="674" t="str">
        <f>IF(X52&gt;0,(F52*V52/100)-(V52*X52),"")</f>
        <v/>
      </c>
      <c r="X52" s="674">
        <v>0</v>
      </c>
      <c r="Y52" s="603">
        <f>($C53*(1-$V$1))-$D52</f>
        <v>24</v>
      </c>
      <c r="Z52" s="621">
        <f>($F52/100*$X$1)-($F53/100*$W$1)+($F53/100*$W$1*($AE$1*$AD$1))</f>
        <v>-0.54936712328769377</v>
      </c>
      <c r="AA52" s="685" t="str">
        <f>MID($A52,1,5)</f>
        <v xml:space="preserve">GD30 </v>
      </c>
      <c r="AB52" s="38"/>
      <c r="AC52" s="402"/>
    </row>
    <row r="53" spans="1:29" ht="12.75" customHeight="1">
      <c r="A53" s="485" t="s">
        <v>5</v>
      </c>
      <c r="B53" s="357">
        <v>5000</v>
      </c>
      <c r="C53" s="359">
        <v>35301</v>
      </c>
      <c r="D53" s="359">
        <v>35335</v>
      </c>
      <c r="E53" s="357">
        <v>4102</v>
      </c>
      <c r="F53" s="661">
        <v>35335</v>
      </c>
      <c r="G53" s="361">
        <v>1E-3</v>
      </c>
      <c r="H53" s="346">
        <v>36289</v>
      </c>
      <c r="I53" s="337">
        <v>36289</v>
      </c>
      <c r="J53" s="571">
        <v>33800</v>
      </c>
      <c r="K53" s="341">
        <v>35299.5</v>
      </c>
      <c r="L53" s="344">
        <v>21786202257</v>
      </c>
      <c r="M53" s="341">
        <v>62036125</v>
      </c>
      <c r="N53" s="344">
        <v>6585</v>
      </c>
      <c r="O53" s="564">
        <v>45264.708368055559</v>
      </c>
      <c r="P53" s="581">
        <v>52</v>
      </c>
      <c r="Q53" s="445">
        <v>0</v>
      </c>
      <c r="R53" s="512">
        <v>0</v>
      </c>
      <c r="S53" s="518">
        <v>0</v>
      </c>
      <c r="T53" s="389">
        <v>0</v>
      </c>
      <c r="U53" s="481">
        <v>0</v>
      </c>
      <c r="V53" s="671">
        <v>0</v>
      </c>
      <c r="W53" s="675" t="str">
        <f>IF(X53&gt;0,(F53*V53/100)-(V53*X53),"")</f>
        <v/>
      </c>
      <c r="X53" s="675">
        <v>0</v>
      </c>
      <c r="Y53" s="547">
        <f>IFERROR((($C53-$D52)/100)/$D52*100,0)</f>
        <v>6.8032996003061482E-4</v>
      </c>
      <c r="Z53" s="622">
        <f>$F53/100*$W$1*($AE$1*$AD$1)</f>
        <v>1.800632876712329</v>
      </c>
      <c r="AA53" s="686"/>
      <c r="AB53" s="38"/>
      <c r="AC53" s="402"/>
    </row>
    <row r="54" spans="1:29" ht="12.75" customHeight="1">
      <c r="A54" s="376" t="s">
        <v>17</v>
      </c>
      <c r="B54" s="364">
        <v>856</v>
      </c>
      <c r="C54" s="365">
        <v>40</v>
      </c>
      <c r="D54" s="365">
        <v>40.5</v>
      </c>
      <c r="E54" s="364">
        <v>72775</v>
      </c>
      <c r="F54" s="366">
        <v>40.5</v>
      </c>
      <c r="G54" s="367">
        <v>2.3999999999999998E-3</v>
      </c>
      <c r="H54" s="368">
        <v>41.348999999999997</v>
      </c>
      <c r="I54" s="338">
        <v>41.9</v>
      </c>
      <c r="J54" s="577">
        <v>38.906999999999996</v>
      </c>
      <c r="K54" s="342">
        <v>40.4</v>
      </c>
      <c r="L54" s="394">
        <v>88688</v>
      </c>
      <c r="M54" s="342">
        <v>215390</v>
      </c>
      <c r="N54" s="394">
        <v>133</v>
      </c>
      <c r="O54" s="566">
        <v>45264.687754629631</v>
      </c>
      <c r="P54" s="582">
        <v>53</v>
      </c>
      <c r="Q54" s="446">
        <v>0</v>
      </c>
      <c r="R54" s="514">
        <v>0</v>
      </c>
      <c r="S54" s="523">
        <v>0</v>
      </c>
      <c r="T54" s="388">
        <v>0</v>
      </c>
      <c r="U54" s="480">
        <v>0</v>
      </c>
      <c r="V54" s="673">
        <v>0</v>
      </c>
      <c r="W54" s="674" t="str">
        <f t="shared" ref="W54:W117" si="32">IF(X54&gt;0,(F54*V54/100)-(V54*X54),"")</f>
        <v/>
      </c>
      <c r="X54" s="676">
        <v>0</v>
      </c>
      <c r="Y54" s="531">
        <f>($F55*(1-$V$1))-$F54</f>
        <v>-0.5</v>
      </c>
      <c r="Z54" s="623">
        <f>IFERROR(F52/F54,0)</f>
        <v>866.66666666666663</v>
      </c>
      <c r="AA54" s="629">
        <f>IFERROR($AB$1/(F54/100)*(F52/100),"")</f>
        <v>455000</v>
      </c>
      <c r="AB54" s="436">
        <f>IFERROR((AA54/(F52/100))*(F54/100),"")</f>
        <v>525</v>
      </c>
      <c r="AC54" s="402"/>
    </row>
    <row r="55" spans="1:29" ht="12.75" customHeight="1">
      <c r="A55" s="597" t="s">
        <v>6</v>
      </c>
      <c r="B55" s="356">
        <v>5426</v>
      </c>
      <c r="C55" s="358">
        <v>40</v>
      </c>
      <c r="D55" s="358">
        <v>41</v>
      </c>
      <c r="E55" s="356">
        <v>2000</v>
      </c>
      <c r="F55" s="360">
        <v>40</v>
      </c>
      <c r="G55" s="335">
        <v>3.8900000000000004E-2</v>
      </c>
      <c r="H55" s="346">
        <v>39</v>
      </c>
      <c r="I55" s="337">
        <v>40</v>
      </c>
      <c r="J55" s="571">
        <v>39</v>
      </c>
      <c r="K55" s="341">
        <v>38.5</v>
      </c>
      <c r="L55" s="344">
        <v>944</v>
      </c>
      <c r="M55" s="341">
        <v>2391</v>
      </c>
      <c r="N55" s="344">
        <v>5</v>
      </c>
      <c r="O55" s="564">
        <v>45264.69703703704</v>
      </c>
      <c r="P55" s="581">
        <v>54</v>
      </c>
      <c r="Q55" s="445">
        <v>0</v>
      </c>
      <c r="R55" s="512">
        <v>0</v>
      </c>
      <c r="S55" s="518">
        <v>0</v>
      </c>
      <c r="T55" s="389">
        <v>0</v>
      </c>
      <c r="U55" s="481">
        <v>0</v>
      </c>
      <c r="V55" s="672">
        <v>0</v>
      </c>
      <c r="W55" s="675" t="str">
        <f t="shared" si="32"/>
        <v/>
      </c>
      <c r="X55" s="675">
        <v>0</v>
      </c>
      <c r="Y55" s="545">
        <f>IFERROR((($F55-$F54)/100)/$F54*100,0)</f>
        <v>-1.234567901234568E-2</v>
      </c>
      <c r="Z55" s="624">
        <f>IFERROR(F53/F55,0)</f>
        <v>883.375</v>
      </c>
      <c r="AA55" s="630">
        <f>IFERROR($AB$1/(F55/100)*(F53/100),"")</f>
        <v>463771.87500000006</v>
      </c>
      <c r="AB55" s="436">
        <f>IFERROR((AA55/(F53/100))*(F55/100),"")</f>
        <v>525</v>
      </c>
      <c r="AC55" s="402"/>
    </row>
    <row r="56" spans="1:29" ht="12.75" customHeight="1">
      <c r="A56" s="376" t="s">
        <v>18</v>
      </c>
      <c r="B56" s="369">
        <v>2583</v>
      </c>
      <c r="C56" s="365">
        <v>39.799999999999997</v>
      </c>
      <c r="D56" s="365">
        <v>40.5</v>
      </c>
      <c r="E56" s="369">
        <v>15871</v>
      </c>
      <c r="F56" s="366">
        <v>40.499000000000002</v>
      </c>
      <c r="G56" s="367">
        <v>9.01E-2</v>
      </c>
      <c r="H56" s="368">
        <v>38.250999999999998</v>
      </c>
      <c r="I56" s="338">
        <v>40.499000000000002</v>
      </c>
      <c r="J56" s="577">
        <v>36.299999999999997</v>
      </c>
      <c r="K56" s="342">
        <v>37.151000000000003</v>
      </c>
      <c r="L56" s="394">
        <v>2085641</v>
      </c>
      <c r="M56" s="342">
        <v>5295507</v>
      </c>
      <c r="N56" s="394">
        <v>2433</v>
      </c>
      <c r="O56" s="566">
        <v>45264.687523148146</v>
      </c>
      <c r="P56" s="582">
        <v>55</v>
      </c>
      <c r="Q56" s="446">
        <v>0</v>
      </c>
      <c r="R56" s="514">
        <v>0</v>
      </c>
      <c r="S56" s="523">
        <v>0</v>
      </c>
      <c r="T56" s="388">
        <v>0</v>
      </c>
      <c r="U56" s="480">
        <v>0</v>
      </c>
      <c r="V56" s="662">
        <v>23</v>
      </c>
      <c r="W56" s="674">
        <f t="shared" si="32"/>
        <v>0.885270000000002</v>
      </c>
      <c r="X56" s="676">
        <v>0.36649999999999999</v>
      </c>
      <c r="Y56" s="532">
        <f>($F57*(1-$V$1))-$F56</f>
        <v>-1.9390000000000001</v>
      </c>
      <c r="Z56" s="625">
        <f>IFERROR(F52/F56,0)</f>
        <v>866.68806637200919</v>
      </c>
      <c r="AA56" s="629">
        <f>IFERROR($AB$1/(F56/100)*(F52/100),"")</f>
        <v>455011.2348453048</v>
      </c>
      <c r="AB56" s="436">
        <f>IFERROR((AA56/(F52/100))*(F56/100),"")</f>
        <v>525</v>
      </c>
    </row>
    <row r="57" spans="1:29" ht="12.75" customHeight="1">
      <c r="A57" s="488" t="s">
        <v>7</v>
      </c>
      <c r="B57" s="429">
        <v>4025</v>
      </c>
      <c r="C57" s="427">
        <v>38.56</v>
      </c>
      <c r="D57" s="427">
        <v>38.700000000000003</v>
      </c>
      <c r="E57" s="426">
        <v>394</v>
      </c>
      <c r="F57" s="421">
        <v>38.56</v>
      </c>
      <c r="G57" s="411">
        <v>-8.3999999999999995E-3</v>
      </c>
      <c r="H57" s="412">
        <v>37.85</v>
      </c>
      <c r="I57" s="413">
        <v>39</v>
      </c>
      <c r="J57" s="576">
        <v>36.5</v>
      </c>
      <c r="K57" s="414">
        <v>38.89</v>
      </c>
      <c r="L57" s="449">
        <v>537283</v>
      </c>
      <c r="M57" s="414">
        <v>1409401</v>
      </c>
      <c r="N57" s="418">
        <v>595</v>
      </c>
      <c r="O57" s="567">
        <v>45264.708518518521</v>
      </c>
      <c r="P57" s="581">
        <v>56</v>
      </c>
      <c r="Q57" s="447">
        <v>0</v>
      </c>
      <c r="R57" s="516">
        <v>0</v>
      </c>
      <c r="S57" s="524">
        <v>0</v>
      </c>
      <c r="T57" s="419">
        <v>0</v>
      </c>
      <c r="U57" s="481">
        <v>0</v>
      </c>
      <c r="V57" s="482">
        <v>23</v>
      </c>
      <c r="W57" s="678">
        <f t="shared" si="32"/>
        <v>0.43907000000000096</v>
      </c>
      <c r="X57" s="677">
        <v>0.36651</v>
      </c>
      <c r="Y57" s="544">
        <f>IFERROR((($F57-$F56)/100)/$F56*100,0)</f>
        <v>-4.7877725375935209E-2</v>
      </c>
      <c r="Z57" s="626">
        <f>IFERROR(F53/F57,0)</f>
        <v>916.36410788381738</v>
      </c>
      <c r="AA57" s="631">
        <f>IFERROR($AB$1/(F57/100)*(F53/100),"")</f>
        <v>481091.15663900418</v>
      </c>
      <c r="AB57" s="436">
        <f>IFERROR((AA57/(F53/100))*(F57/100),"")</f>
        <v>525</v>
      </c>
    </row>
    <row r="58" spans="1:29" ht="12.75" customHeight="1">
      <c r="A58" s="487" t="s">
        <v>615</v>
      </c>
      <c r="B58" s="397">
        <v>107</v>
      </c>
      <c r="C58" s="330">
        <v>68500</v>
      </c>
      <c r="D58" s="420">
        <v>70199</v>
      </c>
      <c r="E58" s="397">
        <v>312</v>
      </c>
      <c r="F58" s="541">
        <v>70190</v>
      </c>
      <c r="G58" s="348">
        <v>-1.83E-2</v>
      </c>
      <c r="H58" s="347">
        <v>71500</v>
      </c>
      <c r="I58" s="339">
        <v>72199.5</v>
      </c>
      <c r="J58" s="574">
        <v>65200.5</v>
      </c>
      <c r="K58" s="343">
        <v>71500</v>
      </c>
      <c r="L58" s="410">
        <v>25497615</v>
      </c>
      <c r="M58" s="343">
        <v>36699</v>
      </c>
      <c r="N58" s="410">
        <v>201</v>
      </c>
      <c r="O58" s="563">
        <v>45264.685196759259</v>
      </c>
      <c r="P58" s="582">
        <v>57</v>
      </c>
      <c r="Q58" s="448">
        <v>0</v>
      </c>
      <c r="R58" s="511">
        <v>0</v>
      </c>
      <c r="S58" s="521">
        <v>0</v>
      </c>
      <c r="T58" s="390">
        <v>0</v>
      </c>
      <c r="U58" s="480">
        <v>0</v>
      </c>
      <c r="V58" s="670">
        <v>380</v>
      </c>
      <c r="W58" s="674">
        <f t="shared" si="32"/>
        <v>5004.6000000000058</v>
      </c>
      <c r="X58" s="674">
        <v>688.73</v>
      </c>
      <c r="Y58" s="603">
        <f>($C59*(1-$V$1))-$D58</f>
        <v>21</v>
      </c>
      <c r="Z58" s="621">
        <f>($F58/100*$X$1)-($F59/100*$W$1)+($F59/100*$W$1*($AE$1*$AD$1))</f>
        <v>3.2783342465752749</v>
      </c>
      <c r="AA58" s="685" t="str">
        <f>MID($A58,1,5)</f>
        <v>MRCAO</v>
      </c>
      <c r="AB58" s="38"/>
      <c r="AC58"/>
    </row>
    <row r="59" spans="1:29" ht="12.75" customHeight="1">
      <c r="A59" s="485" t="s">
        <v>616</v>
      </c>
      <c r="B59" s="398">
        <v>30</v>
      </c>
      <c r="C59" s="359">
        <v>70220</v>
      </c>
      <c r="D59" s="359">
        <v>70234</v>
      </c>
      <c r="E59" s="357">
        <v>910</v>
      </c>
      <c r="F59" s="360">
        <v>70220</v>
      </c>
      <c r="G59" s="335">
        <v>-3.9000000000000003E-3</v>
      </c>
      <c r="H59" s="346">
        <v>70500</v>
      </c>
      <c r="I59" s="337">
        <v>72449</v>
      </c>
      <c r="J59" s="571">
        <v>68300</v>
      </c>
      <c r="K59" s="341">
        <v>70500</v>
      </c>
      <c r="L59" s="344">
        <v>366194279</v>
      </c>
      <c r="M59" s="341">
        <v>523802</v>
      </c>
      <c r="N59" s="344">
        <v>1217</v>
      </c>
      <c r="O59" s="564">
        <v>45264.708379629628</v>
      </c>
      <c r="P59" s="581">
        <v>58</v>
      </c>
      <c r="Q59" s="445">
        <v>0</v>
      </c>
      <c r="R59" s="512">
        <v>0</v>
      </c>
      <c r="S59" s="518">
        <v>0</v>
      </c>
      <c r="T59" s="389">
        <v>0</v>
      </c>
      <c r="U59" s="481">
        <v>0</v>
      </c>
      <c r="V59" s="671">
        <v>380</v>
      </c>
      <c r="W59" s="675">
        <f t="shared" si="32"/>
        <v>5118.6000000000058</v>
      </c>
      <c r="X59" s="675">
        <v>688.73</v>
      </c>
      <c r="Y59" s="547">
        <f>IFERROR((($C59-$D58)/100)/$D58*100,0)</f>
        <v>2.9914956053505036E-4</v>
      </c>
      <c r="Z59" s="622">
        <f>$F59/100*$W$1*($AE$1*$AD$1)</f>
        <v>3.5783342465753432</v>
      </c>
      <c r="AA59" s="686"/>
      <c r="AB59" s="38"/>
      <c r="AC59"/>
    </row>
    <row r="60" spans="1:29" ht="12.75" customHeight="1">
      <c r="A60" s="376" t="s">
        <v>618</v>
      </c>
      <c r="B60" s="399"/>
      <c r="C60" s="365"/>
      <c r="D60" s="365"/>
      <c r="E60" s="364"/>
      <c r="F60" s="366"/>
      <c r="G60" s="367"/>
      <c r="H60" s="368"/>
      <c r="I60" s="338"/>
      <c r="J60" s="577"/>
      <c r="K60" s="342">
        <v>72.757000000000005</v>
      </c>
      <c r="L60" s="394"/>
      <c r="M60" s="342"/>
      <c r="N60" s="394"/>
      <c r="O60" s="566"/>
      <c r="P60" s="582">
        <v>59</v>
      </c>
      <c r="Q60" s="446">
        <v>0</v>
      </c>
      <c r="R60" s="514">
        <v>0</v>
      </c>
      <c r="S60" s="523">
        <v>0</v>
      </c>
      <c r="T60" s="388">
        <v>0</v>
      </c>
      <c r="U60" s="480">
        <v>0</v>
      </c>
      <c r="V60" s="673">
        <v>0</v>
      </c>
      <c r="W60" s="674" t="str">
        <f t="shared" si="32"/>
        <v/>
      </c>
      <c r="X60" s="676">
        <v>0</v>
      </c>
      <c r="Y60" s="531">
        <f>($F61*(1-$V$1))-$F60</f>
        <v>0</v>
      </c>
      <c r="Z60" s="623">
        <f>IFERROR(F58/F60,0)</f>
        <v>0</v>
      </c>
      <c r="AA60" s="629" t="str">
        <f>IFERROR($AB$1/(F60/100)*(F58/100),"")</f>
        <v/>
      </c>
      <c r="AB60" s="436" t="str">
        <f>IFERROR((AA60/(F58/100))*(F60/100),"")</f>
        <v/>
      </c>
      <c r="AC60"/>
    </row>
    <row r="61" spans="1:29" ht="12.75" customHeight="1">
      <c r="A61" s="597" t="s">
        <v>619</v>
      </c>
      <c r="B61" s="356"/>
      <c r="C61" s="358"/>
      <c r="D61" s="358"/>
      <c r="E61" s="356"/>
      <c r="F61" s="360"/>
      <c r="G61" s="335"/>
      <c r="H61" s="346"/>
      <c r="I61" s="337"/>
      <c r="J61" s="571"/>
      <c r="K61" s="341"/>
      <c r="L61" s="344"/>
      <c r="M61" s="341"/>
      <c r="N61" s="344"/>
      <c r="O61" s="564"/>
      <c r="P61" s="581">
        <v>60</v>
      </c>
      <c r="Q61" s="445">
        <v>0</v>
      </c>
      <c r="R61" s="512">
        <v>0</v>
      </c>
      <c r="S61" s="518">
        <v>0</v>
      </c>
      <c r="T61" s="389">
        <v>0</v>
      </c>
      <c r="U61" s="481">
        <v>0</v>
      </c>
      <c r="V61" s="672">
        <v>0</v>
      </c>
      <c r="W61" s="675" t="str">
        <f t="shared" si="32"/>
        <v/>
      </c>
      <c r="X61" s="675">
        <v>0</v>
      </c>
      <c r="Y61" s="545">
        <f>IFERROR((($F61-$F60)/100)/$F60*100,0)</f>
        <v>0</v>
      </c>
      <c r="Z61" s="624">
        <f>IFERROR(F59/F61,0)</f>
        <v>0</v>
      </c>
      <c r="AA61" s="630" t="str">
        <f>IFERROR($AB$1/(F61/100)*(F59/100),"")</f>
        <v/>
      </c>
      <c r="AB61" s="436" t="str">
        <f>IFERROR((AA61/(F59/100))*(F61/100),"")</f>
        <v/>
      </c>
      <c r="AC61"/>
    </row>
    <row r="62" spans="1:29" ht="12.75" customHeight="1">
      <c r="A62" s="376" t="s">
        <v>620</v>
      </c>
      <c r="B62" s="369">
        <v>471</v>
      </c>
      <c r="C62" s="365">
        <v>76.2</v>
      </c>
      <c r="D62" s="365">
        <v>78</v>
      </c>
      <c r="E62" s="369">
        <v>348</v>
      </c>
      <c r="F62" s="366">
        <v>76.900000000000006</v>
      </c>
      <c r="G62" s="367">
        <v>-4.9400000000000006E-2</v>
      </c>
      <c r="H62" s="368">
        <v>80.900000000000006</v>
      </c>
      <c r="I62" s="338">
        <v>80.900000000000006</v>
      </c>
      <c r="J62" s="577">
        <v>76.5</v>
      </c>
      <c r="K62" s="342">
        <v>80.900000000000006</v>
      </c>
      <c r="L62" s="394">
        <v>6248</v>
      </c>
      <c r="M62" s="342">
        <v>8065</v>
      </c>
      <c r="N62" s="394">
        <v>21</v>
      </c>
      <c r="O62" s="566">
        <v>45264.681064814817</v>
      </c>
      <c r="P62" s="582">
        <v>61</v>
      </c>
      <c r="Q62" s="446">
        <v>0</v>
      </c>
      <c r="R62" s="514">
        <v>0</v>
      </c>
      <c r="S62" s="523">
        <v>0</v>
      </c>
      <c r="T62" s="388">
        <v>0</v>
      </c>
      <c r="U62" s="480">
        <v>0</v>
      </c>
      <c r="V62" s="662">
        <v>0</v>
      </c>
      <c r="W62" s="674" t="str">
        <f t="shared" si="32"/>
        <v/>
      </c>
      <c r="X62" s="676">
        <v>0</v>
      </c>
      <c r="Y62" s="532">
        <f>($F63*(1-$V$1))-$F62</f>
        <v>9.9999999999994316E-2</v>
      </c>
      <c r="Z62" s="625">
        <f>IFERROR(F58/F62,0)</f>
        <v>912.74382314694401</v>
      </c>
      <c r="AA62" s="629">
        <f>IFERROR($AB$1/(F62/100)*(F58/100),"")</f>
        <v>479190.50715214555</v>
      </c>
      <c r="AB62" s="436">
        <f>IFERROR((AA62/(F58/100))*(F62/100),"")</f>
        <v>525</v>
      </c>
      <c r="AC62"/>
    </row>
    <row r="63" spans="1:29" ht="12.75" customHeight="1">
      <c r="A63" s="488" t="s">
        <v>621</v>
      </c>
      <c r="B63" s="426">
        <v>1617</v>
      </c>
      <c r="C63" s="427">
        <v>77</v>
      </c>
      <c r="D63" s="427">
        <v>77.8</v>
      </c>
      <c r="E63" s="426">
        <v>520</v>
      </c>
      <c r="F63" s="421">
        <v>77</v>
      </c>
      <c r="G63" s="411">
        <v>-1.2800000000000001E-2</v>
      </c>
      <c r="H63" s="412">
        <v>78</v>
      </c>
      <c r="I63" s="413">
        <v>81</v>
      </c>
      <c r="J63" s="576">
        <v>76</v>
      </c>
      <c r="K63" s="414">
        <v>78</v>
      </c>
      <c r="L63" s="418">
        <v>151498</v>
      </c>
      <c r="M63" s="414">
        <v>196644</v>
      </c>
      <c r="N63" s="418">
        <v>288</v>
      </c>
      <c r="O63" s="567">
        <v>45264.708553240744</v>
      </c>
      <c r="P63" s="581">
        <v>62</v>
      </c>
      <c r="Q63" s="447">
        <v>0</v>
      </c>
      <c r="R63" s="516">
        <v>0</v>
      </c>
      <c r="S63" s="524">
        <v>0</v>
      </c>
      <c r="T63" s="419">
        <v>0</v>
      </c>
      <c r="U63" s="481">
        <v>0</v>
      </c>
      <c r="V63" s="482">
        <v>0</v>
      </c>
      <c r="W63" s="678" t="str">
        <f t="shared" si="32"/>
        <v/>
      </c>
      <c r="X63" s="677">
        <v>0</v>
      </c>
      <c r="Y63" s="544">
        <f>IFERROR((($F63-$F62)/100)/$F62*100,0)</f>
        <v>1.3003901170350366E-3</v>
      </c>
      <c r="Z63" s="626">
        <f>IFERROR(F59/F63,0)</f>
        <v>911.9480519480519</v>
      </c>
      <c r="AA63" s="631">
        <f>IFERROR($AB$1/(F63/100)*(F59/100),"")</f>
        <v>478772.72727272724</v>
      </c>
      <c r="AB63" s="436">
        <f>IFERROR((AA63/(F59/100))*(F63/100),"")</f>
        <v>525</v>
      </c>
      <c r="AC63"/>
    </row>
    <row r="64" spans="1:29" ht="12.75" customHeight="1">
      <c r="A64" s="487" t="s">
        <v>624</v>
      </c>
      <c r="B64" s="397">
        <v>1108</v>
      </c>
      <c r="C64" s="330">
        <v>24400</v>
      </c>
      <c r="D64" s="420">
        <v>25500</v>
      </c>
      <c r="E64" s="397">
        <v>100</v>
      </c>
      <c r="F64" s="541">
        <v>24995</v>
      </c>
      <c r="G64" s="424">
        <v>8.6699999999999999E-2</v>
      </c>
      <c r="H64" s="347">
        <v>24300</v>
      </c>
      <c r="I64" s="339">
        <v>24995</v>
      </c>
      <c r="J64" s="574">
        <v>24300</v>
      </c>
      <c r="K64" s="343">
        <v>23000</v>
      </c>
      <c r="L64" s="410">
        <v>2038169</v>
      </c>
      <c r="M64" s="343">
        <v>8267</v>
      </c>
      <c r="N64" s="410">
        <v>12</v>
      </c>
      <c r="O64" s="563">
        <v>45264.681435185186</v>
      </c>
      <c r="P64" s="582">
        <v>63</v>
      </c>
      <c r="Q64" s="596">
        <v>0</v>
      </c>
      <c r="R64" s="511">
        <v>0</v>
      </c>
      <c r="S64" s="521">
        <v>0</v>
      </c>
      <c r="T64" s="390">
        <v>0</v>
      </c>
      <c r="U64" s="480">
        <v>0</v>
      </c>
      <c r="V64" s="670">
        <v>0</v>
      </c>
      <c r="W64" s="674" t="str">
        <f t="shared" si="32"/>
        <v/>
      </c>
      <c r="X64" s="674">
        <v>0</v>
      </c>
      <c r="Y64" s="603">
        <f>($C65*(1-$V$1))-$D64</f>
        <v>-700</v>
      </c>
      <c r="Z64" s="621">
        <f>($F64/100*$X$1)-($F65/100*$W$1)+($F65/100*$W$1*($AE$1*$AD$1))</f>
        <v>2.2188767123287558</v>
      </c>
      <c r="AA64" s="685" t="str">
        <f>MID($A64,1,5)</f>
        <v>CLSIO</v>
      </c>
      <c r="AB64" s="38"/>
      <c r="AC64"/>
    </row>
    <row r="65" spans="1:29" ht="12.75" customHeight="1">
      <c r="A65" s="485" t="s">
        <v>625</v>
      </c>
      <c r="B65" s="357">
        <v>983</v>
      </c>
      <c r="C65" s="359">
        <v>24800</v>
      </c>
      <c r="D65" s="359">
        <v>24900</v>
      </c>
      <c r="E65" s="357">
        <v>494</v>
      </c>
      <c r="F65" s="360">
        <v>24900</v>
      </c>
      <c r="G65" s="361">
        <v>4.7100000000000003E-2</v>
      </c>
      <c r="H65" s="346">
        <v>24100</v>
      </c>
      <c r="I65" s="337">
        <v>25599</v>
      </c>
      <c r="J65" s="571">
        <v>24100</v>
      </c>
      <c r="K65" s="341">
        <v>23778</v>
      </c>
      <c r="L65" s="344">
        <v>23412181</v>
      </c>
      <c r="M65" s="341">
        <v>93707</v>
      </c>
      <c r="N65" s="344">
        <v>141</v>
      </c>
      <c r="O65" s="564">
        <v>45264.708425925928</v>
      </c>
      <c r="P65" s="581">
        <v>64</v>
      </c>
      <c r="Q65" s="445">
        <v>0</v>
      </c>
      <c r="R65" s="512">
        <v>0</v>
      </c>
      <c r="S65" s="518">
        <v>0</v>
      </c>
      <c r="T65" s="389">
        <v>0</v>
      </c>
      <c r="U65" s="481">
        <v>0</v>
      </c>
      <c r="V65" s="671">
        <v>0</v>
      </c>
      <c r="W65" s="675" t="str">
        <f t="shared" si="32"/>
        <v/>
      </c>
      <c r="X65" s="675">
        <v>0</v>
      </c>
      <c r="Y65" s="547">
        <f>IFERROR((($C65-$D64)/100)/$D64*100,0)</f>
        <v>-2.7450980392156862E-2</v>
      </c>
      <c r="Z65" s="622">
        <f>$F65/100*$W$1*($AE$1*$AD$1)</f>
        <v>1.2688767123287672</v>
      </c>
      <c r="AA65" s="686"/>
      <c r="AB65" s="38"/>
      <c r="AC65"/>
    </row>
    <row r="66" spans="1:29" ht="12.75" customHeight="1">
      <c r="A66" s="376" t="s">
        <v>626</v>
      </c>
      <c r="B66" s="364"/>
      <c r="C66" s="365"/>
      <c r="D66" s="365"/>
      <c r="E66" s="364"/>
      <c r="F66" s="366"/>
      <c r="G66" s="367"/>
      <c r="H66" s="368"/>
      <c r="I66" s="338"/>
      <c r="J66" s="577"/>
      <c r="K66" s="342">
        <v>30.7</v>
      </c>
      <c r="L66" s="394"/>
      <c r="M66" s="342"/>
      <c r="N66" s="394"/>
      <c r="O66" s="566"/>
      <c r="P66" s="582">
        <v>65</v>
      </c>
      <c r="Q66" s="446">
        <v>0</v>
      </c>
      <c r="R66" s="514">
        <v>0</v>
      </c>
      <c r="S66" s="523">
        <v>0</v>
      </c>
      <c r="T66" s="388">
        <v>0</v>
      </c>
      <c r="U66" s="480">
        <v>0</v>
      </c>
      <c r="V66" s="673">
        <v>0</v>
      </c>
      <c r="W66" s="674" t="str">
        <f t="shared" si="32"/>
        <v/>
      </c>
      <c r="X66" s="676">
        <v>0</v>
      </c>
      <c r="Y66" s="531">
        <f>($F67*(1-$V$1))-$F66</f>
        <v>0</v>
      </c>
      <c r="Z66" s="623">
        <f>IFERROR(F64/F66,0)</f>
        <v>0</v>
      </c>
      <c r="AA66" s="629" t="str">
        <f>IFERROR($AB$1/(F66/100)*(F64/100),"")</f>
        <v/>
      </c>
      <c r="AB66" s="436" t="str">
        <f>IFERROR((AA66/(F64/100))*(F66/100),"")</f>
        <v/>
      </c>
      <c r="AC66"/>
    </row>
    <row r="67" spans="1:29" ht="12.75" customHeight="1">
      <c r="A67" s="597" t="s">
        <v>627</v>
      </c>
      <c r="B67" s="356"/>
      <c r="C67" s="358"/>
      <c r="D67" s="358"/>
      <c r="E67" s="356"/>
      <c r="F67" s="360"/>
      <c r="G67" s="335"/>
      <c r="H67" s="346"/>
      <c r="I67" s="337"/>
      <c r="J67" s="571"/>
      <c r="K67" s="341">
        <v>30</v>
      </c>
      <c r="L67" s="344"/>
      <c r="M67" s="341"/>
      <c r="N67" s="344"/>
      <c r="O67" s="564"/>
      <c r="P67" s="581">
        <v>66</v>
      </c>
      <c r="Q67" s="445">
        <v>0</v>
      </c>
      <c r="R67" s="512">
        <v>0</v>
      </c>
      <c r="S67" s="518">
        <v>0</v>
      </c>
      <c r="T67" s="389">
        <v>0</v>
      </c>
      <c r="U67" s="481">
        <v>0</v>
      </c>
      <c r="V67" s="672">
        <v>0</v>
      </c>
      <c r="W67" s="675" t="str">
        <f t="shared" si="32"/>
        <v/>
      </c>
      <c r="X67" s="675">
        <v>0</v>
      </c>
      <c r="Y67" s="545">
        <f>IFERROR((($F67-$F66)/100)/$F66*100,0)</f>
        <v>0</v>
      </c>
      <c r="Z67" s="624">
        <f>IFERROR(F65/F67,0)</f>
        <v>0</v>
      </c>
      <c r="AA67" s="630" t="str">
        <f>IFERROR($AB$1/(F67/100)*(F65/100),"")</f>
        <v/>
      </c>
      <c r="AB67" s="436" t="str">
        <f>IFERROR((AA67/(F65/100))*(F67/100),"")</f>
        <v/>
      </c>
      <c r="AC67"/>
    </row>
    <row r="68" spans="1:29" ht="12.75" customHeight="1">
      <c r="A68" s="376" t="s">
        <v>628</v>
      </c>
      <c r="B68" s="369">
        <v>200</v>
      </c>
      <c r="C68" s="365">
        <v>26.1</v>
      </c>
      <c r="D68" s="365">
        <v>29.5</v>
      </c>
      <c r="E68" s="369">
        <v>200</v>
      </c>
      <c r="F68" s="366">
        <v>27.2</v>
      </c>
      <c r="G68" s="367">
        <v>8.3599999999999994E-2</v>
      </c>
      <c r="H68" s="368">
        <v>27.2</v>
      </c>
      <c r="I68" s="338">
        <v>27.2</v>
      </c>
      <c r="J68" s="577">
        <v>27.2</v>
      </c>
      <c r="K68" s="342">
        <v>25.1</v>
      </c>
      <c r="L68" s="394">
        <v>816</v>
      </c>
      <c r="M68" s="342">
        <v>3000</v>
      </c>
      <c r="N68" s="394">
        <v>1</v>
      </c>
      <c r="O68" s="566">
        <v>45264.635185185187</v>
      </c>
      <c r="P68" s="582">
        <v>67</v>
      </c>
      <c r="Q68" s="446">
        <v>0</v>
      </c>
      <c r="R68" s="514">
        <v>0</v>
      </c>
      <c r="S68" s="523">
        <v>0</v>
      </c>
      <c r="T68" s="388">
        <v>0</v>
      </c>
      <c r="U68" s="480">
        <v>0</v>
      </c>
      <c r="V68" s="662">
        <v>0</v>
      </c>
      <c r="W68" s="674" t="str">
        <f t="shared" si="32"/>
        <v/>
      </c>
      <c r="X68" s="676">
        <v>0</v>
      </c>
      <c r="Y68" s="532">
        <f>($F69*(1-$V$1))-$F68</f>
        <v>0</v>
      </c>
      <c r="Z68" s="625">
        <f>IFERROR(F64/F68,0)</f>
        <v>918.93382352941182</v>
      </c>
      <c r="AA68" s="629">
        <f>IFERROR($AB$1/(F68/100)*(F64/100),"")</f>
        <v>482440.25735294115</v>
      </c>
      <c r="AB68" s="436">
        <f>IFERROR((AA68/(F64/100))*(F68/100),"")</f>
        <v>525</v>
      </c>
      <c r="AC68"/>
    </row>
    <row r="69" spans="1:29" ht="12.75" customHeight="1">
      <c r="A69" s="488" t="s">
        <v>629</v>
      </c>
      <c r="B69" s="426">
        <v>500</v>
      </c>
      <c r="C69" s="427">
        <v>26.8</v>
      </c>
      <c r="D69" s="427">
        <v>27.195</v>
      </c>
      <c r="E69" s="426">
        <v>1000</v>
      </c>
      <c r="F69" s="421">
        <v>27.2</v>
      </c>
      <c r="G69" s="411">
        <v>1.8500000000000003E-2</v>
      </c>
      <c r="H69" s="412">
        <v>27.25</v>
      </c>
      <c r="I69" s="413">
        <v>27.25</v>
      </c>
      <c r="J69" s="576">
        <v>26.7</v>
      </c>
      <c r="K69" s="414">
        <v>26.7</v>
      </c>
      <c r="L69" s="418">
        <v>9389</v>
      </c>
      <c r="M69" s="414">
        <v>34602</v>
      </c>
      <c r="N69" s="418">
        <v>45</v>
      </c>
      <c r="O69" s="567">
        <v>45264.703240740739</v>
      </c>
      <c r="P69" s="581">
        <v>68</v>
      </c>
      <c r="Q69" s="447">
        <v>0</v>
      </c>
      <c r="R69" s="516">
        <v>0</v>
      </c>
      <c r="S69" s="524">
        <v>0</v>
      </c>
      <c r="T69" s="419">
        <v>0</v>
      </c>
      <c r="U69" s="481">
        <v>0</v>
      </c>
      <c r="V69" s="482">
        <v>0</v>
      </c>
      <c r="W69" s="678" t="str">
        <f t="shared" si="32"/>
        <v/>
      </c>
      <c r="X69" s="677">
        <v>0</v>
      </c>
      <c r="Y69" s="544">
        <f>IFERROR((($F69-$F68)/100)/$F68*100,0)</f>
        <v>0</v>
      </c>
      <c r="Z69" s="626">
        <f>IFERROR(F65/F69,0)</f>
        <v>915.44117647058829</v>
      </c>
      <c r="AA69" s="631">
        <f>IFERROR($AB$1/(F69/100)*(F65/100),"")</f>
        <v>480606.6176470588</v>
      </c>
      <c r="AB69" s="436">
        <f>IFERROR((AA69/(F65/100))*(F69/100),"")</f>
        <v>525</v>
      </c>
      <c r="AC69"/>
    </row>
    <row r="70" spans="1:29" ht="12.75" customHeight="1">
      <c r="A70" s="487" t="s">
        <v>549</v>
      </c>
      <c r="B70" s="397">
        <v>31009</v>
      </c>
      <c r="C70" s="330">
        <v>144.499</v>
      </c>
      <c r="D70" s="420">
        <v>144.75</v>
      </c>
      <c r="E70" s="397">
        <v>12158726</v>
      </c>
      <c r="F70" s="541">
        <v>144.75</v>
      </c>
      <c r="G70" s="348">
        <v>1.9299999999999998E-2</v>
      </c>
      <c r="H70" s="347">
        <v>142.9</v>
      </c>
      <c r="I70" s="339">
        <v>144.75</v>
      </c>
      <c r="J70" s="574">
        <v>140.6</v>
      </c>
      <c r="K70" s="343">
        <v>142</v>
      </c>
      <c r="L70" s="410">
        <v>18817667694</v>
      </c>
      <c r="M70" s="343">
        <v>13230247709</v>
      </c>
      <c r="N70" s="410">
        <v>4759</v>
      </c>
      <c r="O70" s="563">
        <v>45264.687777777777</v>
      </c>
      <c r="P70" s="582">
        <v>69</v>
      </c>
      <c r="Q70" s="448">
        <v>0</v>
      </c>
      <c r="R70" s="511">
        <v>0</v>
      </c>
      <c r="S70" s="521">
        <v>0</v>
      </c>
      <c r="T70" s="390">
        <v>0</v>
      </c>
      <c r="U70" s="480">
        <v>0</v>
      </c>
      <c r="V70" s="670">
        <v>0</v>
      </c>
      <c r="W70" s="674" t="str">
        <f t="shared" si="32"/>
        <v/>
      </c>
      <c r="X70" s="674">
        <v>0</v>
      </c>
      <c r="Y70" s="603">
        <f>($C71*(1-$V$1))-$D70</f>
        <v>-0.75</v>
      </c>
      <c r="Z70" s="621">
        <f>($F70/100*$X$1)-($F71/100*$W$1)+($F71/100*$W$1*($AE$1*$AD$1))</f>
        <v>1.4838082191780885E-2</v>
      </c>
      <c r="AA70" s="685" t="str">
        <f>MID($A70,1,5)</f>
        <v>X18E4</v>
      </c>
      <c r="AB70" s="38"/>
      <c r="AC70"/>
    </row>
    <row r="71" spans="1:29" ht="12.75" customHeight="1">
      <c r="A71" s="485" t="s">
        <v>550</v>
      </c>
      <c r="B71" s="357">
        <v>2098229</v>
      </c>
      <c r="C71" s="359">
        <v>144</v>
      </c>
      <c r="D71" s="359">
        <v>144.25</v>
      </c>
      <c r="E71" s="357">
        <v>6040</v>
      </c>
      <c r="F71" s="360">
        <v>144</v>
      </c>
      <c r="G71" s="335">
        <v>5.1999999999999998E-3</v>
      </c>
      <c r="H71" s="346">
        <v>143.25</v>
      </c>
      <c r="I71" s="337">
        <v>144.25</v>
      </c>
      <c r="J71" s="571">
        <v>140.4</v>
      </c>
      <c r="K71" s="341">
        <v>143.25</v>
      </c>
      <c r="L71" s="344">
        <v>3234265301</v>
      </c>
      <c r="M71" s="341">
        <v>2267103204</v>
      </c>
      <c r="N71" s="344">
        <v>1217</v>
      </c>
      <c r="O71" s="564">
        <v>45264.708449074074</v>
      </c>
      <c r="P71" s="581">
        <v>70</v>
      </c>
      <c r="Q71" s="445">
        <v>0</v>
      </c>
      <c r="R71" s="512">
        <v>0</v>
      </c>
      <c r="S71" s="518">
        <v>0</v>
      </c>
      <c r="T71" s="389">
        <v>0</v>
      </c>
      <c r="U71" s="481">
        <v>0</v>
      </c>
      <c r="V71" s="671">
        <v>0</v>
      </c>
      <c r="W71" s="675" t="str">
        <f t="shared" si="32"/>
        <v/>
      </c>
      <c r="X71" s="675">
        <v>0</v>
      </c>
      <c r="Y71" s="547">
        <f>IFERROR((($C71-$D70)/100)/$D70*100,0)</f>
        <v>-5.1813471502590676E-3</v>
      </c>
      <c r="Z71" s="622">
        <f>$F71/100*$W$1*($AE$1*$AD$1)</f>
        <v>7.3380821917808222E-3</v>
      </c>
      <c r="AA71" s="686"/>
      <c r="AB71" s="38"/>
      <c r="AC71"/>
    </row>
    <row r="72" spans="1:29" ht="12.75" customHeight="1">
      <c r="A72" s="376" t="s">
        <v>551</v>
      </c>
      <c r="B72" s="364">
        <v>278500</v>
      </c>
      <c r="C72" s="365">
        <v>0.159</v>
      </c>
      <c r="D72" s="365">
        <v>0.16</v>
      </c>
      <c r="E72" s="364">
        <v>312000</v>
      </c>
      <c r="F72" s="366">
        <v>0.16</v>
      </c>
      <c r="G72" s="367">
        <v>6.1999999999999998E-3</v>
      </c>
      <c r="H72" s="368">
        <v>0.16400000000000001</v>
      </c>
      <c r="I72" s="338">
        <v>0.16400000000000001</v>
      </c>
      <c r="J72" s="338">
        <v>0.15</v>
      </c>
      <c r="K72" s="443">
        <v>0.159</v>
      </c>
      <c r="L72" s="394">
        <v>9831822</v>
      </c>
      <c r="M72" s="342">
        <v>6321781884</v>
      </c>
      <c r="N72" s="394">
        <v>2038</v>
      </c>
      <c r="O72" s="566">
        <v>45264.687650462962</v>
      </c>
      <c r="P72" s="582">
        <v>71</v>
      </c>
      <c r="Q72" s="446">
        <v>0</v>
      </c>
      <c r="R72" s="514">
        <v>0</v>
      </c>
      <c r="S72" s="523">
        <v>0</v>
      </c>
      <c r="T72" s="388">
        <v>0</v>
      </c>
      <c r="U72" s="480">
        <v>0</v>
      </c>
      <c r="V72" s="673">
        <v>0</v>
      </c>
      <c r="W72" s="674" t="str">
        <f t="shared" si="32"/>
        <v/>
      </c>
      <c r="X72" s="676">
        <v>0</v>
      </c>
      <c r="Y72" s="531">
        <f>($F73*(1-$V$1))-$F72</f>
        <v>-0.16</v>
      </c>
      <c r="Z72" s="623">
        <f>IFERROR(F70/F72,0)</f>
        <v>904.6875</v>
      </c>
      <c r="AA72" s="629">
        <f>IFERROR($AB$1/(F72/100)*(F70/100),"")</f>
        <v>474960.9375</v>
      </c>
      <c r="AB72" s="436">
        <f>IFERROR((AA72/(F70/100))*(F72/100),"")</f>
        <v>525</v>
      </c>
      <c r="AC72"/>
    </row>
    <row r="73" spans="1:29" ht="12.75" customHeight="1">
      <c r="A73" s="597" t="s">
        <v>552</v>
      </c>
      <c r="B73" s="356">
        <v>100</v>
      </c>
      <c r="C73" s="358">
        <v>0.1</v>
      </c>
      <c r="D73" s="358">
        <v>0.17199999999999999</v>
      </c>
      <c r="E73" s="356">
        <v>5000000</v>
      </c>
      <c r="F73" s="360"/>
      <c r="G73" s="335"/>
      <c r="H73" s="346"/>
      <c r="I73" s="337"/>
      <c r="J73" s="337"/>
      <c r="K73" s="438"/>
      <c r="L73" s="344"/>
      <c r="M73" s="341"/>
      <c r="N73" s="344"/>
      <c r="O73" s="564"/>
      <c r="P73" s="581">
        <v>72</v>
      </c>
      <c r="Q73" s="445">
        <v>0</v>
      </c>
      <c r="R73" s="512">
        <v>0</v>
      </c>
      <c r="S73" s="518">
        <v>0</v>
      </c>
      <c r="T73" s="389">
        <v>0</v>
      </c>
      <c r="U73" s="481">
        <v>0</v>
      </c>
      <c r="V73" s="672">
        <v>0</v>
      </c>
      <c r="W73" s="675" t="str">
        <f t="shared" si="32"/>
        <v/>
      </c>
      <c r="X73" s="675">
        <v>0</v>
      </c>
      <c r="Y73" s="545">
        <f>IFERROR((($F73-$F72)/100)/$F72*100,0)</f>
        <v>-1</v>
      </c>
      <c r="Z73" s="624">
        <f>IFERROR(F71/F73,0)</f>
        <v>0</v>
      </c>
      <c r="AA73" s="630" t="str">
        <f>IFERROR($AB$1/(F73/100)*(F71/100),"")</f>
        <v/>
      </c>
      <c r="AB73" s="436" t="str">
        <f>IFERROR((AA73/(F71/100))*(F73/100),"")</f>
        <v/>
      </c>
      <c r="AC73"/>
    </row>
    <row r="74" spans="1:29" ht="12.75" customHeight="1">
      <c r="A74" s="376" t="s">
        <v>553</v>
      </c>
      <c r="B74" s="369">
        <v>51370546</v>
      </c>
      <c r="C74" s="365">
        <v>0.156</v>
      </c>
      <c r="D74" s="365">
        <v>0.158</v>
      </c>
      <c r="E74" s="369">
        <v>188698235</v>
      </c>
      <c r="F74" s="366">
        <v>0.158</v>
      </c>
      <c r="G74" s="367">
        <v>1.2800000000000001E-2</v>
      </c>
      <c r="H74" s="368">
        <v>0.157</v>
      </c>
      <c r="I74" s="338">
        <v>0.158</v>
      </c>
      <c r="J74" s="338">
        <v>0.14799999999999999</v>
      </c>
      <c r="K74" s="443">
        <v>0.156</v>
      </c>
      <c r="L74" s="394">
        <v>12061508</v>
      </c>
      <c r="M74" s="342">
        <v>7782928833</v>
      </c>
      <c r="N74" s="394">
        <v>2083</v>
      </c>
      <c r="O74" s="566">
        <v>45264.687615740739</v>
      </c>
      <c r="P74" s="582">
        <v>73</v>
      </c>
      <c r="Q74" s="446">
        <v>0</v>
      </c>
      <c r="R74" s="514">
        <v>0</v>
      </c>
      <c r="S74" s="523">
        <v>0</v>
      </c>
      <c r="T74" s="388">
        <v>0</v>
      </c>
      <c r="U74" s="480">
        <v>0</v>
      </c>
      <c r="V74" s="662">
        <v>0</v>
      </c>
      <c r="W74" s="674" t="str">
        <f t="shared" si="32"/>
        <v/>
      </c>
      <c r="X74" s="676">
        <v>0</v>
      </c>
      <c r="Y74" s="532">
        <f>($F75*(1-$V$1))-$F74</f>
        <v>2.0000000000000018E-3</v>
      </c>
      <c r="Z74" s="625">
        <f>IFERROR(F70/F74,0)</f>
        <v>916.13924050632909</v>
      </c>
      <c r="AA74" s="629">
        <f>IFERROR($AB$1/(F74/100)*(F70/100),"")</f>
        <v>480973.10126582277</v>
      </c>
      <c r="AB74" s="436">
        <f>IFERROR((AA74/(F70/100))*(F74/100),"")</f>
        <v>525</v>
      </c>
      <c r="AC74"/>
    </row>
    <row r="75" spans="1:29" ht="12.75" customHeight="1">
      <c r="A75" s="488" t="s">
        <v>554</v>
      </c>
      <c r="B75" s="426">
        <v>3127921</v>
      </c>
      <c r="C75" s="427">
        <v>0.154</v>
      </c>
      <c r="D75" s="427">
        <v>0.16</v>
      </c>
      <c r="E75" s="426">
        <v>411805</v>
      </c>
      <c r="F75" s="421">
        <v>0.16</v>
      </c>
      <c r="G75" s="411">
        <v>-6.1999999999999998E-3</v>
      </c>
      <c r="H75" s="412">
        <v>0.154</v>
      </c>
      <c r="I75" s="413">
        <v>0.16</v>
      </c>
      <c r="J75" s="413">
        <v>0.14299999999999999</v>
      </c>
      <c r="K75" s="439">
        <v>0.16</v>
      </c>
      <c r="L75" s="418">
        <v>6923</v>
      </c>
      <c r="M75" s="414">
        <v>4511674</v>
      </c>
      <c r="N75" s="418">
        <v>23</v>
      </c>
      <c r="O75" s="567">
        <v>45264.704745370371</v>
      </c>
      <c r="P75" s="581">
        <v>74</v>
      </c>
      <c r="Q75" s="447">
        <v>0</v>
      </c>
      <c r="R75" s="516">
        <v>0</v>
      </c>
      <c r="S75" s="524">
        <v>0</v>
      </c>
      <c r="T75" s="419">
        <v>0</v>
      </c>
      <c r="U75" s="481">
        <v>0</v>
      </c>
      <c r="V75" s="482">
        <v>0</v>
      </c>
      <c r="W75" s="678" t="str">
        <f t="shared" si="32"/>
        <v/>
      </c>
      <c r="X75" s="677">
        <v>0</v>
      </c>
      <c r="Y75" s="544">
        <f>IFERROR((($F75-$F74)/100)/$F74*100,0)</f>
        <v>1.2658227848101278E-2</v>
      </c>
      <c r="Z75" s="626">
        <f>IFERROR(F71/F75,0)</f>
        <v>900</v>
      </c>
      <c r="AA75" s="631">
        <f>IFERROR($AB$1/(F75/100)*(F71/100),"")</f>
        <v>472500</v>
      </c>
      <c r="AB75" s="436">
        <f>IFERROR((AA75/(F71/100))*(F75/100),"")</f>
        <v>525</v>
      </c>
      <c r="AC75"/>
    </row>
    <row r="76" spans="1:29" ht="12.75" customHeight="1">
      <c r="A76" s="487" t="s">
        <v>543</v>
      </c>
      <c r="B76" s="397">
        <v>100</v>
      </c>
      <c r="C76" s="330">
        <v>36500</v>
      </c>
      <c r="D76" s="420">
        <v>37000</v>
      </c>
      <c r="E76" s="397">
        <v>509</v>
      </c>
      <c r="F76" s="541">
        <v>36050</v>
      </c>
      <c r="G76" s="348">
        <v>1.2999999999999999E-3</v>
      </c>
      <c r="H76" s="347">
        <v>35940</v>
      </c>
      <c r="I76" s="339">
        <v>37200</v>
      </c>
      <c r="J76" s="339">
        <v>35400</v>
      </c>
      <c r="K76" s="442">
        <v>36000</v>
      </c>
      <c r="L76" s="410">
        <v>81140779</v>
      </c>
      <c r="M76" s="343">
        <v>224758</v>
      </c>
      <c r="N76" s="450">
        <v>191</v>
      </c>
      <c r="O76" s="563">
        <v>45264.684537037036</v>
      </c>
      <c r="P76" s="582">
        <v>75</v>
      </c>
      <c r="Q76" s="448">
        <v>0</v>
      </c>
      <c r="R76" s="511">
        <v>0</v>
      </c>
      <c r="S76" s="521">
        <v>0</v>
      </c>
      <c r="T76" s="390">
        <v>0</v>
      </c>
      <c r="U76" s="480">
        <v>0</v>
      </c>
      <c r="V76" s="670">
        <v>0</v>
      </c>
      <c r="W76" s="674" t="str">
        <f t="shared" si="32"/>
        <v/>
      </c>
      <c r="X76" s="674">
        <v>0</v>
      </c>
      <c r="Y76" s="603">
        <f>($C77*(1-$V$1))-$D76</f>
        <v>-700</v>
      </c>
      <c r="Z76" s="621">
        <f>($F76/100*$X$1)-($F77/100*$W$1)+($F77/100*$W$1*($AE$1*$AD$1))</f>
        <v>-1.6450958904109587</v>
      </c>
      <c r="AA76" s="685" t="str">
        <f>MID($A76,1,5)</f>
        <v>BA37D</v>
      </c>
      <c r="AB76" s="38"/>
      <c r="AC76"/>
    </row>
    <row r="77" spans="1:29" ht="12.75" customHeight="1">
      <c r="A77" s="485" t="s">
        <v>544</v>
      </c>
      <c r="B77" s="357">
        <v>1100</v>
      </c>
      <c r="C77" s="359">
        <v>36300</v>
      </c>
      <c r="D77" s="359">
        <v>36400</v>
      </c>
      <c r="E77" s="357">
        <v>7286</v>
      </c>
      <c r="F77" s="360">
        <v>36400</v>
      </c>
      <c r="G77" s="335">
        <v>2.7000000000000001E-3</v>
      </c>
      <c r="H77" s="346">
        <v>35940</v>
      </c>
      <c r="I77" s="337">
        <v>38000</v>
      </c>
      <c r="J77" s="337">
        <v>35064</v>
      </c>
      <c r="K77" s="438">
        <v>36300</v>
      </c>
      <c r="L77" s="344">
        <v>1048005613</v>
      </c>
      <c r="M77" s="341">
        <v>2907910</v>
      </c>
      <c r="N77" s="344">
        <v>639</v>
      </c>
      <c r="O77" s="564">
        <v>45264.708645833336</v>
      </c>
      <c r="P77" s="581">
        <v>76</v>
      </c>
      <c r="Q77" s="445">
        <v>0</v>
      </c>
      <c r="R77" s="512">
        <v>0</v>
      </c>
      <c r="S77" s="518">
        <v>0</v>
      </c>
      <c r="T77" s="389">
        <v>0</v>
      </c>
      <c r="U77" s="481">
        <v>0</v>
      </c>
      <c r="V77" s="671">
        <v>0</v>
      </c>
      <c r="W77" s="675" t="str">
        <f t="shared" si="32"/>
        <v/>
      </c>
      <c r="X77" s="675">
        <v>0</v>
      </c>
      <c r="Y77" s="547">
        <f>IFERROR((($C77-$D76)/100)/$D76*100,0)</f>
        <v>-1.891891891891892E-2</v>
      </c>
      <c r="Z77" s="622">
        <f>$F77/100*$W$1*($AE$1*$AD$1)</f>
        <v>1.8549041095890413</v>
      </c>
      <c r="AA77" s="686"/>
      <c r="AB77" s="38"/>
      <c r="AC77"/>
    </row>
    <row r="78" spans="1:29" ht="12.75" customHeight="1">
      <c r="A78" s="377" t="s">
        <v>545</v>
      </c>
      <c r="B78" s="364"/>
      <c r="C78" s="365"/>
      <c r="D78" s="365"/>
      <c r="E78" s="364"/>
      <c r="F78" s="366"/>
      <c r="G78" s="367"/>
      <c r="H78" s="368"/>
      <c r="I78" s="338"/>
      <c r="J78" s="338"/>
      <c r="K78" s="443">
        <v>39.450000000000003</v>
      </c>
      <c r="L78" s="394"/>
      <c r="M78" s="342"/>
      <c r="N78" s="394"/>
      <c r="O78" s="566"/>
      <c r="P78" s="582">
        <v>77</v>
      </c>
      <c r="Q78" s="446">
        <v>0</v>
      </c>
      <c r="R78" s="514">
        <v>0</v>
      </c>
      <c r="S78" s="523">
        <v>0</v>
      </c>
      <c r="T78" s="388">
        <v>0</v>
      </c>
      <c r="U78" s="480">
        <v>0</v>
      </c>
      <c r="V78" s="673">
        <v>0</v>
      </c>
      <c r="W78" s="674" t="str">
        <f t="shared" si="32"/>
        <v/>
      </c>
      <c r="X78" s="676">
        <v>0</v>
      </c>
      <c r="Y78" s="531">
        <f>($F79*(1-$V$1))-$F78</f>
        <v>0</v>
      </c>
      <c r="Z78" s="623">
        <f>IFERROR(F76/F78,0)</f>
        <v>0</v>
      </c>
      <c r="AA78" s="629" t="str">
        <f>IFERROR($AB$1/(F78/100)*(F76/100),"")</f>
        <v/>
      </c>
      <c r="AB78" s="436" t="str">
        <f>IFERROR((AA78/(F76/100))*(F78/100),"")</f>
        <v/>
      </c>
      <c r="AC78"/>
    </row>
    <row r="79" spans="1:29" ht="12.75" customHeight="1">
      <c r="A79" s="597" t="s">
        <v>546</v>
      </c>
      <c r="B79" s="356"/>
      <c r="C79" s="358"/>
      <c r="D79" s="358"/>
      <c r="E79" s="356"/>
      <c r="F79" s="360"/>
      <c r="G79" s="335"/>
      <c r="H79" s="346"/>
      <c r="I79" s="337"/>
      <c r="J79" s="337"/>
      <c r="K79" s="438">
        <v>36.005000000000003</v>
      </c>
      <c r="L79" s="344"/>
      <c r="M79" s="341"/>
      <c r="N79" s="344"/>
      <c r="O79" s="564"/>
      <c r="P79" s="581">
        <v>78</v>
      </c>
      <c r="Q79" s="445">
        <v>0</v>
      </c>
      <c r="R79" s="512">
        <v>0</v>
      </c>
      <c r="S79" s="518">
        <v>0</v>
      </c>
      <c r="T79" s="389">
        <v>0</v>
      </c>
      <c r="U79" s="481">
        <v>0</v>
      </c>
      <c r="V79" s="672">
        <v>0</v>
      </c>
      <c r="W79" s="675" t="str">
        <f t="shared" si="32"/>
        <v/>
      </c>
      <c r="X79" s="675">
        <v>0</v>
      </c>
      <c r="Y79" s="545">
        <f>IFERROR((($F79-$F78)/100)/$F78*100,0)</f>
        <v>0</v>
      </c>
      <c r="Z79" s="624">
        <f>IFERROR(F77/F79,0)</f>
        <v>0</v>
      </c>
      <c r="AA79" s="630" t="str">
        <f>IFERROR($AB$1/(F79/100)*(F77/100),"")</f>
        <v/>
      </c>
      <c r="AB79" s="436" t="str">
        <f>IFERROR((AA79/(F77/100))*(F79/100),"")</f>
        <v/>
      </c>
    </row>
    <row r="80" spans="1:29" ht="12.75" customHeight="1">
      <c r="A80" s="377" t="s">
        <v>547</v>
      </c>
      <c r="B80" s="369">
        <v>400</v>
      </c>
      <c r="C80" s="365">
        <v>37.01</v>
      </c>
      <c r="D80" s="365">
        <v>43.95</v>
      </c>
      <c r="E80" s="369">
        <v>50</v>
      </c>
      <c r="F80" s="366"/>
      <c r="G80" s="367"/>
      <c r="H80" s="368"/>
      <c r="I80" s="338"/>
      <c r="J80" s="338"/>
      <c r="K80" s="443">
        <v>40.81</v>
      </c>
      <c r="L80" s="394"/>
      <c r="M80" s="342"/>
      <c r="N80" s="394"/>
      <c r="O80" s="566"/>
      <c r="P80" s="582">
        <v>79</v>
      </c>
      <c r="Q80" s="446">
        <v>0</v>
      </c>
      <c r="R80" s="514">
        <v>0</v>
      </c>
      <c r="S80" s="523">
        <v>0</v>
      </c>
      <c r="T80" s="388">
        <v>0</v>
      </c>
      <c r="U80" s="480">
        <v>0</v>
      </c>
      <c r="V80" s="662">
        <v>0</v>
      </c>
      <c r="W80" s="674" t="str">
        <f t="shared" si="32"/>
        <v/>
      </c>
      <c r="X80" s="676">
        <v>0</v>
      </c>
      <c r="Y80" s="532">
        <f>($F81*(1-$V$1))-$F80</f>
        <v>39.85</v>
      </c>
      <c r="Z80" s="625">
        <f>IFERROR(F76/F80,0)</f>
        <v>0</v>
      </c>
      <c r="AA80" s="629" t="str">
        <f>IFERROR($AB$1/(F80/100)*(F76/100),"")</f>
        <v/>
      </c>
      <c r="AB80" s="436" t="str">
        <f>IFERROR((AA80/(F76/100))*(F80/100),"")</f>
        <v/>
      </c>
      <c r="AC80" s="11"/>
    </row>
    <row r="81" spans="1:29" ht="12.75" customHeight="1">
      <c r="A81" s="488" t="s">
        <v>548</v>
      </c>
      <c r="B81" s="426">
        <v>3883</v>
      </c>
      <c r="C81" s="427">
        <v>39.6</v>
      </c>
      <c r="D81" s="427">
        <v>39.9</v>
      </c>
      <c r="E81" s="426">
        <v>690</v>
      </c>
      <c r="F81" s="421">
        <v>39.85</v>
      </c>
      <c r="G81" s="411">
        <v>3.7000000000000002E-3</v>
      </c>
      <c r="H81" s="412">
        <v>42</v>
      </c>
      <c r="I81" s="413">
        <v>42</v>
      </c>
      <c r="J81" s="413">
        <v>39.5</v>
      </c>
      <c r="K81" s="439">
        <v>39.700000000000003</v>
      </c>
      <c r="L81" s="418">
        <v>20595</v>
      </c>
      <c r="M81" s="414">
        <v>51402</v>
      </c>
      <c r="N81" s="418">
        <v>39</v>
      </c>
      <c r="O81" s="567">
        <v>45264.67863425926</v>
      </c>
      <c r="P81" s="581">
        <v>80</v>
      </c>
      <c r="Q81" s="447">
        <v>0</v>
      </c>
      <c r="R81" s="516">
        <v>0</v>
      </c>
      <c r="S81" s="524">
        <v>0</v>
      </c>
      <c r="T81" s="419">
        <v>0</v>
      </c>
      <c r="U81" s="481">
        <v>0</v>
      </c>
      <c r="V81" s="482">
        <v>0</v>
      </c>
      <c r="W81" s="678" t="str">
        <f t="shared" si="32"/>
        <v/>
      </c>
      <c r="X81" s="677">
        <v>0</v>
      </c>
      <c r="Y81" s="544">
        <f>IFERROR((($F81-$F80)/100)/$F80*100,0)</f>
        <v>0</v>
      </c>
      <c r="Z81" s="626">
        <f>IFERROR(F77/F81,0)</f>
        <v>913.4253450439146</v>
      </c>
      <c r="AA81" s="631">
        <f>IFERROR($AB$1/(F81/100)*(F77/100),"")</f>
        <v>479548.30614805518</v>
      </c>
      <c r="AB81" s="436">
        <f>IFERROR((AA81/(F77/100))*(F81/100),"")</f>
        <v>525</v>
      </c>
      <c r="AC81" s="11"/>
    </row>
    <row r="82" spans="1:29" ht="12.75" customHeight="1">
      <c r="A82" s="487" t="s">
        <v>594</v>
      </c>
      <c r="B82" s="397">
        <v>124</v>
      </c>
      <c r="C82" s="330">
        <v>32799</v>
      </c>
      <c r="D82" s="420">
        <v>32990</v>
      </c>
      <c r="E82" s="397">
        <v>5</v>
      </c>
      <c r="F82" s="541">
        <v>32899.5</v>
      </c>
      <c r="G82" s="348">
        <v>1.8500000000000003E-2</v>
      </c>
      <c r="H82" s="347">
        <v>33700</v>
      </c>
      <c r="I82" s="339">
        <v>33799.5</v>
      </c>
      <c r="J82" s="339">
        <v>31750</v>
      </c>
      <c r="K82" s="442">
        <v>32300</v>
      </c>
      <c r="L82" s="410">
        <v>226896495</v>
      </c>
      <c r="M82" s="343">
        <v>692140</v>
      </c>
      <c r="N82" s="410">
        <v>706</v>
      </c>
      <c r="O82" s="563">
        <v>45264.687708333331</v>
      </c>
      <c r="P82" s="582">
        <v>81</v>
      </c>
      <c r="Q82" s="448">
        <v>0</v>
      </c>
      <c r="R82" s="511">
        <v>0</v>
      </c>
      <c r="S82" s="521">
        <v>0</v>
      </c>
      <c r="T82" s="390">
        <v>0</v>
      </c>
      <c r="U82" s="480">
        <v>0</v>
      </c>
      <c r="V82" s="670">
        <v>0</v>
      </c>
      <c r="W82" s="674" t="str">
        <f t="shared" si="32"/>
        <v/>
      </c>
      <c r="X82" s="674">
        <v>0</v>
      </c>
      <c r="Y82" s="603">
        <f>($C83*(1-$V$1))-$D82</f>
        <v>-290</v>
      </c>
      <c r="Z82" s="621">
        <f>($F82/100*$X$1)-($F83/100*$W$1)+($F83/100*$W$1*($AE$1*$AD$1))</f>
        <v>3.6613561643835664</v>
      </c>
      <c r="AA82" s="685" t="str">
        <f>MID($A82,1,5)</f>
        <v xml:space="preserve">AE38 </v>
      </c>
      <c r="AB82" s="38"/>
      <c r="AC82" s="11"/>
    </row>
    <row r="83" spans="1:29" ht="12.75" customHeight="1">
      <c r="A83" s="485" t="s">
        <v>183</v>
      </c>
      <c r="B83" s="357">
        <v>248967</v>
      </c>
      <c r="C83" s="359">
        <v>32700</v>
      </c>
      <c r="D83" s="359">
        <v>32750</v>
      </c>
      <c r="E83" s="357">
        <v>25000</v>
      </c>
      <c r="F83" s="360">
        <v>32700</v>
      </c>
      <c r="G83" s="335">
        <v>-1.46E-2</v>
      </c>
      <c r="H83" s="346">
        <v>33185</v>
      </c>
      <c r="I83" s="337">
        <v>33885</v>
      </c>
      <c r="J83" s="337">
        <v>31955</v>
      </c>
      <c r="K83" s="438">
        <v>33185</v>
      </c>
      <c r="L83" s="344">
        <v>3455590927</v>
      </c>
      <c r="M83" s="341">
        <v>10530731</v>
      </c>
      <c r="N83" s="344">
        <v>1788</v>
      </c>
      <c r="O83" s="564">
        <v>45264.708437499998</v>
      </c>
      <c r="P83" s="581">
        <v>82</v>
      </c>
      <c r="Q83" s="445">
        <v>0</v>
      </c>
      <c r="R83" s="512">
        <v>0</v>
      </c>
      <c r="S83" s="518">
        <v>0</v>
      </c>
      <c r="T83" s="389">
        <v>0</v>
      </c>
      <c r="U83" s="481">
        <v>0</v>
      </c>
      <c r="V83" s="671">
        <v>0</v>
      </c>
      <c r="W83" s="675" t="str">
        <f t="shared" si="32"/>
        <v/>
      </c>
      <c r="X83" s="675">
        <v>0</v>
      </c>
      <c r="Y83" s="547">
        <f>IFERROR((($C83-$D82)/100)/$D82*100,0)</f>
        <v>-8.7905425886632312E-3</v>
      </c>
      <c r="Z83" s="622">
        <f>$F83/100*$W$1*($AE$1*$AD$1)</f>
        <v>1.6663561643835618</v>
      </c>
      <c r="AA83" s="686"/>
      <c r="AB83" s="38"/>
      <c r="AC83" s="11"/>
    </row>
    <row r="84" spans="1:29" ht="12.75" customHeight="1">
      <c r="A84" s="376" t="s">
        <v>595</v>
      </c>
      <c r="B84" s="364"/>
      <c r="C84" s="365"/>
      <c r="D84" s="365"/>
      <c r="E84" s="364"/>
      <c r="F84" s="366"/>
      <c r="G84" s="367"/>
      <c r="H84" s="368"/>
      <c r="I84" s="338"/>
      <c r="J84" s="338"/>
      <c r="K84" s="443">
        <v>33</v>
      </c>
      <c r="L84" s="394"/>
      <c r="M84" s="342"/>
      <c r="N84" s="394"/>
      <c r="O84" s="566"/>
      <c r="P84" s="582">
        <v>83</v>
      </c>
      <c r="Q84" s="446">
        <v>0</v>
      </c>
      <c r="R84" s="514">
        <v>0</v>
      </c>
      <c r="S84" s="523">
        <v>0</v>
      </c>
      <c r="T84" s="388">
        <v>0</v>
      </c>
      <c r="U84" s="480">
        <v>0</v>
      </c>
      <c r="V84" s="673">
        <v>0</v>
      </c>
      <c r="W84" s="674" t="str">
        <f t="shared" si="32"/>
        <v/>
      </c>
      <c r="X84" s="676">
        <v>0</v>
      </c>
      <c r="Y84" s="531">
        <f>($F85*(1-$V$1))-$F84</f>
        <v>0</v>
      </c>
      <c r="Z84" s="623">
        <f>IFERROR(F82/F84,0)</f>
        <v>0</v>
      </c>
      <c r="AA84" s="629" t="str">
        <f>IFERROR($AB$1/(F84/100)*(F82/100),"")</f>
        <v/>
      </c>
      <c r="AB84" s="436" t="str">
        <f>IFERROR((AA84/(F82/100))*(F84/100),"")</f>
        <v/>
      </c>
      <c r="AC84" s="11"/>
    </row>
    <row r="85" spans="1:29" ht="12.75" customHeight="1">
      <c r="A85" s="597" t="s">
        <v>230</v>
      </c>
      <c r="B85" s="356"/>
      <c r="C85" s="358"/>
      <c r="D85" s="358"/>
      <c r="E85" s="356"/>
      <c r="F85" s="360"/>
      <c r="G85" s="335"/>
      <c r="H85" s="346"/>
      <c r="I85" s="337"/>
      <c r="J85" s="337"/>
      <c r="K85" s="438">
        <v>35</v>
      </c>
      <c r="L85" s="344"/>
      <c r="M85" s="341"/>
      <c r="N85" s="344"/>
      <c r="O85" s="564"/>
      <c r="P85" s="581">
        <v>84</v>
      </c>
      <c r="Q85" s="445">
        <v>0</v>
      </c>
      <c r="R85" s="512">
        <v>0</v>
      </c>
      <c r="S85" s="518">
        <v>0</v>
      </c>
      <c r="T85" s="389">
        <v>0</v>
      </c>
      <c r="U85" s="481">
        <v>0</v>
      </c>
      <c r="V85" s="672">
        <v>0</v>
      </c>
      <c r="W85" s="675" t="str">
        <f t="shared" si="32"/>
        <v/>
      </c>
      <c r="X85" s="675">
        <v>0</v>
      </c>
      <c r="Y85" s="545">
        <f>IFERROR((($F85-$F84)/100)/$F84*100,0)</f>
        <v>0</v>
      </c>
      <c r="Z85" s="624">
        <f>IFERROR(F83/F85,0)</f>
        <v>0</v>
      </c>
      <c r="AA85" s="630" t="str">
        <f>IFERROR($AB$1/(F85/100)*(F83/100),"")</f>
        <v/>
      </c>
      <c r="AB85" s="436" t="str">
        <f>IFERROR((AA85/(F83/100))*(F85/100),"")</f>
        <v/>
      </c>
      <c r="AC85" s="11"/>
    </row>
    <row r="86" spans="1:29" ht="12.75" customHeight="1">
      <c r="A86" s="376" t="s">
        <v>596</v>
      </c>
      <c r="B86" s="369">
        <v>10000</v>
      </c>
      <c r="C86" s="365">
        <v>35.85</v>
      </c>
      <c r="D86" s="365">
        <v>36.4</v>
      </c>
      <c r="E86" s="369">
        <v>5428</v>
      </c>
      <c r="F86" s="366">
        <v>35.85</v>
      </c>
      <c r="G86" s="367">
        <v>-1.9099999999999999E-2</v>
      </c>
      <c r="H86" s="368">
        <v>35.49</v>
      </c>
      <c r="I86" s="338">
        <v>36.479999999999997</v>
      </c>
      <c r="J86" s="338">
        <v>35.4</v>
      </c>
      <c r="K86" s="443">
        <v>36.549999999999997</v>
      </c>
      <c r="L86" s="394">
        <v>29873</v>
      </c>
      <c r="M86" s="342">
        <v>83338</v>
      </c>
      <c r="N86" s="394">
        <v>33</v>
      </c>
      <c r="O86" s="566">
        <v>45264.682303240741</v>
      </c>
      <c r="P86" s="582">
        <v>85</v>
      </c>
      <c r="Q86" s="446">
        <v>0</v>
      </c>
      <c r="R86" s="514">
        <v>0</v>
      </c>
      <c r="S86" s="523">
        <v>0</v>
      </c>
      <c r="T86" s="388">
        <v>0</v>
      </c>
      <c r="U86" s="480">
        <v>0</v>
      </c>
      <c r="V86" s="662">
        <v>0</v>
      </c>
      <c r="W86" s="674" t="str">
        <f t="shared" si="32"/>
        <v/>
      </c>
      <c r="X86" s="676">
        <v>0</v>
      </c>
      <c r="Y86" s="532">
        <f>($F87*(1-$V$1))-$F86</f>
        <v>0.25</v>
      </c>
      <c r="Z86" s="625">
        <f>IFERROR(F82/F86,0)</f>
        <v>917.69874476987445</v>
      </c>
      <c r="AA86" s="629">
        <f>IFERROR($AB$1/(F86/100)*(F82/100),"")</f>
        <v>481791.84100418404</v>
      </c>
      <c r="AB86" s="436">
        <f>IFERROR((AA86/(F82/100))*(F86/100),"")</f>
        <v>525</v>
      </c>
      <c r="AC86" s="11"/>
    </row>
    <row r="87" spans="1:29" ht="12.75" customHeight="1">
      <c r="A87" s="488" t="s">
        <v>231</v>
      </c>
      <c r="B87" s="426">
        <v>10948</v>
      </c>
      <c r="C87" s="427">
        <v>35.9</v>
      </c>
      <c r="D87" s="427">
        <v>36.1</v>
      </c>
      <c r="E87" s="426">
        <v>996</v>
      </c>
      <c r="F87" s="421">
        <v>36.1</v>
      </c>
      <c r="G87" s="411">
        <v>-7.9000000000000008E-3</v>
      </c>
      <c r="H87" s="412">
        <v>36.39</v>
      </c>
      <c r="I87" s="413">
        <v>37.97</v>
      </c>
      <c r="J87" s="413">
        <v>35.020000000000003</v>
      </c>
      <c r="K87" s="439">
        <v>36.39</v>
      </c>
      <c r="L87" s="418">
        <v>130218</v>
      </c>
      <c r="M87" s="414">
        <v>361705</v>
      </c>
      <c r="N87" s="418">
        <v>176</v>
      </c>
      <c r="O87" s="567">
        <v>45264.705995370372</v>
      </c>
      <c r="P87" s="581">
        <v>86</v>
      </c>
      <c r="Q87" s="447">
        <v>0</v>
      </c>
      <c r="R87" s="516">
        <v>0</v>
      </c>
      <c r="S87" s="524">
        <v>0</v>
      </c>
      <c r="T87" s="419">
        <v>0</v>
      </c>
      <c r="U87" s="481">
        <v>0</v>
      </c>
      <c r="V87" s="482">
        <v>0</v>
      </c>
      <c r="W87" s="678" t="str">
        <f t="shared" si="32"/>
        <v/>
      </c>
      <c r="X87" s="677">
        <v>0</v>
      </c>
      <c r="Y87" s="544">
        <f>IFERROR((($F87-$F86)/100)/$F86*100,0)</f>
        <v>6.9735006973500697E-3</v>
      </c>
      <c r="Z87" s="626">
        <f>IFERROR(F83/F87,0)</f>
        <v>905.81717451523537</v>
      </c>
      <c r="AA87" s="631">
        <f>IFERROR($AB$1/(F87/100)*(F83/100),"")</f>
        <v>475554.01662049862</v>
      </c>
      <c r="AB87" s="436">
        <f>IFERROR((AA87/(F83/100))*(F87/100),"")</f>
        <v>525</v>
      </c>
    </row>
    <row r="88" spans="1:29" ht="12.75" customHeight="1">
      <c r="A88" s="487" t="s">
        <v>588</v>
      </c>
      <c r="B88" s="397">
        <v>998</v>
      </c>
      <c r="C88" s="330">
        <v>32051</v>
      </c>
      <c r="D88" s="420">
        <v>32450</v>
      </c>
      <c r="E88" s="397">
        <v>3000</v>
      </c>
      <c r="F88" s="541">
        <v>32199</v>
      </c>
      <c r="G88" s="348">
        <v>3.0000000000000001E-3</v>
      </c>
      <c r="H88" s="347">
        <v>33000</v>
      </c>
      <c r="I88" s="339">
        <v>33300</v>
      </c>
      <c r="J88" s="339">
        <v>31000</v>
      </c>
      <c r="K88" s="442">
        <v>32100</v>
      </c>
      <c r="L88" s="410">
        <v>92198009</v>
      </c>
      <c r="M88" s="343">
        <v>285693</v>
      </c>
      <c r="N88" s="410">
        <v>379</v>
      </c>
      <c r="O88" s="563">
        <v>45264.680219907408</v>
      </c>
      <c r="P88" s="582">
        <v>87</v>
      </c>
      <c r="Q88" s="448">
        <v>0</v>
      </c>
      <c r="R88" s="511">
        <v>0</v>
      </c>
      <c r="S88" s="521">
        <v>0</v>
      </c>
      <c r="T88" s="390">
        <v>0</v>
      </c>
      <c r="U88" s="480">
        <v>0</v>
      </c>
      <c r="V88" s="670">
        <v>0</v>
      </c>
      <c r="W88" s="674" t="str">
        <f t="shared" si="32"/>
        <v/>
      </c>
      <c r="X88" s="674">
        <v>0</v>
      </c>
      <c r="Y88" s="603">
        <f>($C89*(1-$V$1))-$D88</f>
        <v>-350</v>
      </c>
      <c r="Z88" s="621">
        <f>($F88/100*$X$1)-($F89/100*$W$1)+($F89/100*$W$1*($AE$1*$AD$1))</f>
        <v>1.6408257534246578</v>
      </c>
      <c r="AA88" s="685" t="str">
        <f>MID($A88,1,5)</f>
        <v xml:space="preserve">AL29 </v>
      </c>
    </row>
    <row r="89" spans="1:29" ht="12.75" customHeight="1">
      <c r="A89" s="485" t="s">
        <v>186</v>
      </c>
      <c r="B89" s="357">
        <v>3357</v>
      </c>
      <c r="C89" s="359">
        <v>32100</v>
      </c>
      <c r="D89" s="359">
        <v>32199</v>
      </c>
      <c r="E89" s="357">
        <v>7247</v>
      </c>
      <c r="F89" s="360">
        <v>32199</v>
      </c>
      <c r="G89" s="335">
        <v>-1.0700000000000001E-2</v>
      </c>
      <c r="H89" s="346">
        <v>32101</v>
      </c>
      <c r="I89" s="337">
        <v>33200</v>
      </c>
      <c r="J89" s="337">
        <v>31013.5</v>
      </c>
      <c r="K89" s="438">
        <v>32550</v>
      </c>
      <c r="L89" s="344">
        <v>418655465</v>
      </c>
      <c r="M89" s="341">
        <v>1297254</v>
      </c>
      <c r="N89" s="344">
        <v>886</v>
      </c>
      <c r="O89" s="564">
        <v>45264.708356481482</v>
      </c>
      <c r="P89" s="581">
        <v>88</v>
      </c>
      <c r="Q89" s="445">
        <v>0</v>
      </c>
      <c r="R89" s="512">
        <v>0</v>
      </c>
      <c r="S89" s="518">
        <v>0</v>
      </c>
      <c r="T89" s="389">
        <v>0</v>
      </c>
      <c r="U89" s="481">
        <v>0</v>
      </c>
      <c r="V89" s="671">
        <v>0</v>
      </c>
      <c r="W89" s="675" t="str">
        <f t="shared" si="32"/>
        <v/>
      </c>
      <c r="X89" s="675">
        <v>0</v>
      </c>
      <c r="Y89" s="547">
        <f>IFERROR((($C89-$D88)/100)/$D88*100,0)</f>
        <v>-1.078582434514638E-2</v>
      </c>
      <c r="Z89" s="622">
        <f>$F89/100*$W$1*($AE$1*$AD$1)</f>
        <v>1.6408257534246578</v>
      </c>
      <c r="AA89" s="686"/>
    </row>
    <row r="90" spans="1:29" ht="12.75" customHeight="1">
      <c r="A90" s="376" t="s">
        <v>589</v>
      </c>
      <c r="B90" s="364">
        <v>219</v>
      </c>
      <c r="C90" s="365">
        <v>22.5</v>
      </c>
      <c r="D90" s="365"/>
      <c r="E90" s="364"/>
      <c r="F90" s="366"/>
      <c r="G90" s="367"/>
      <c r="H90" s="368"/>
      <c r="I90" s="338"/>
      <c r="J90" s="338"/>
      <c r="K90" s="443">
        <v>22.5</v>
      </c>
      <c r="L90" s="394"/>
      <c r="M90" s="342"/>
      <c r="N90" s="394"/>
      <c r="O90" s="566"/>
      <c r="P90" s="582">
        <v>89</v>
      </c>
      <c r="Q90" s="446">
        <v>0</v>
      </c>
      <c r="R90" s="514">
        <v>0</v>
      </c>
      <c r="S90" s="523">
        <v>0</v>
      </c>
      <c r="T90" s="388">
        <v>0</v>
      </c>
      <c r="U90" s="480">
        <v>0</v>
      </c>
      <c r="V90" s="673">
        <v>0</v>
      </c>
      <c r="W90" s="674" t="str">
        <f t="shared" si="32"/>
        <v/>
      </c>
      <c r="X90" s="676">
        <v>0</v>
      </c>
      <c r="Y90" s="531">
        <f>($F91*(1-$V$1))-$F90</f>
        <v>0</v>
      </c>
      <c r="Z90" s="623">
        <f>IFERROR(F88/F90,0)</f>
        <v>0</v>
      </c>
      <c r="AA90" s="629" t="str">
        <f>IFERROR($AB$1/(F90/100)*(F88/100),"")</f>
        <v/>
      </c>
      <c r="AB90" s="436" t="str">
        <f>IFERROR((AA90/(F88/100))*(F90/100),"")</f>
        <v/>
      </c>
    </row>
    <row r="91" spans="1:29" ht="12.75" customHeight="1">
      <c r="A91" s="597" t="s">
        <v>238</v>
      </c>
      <c r="B91" s="356"/>
      <c r="C91" s="358"/>
      <c r="D91" s="358"/>
      <c r="E91" s="356"/>
      <c r="F91" s="360"/>
      <c r="G91" s="335"/>
      <c r="H91" s="346"/>
      <c r="I91" s="337"/>
      <c r="J91" s="337"/>
      <c r="K91" s="438">
        <v>27.25</v>
      </c>
      <c r="L91" s="344"/>
      <c r="M91" s="341"/>
      <c r="N91" s="344"/>
      <c r="O91" s="564"/>
      <c r="P91" s="581">
        <v>90</v>
      </c>
      <c r="Q91" s="445">
        <v>0</v>
      </c>
      <c r="R91" s="512">
        <v>0</v>
      </c>
      <c r="S91" s="518">
        <v>0</v>
      </c>
      <c r="T91" s="389">
        <v>0</v>
      </c>
      <c r="U91" s="481">
        <v>0</v>
      </c>
      <c r="V91" s="672">
        <v>0</v>
      </c>
      <c r="W91" s="675" t="str">
        <f t="shared" si="32"/>
        <v/>
      </c>
      <c r="X91" s="675">
        <v>0</v>
      </c>
      <c r="Y91" s="545">
        <f>IFERROR((($F91-$F90)/100)/$F90*100,0)</f>
        <v>0</v>
      </c>
      <c r="Z91" s="624">
        <f>IFERROR(F89/F91,0)</f>
        <v>0</v>
      </c>
      <c r="AA91" s="630" t="str">
        <f>IFERROR($AB$1/(F91/100)*(F89/100),"")</f>
        <v/>
      </c>
      <c r="AB91" s="436" t="str">
        <f>IFERROR((AA91/(F89/100))*(F91/100),"")</f>
        <v/>
      </c>
    </row>
    <row r="92" spans="1:29" ht="12.75" customHeight="1">
      <c r="A92" s="376" t="s">
        <v>590</v>
      </c>
      <c r="B92" s="369">
        <v>100000</v>
      </c>
      <c r="C92" s="365">
        <v>34.5</v>
      </c>
      <c r="D92" s="365">
        <v>35.1</v>
      </c>
      <c r="E92" s="369">
        <v>1000</v>
      </c>
      <c r="F92" s="366">
        <v>34.65</v>
      </c>
      <c r="G92" s="367">
        <v>1.8799999999999997E-2</v>
      </c>
      <c r="H92" s="368">
        <v>35.5</v>
      </c>
      <c r="I92" s="338">
        <v>35.5</v>
      </c>
      <c r="J92" s="338">
        <v>34.5</v>
      </c>
      <c r="K92" s="443">
        <v>34.01</v>
      </c>
      <c r="L92" s="394">
        <v>13702</v>
      </c>
      <c r="M92" s="342">
        <v>39032</v>
      </c>
      <c r="N92" s="394">
        <v>36</v>
      </c>
      <c r="O92" s="566">
        <v>45264.671412037038</v>
      </c>
      <c r="P92" s="582">
        <v>91</v>
      </c>
      <c r="Q92" s="446">
        <v>0</v>
      </c>
      <c r="R92" s="514">
        <v>0</v>
      </c>
      <c r="S92" s="523">
        <v>0</v>
      </c>
      <c r="T92" s="388">
        <v>0</v>
      </c>
      <c r="U92" s="480">
        <v>0</v>
      </c>
      <c r="V92" s="662">
        <v>0</v>
      </c>
      <c r="W92" s="674" t="str">
        <f t="shared" si="32"/>
        <v/>
      </c>
      <c r="X92" s="676">
        <v>0</v>
      </c>
      <c r="Y92" s="532">
        <f>($F93*(1-$V$1))-$F92</f>
        <v>0.5</v>
      </c>
      <c r="Z92" s="625">
        <f>IFERROR(F88/F92,0)</f>
        <v>929.26406926406935</v>
      </c>
      <c r="AA92" s="629">
        <f>IFERROR($AB$1/(F92/100)*(F88/100),"")</f>
        <v>487863.63636363641</v>
      </c>
      <c r="AB92" s="436">
        <f>IFERROR((AA92/(F88/100))*(F92/100),"")</f>
        <v>525</v>
      </c>
    </row>
    <row r="93" spans="1:29" ht="12.75" customHeight="1">
      <c r="A93" s="488" t="s">
        <v>239</v>
      </c>
      <c r="B93" s="426">
        <v>1867</v>
      </c>
      <c r="C93" s="427">
        <v>35.04</v>
      </c>
      <c r="D93" s="427">
        <v>35.15</v>
      </c>
      <c r="E93" s="426">
        <v>8289</v>
      </c>
      <c r="F93" s="421">
        <v>35.15</v>
      </c>
      <c r="G93" s="411">
        <v>-6.1999999999999998E-3</v>
      </c>
      <c r="H93" s="412">
        <v>35.6</v>
      </c>
      <c r="I93" s="413">
        <v>35.6</v>
      </c>
      <c r="J93" s="413">
        <v>34.57</v>
      </c>
      <c r="K93" s="439">
        <v>35.369999999999997</v>
      </c>
      <c r="L93" s="418">
        <v>21808</v>
      </c>
      <c r="M93" s="414">
        <v>62263</v>
      </c>
      <c r="N93" s="418">
        <v>76</v>
      </c>
      <c r="O93" s="567">
        <v>45264.705636574072</v>
      </c>
      <c r="P93" s="581">
        <v>92</v>
      </c>
      <c r="Q93" s="447">
        <v>0</v>
      </c>
      <c r="R93" s="516">
        <v>0</v>
      </c>
      <c r="S93" s="524">
        <v>0</v>
      </c>
      <c r="T93" s="419">
        <v>0</v>
      </c>
      <c r="U93" s="481">
        <v>0</v>
      </c>
      <c r="V93" s="482">
        <v>0</v>
      </c>
      <c r="W93" s="678" t="str">
        <f t="shared" si="32"/>
        <v/>
      </c>
      <c r="X93" s="677">
        <v>0</v>
      </c>
      <c r="Y93" s="544">
        <f>IFERROR((($F93-$F92)/100)/$F92*100,0)</f>
        <v>1.443001443001443E-2</v>
      </c>
      <c r="Z93" s="626">
        <f>IFERROR(F89/F93,0)</f>
        <v>916.04551920341396</v>
      </c>
      <c r="AA93" s="631">
        <f>IFERROR($AB$1/(F93/100)*(F89/100),"")</f>
        <v>480923.89758179238</v>
      </c>
      <c r="AB93" s="436">
        <f>IFERROR((AA93/(F89/100))*(F93/100),"")</f>
        <v>525</v>
      </c>
    </row>
    <row r="94" spans="1:29" ht="12.75" customHeight="1">
      <c r="A94" s="487" t="s">
        <v>591</v>
      </c>
      <c r="B94" s="397">
        <v>1150</v>
      </c>
      <c r="C94" s="330">
        <v>29661.5</v>
      </c>
      <c r="D94" s="420">
        <v>30200</v>
      </c>
      <c r="E94" s="397">
        <v>515</v>
      </c>
      <c r="F94" s="541">
        <v>30200</v>
      </c>
      <c r="G94" s="348">
        <v>8.3000000000000001E-3</v>
      </c>
      <c r="H94" s="347">
        <v>30018</v>
      </c>
      <c r="I94" s="339">
        <v>30808.5</v>
      </c>
      <c r="J94" s="339">
        <v>28800</v>
      </c>
      <c r="K94" s="442">
        <v>29950</v>
      </c>
      <c r="L94" s="410">
        <v>156697171</v>
      </c>
      <c r="M94" s="343">
        <v>527250</v>
      </c>
      <c r="N94" s="410">
        <v>505</v>
      </c>
      <c r="O94" s="563">
        <v>45264.687685185185</v>
      </c>
      <c r="P94" s="582">
        <v>93</v>
      </c>
      <c r="Q94" s="448">
        <v>0</v>
      </c>
      <c r="R94" s="511">
        <v>0</v>
      </c>
      <c r="S94" s="521">
        <v>0</v>
      </c>
      <c r="T94" s="390">
        <v>0</v>
      </c>
      <c r="U94" s="480">
        <v>0</v>
      </c>
      <c r="V94" s="670">
        <v>0</v>
      </c>
      <c r="W94" s="674" t="str">
        <f t="shared" si="32"/>
        <v/>
      </c>
      <c r="X94" s="674">
        <v>0</v>
      </c>
      <c r="Y94" s="603">
        <f>($C95*(1-$V$1))-$D94</f>
        <v>-320</v>
      </c>
      <c r="Z94" s="621">
        <f>($F94/100*$X$1)-($F95/100*$W$1)+($F95/100*$W$1*($AE$1*$AD$1))</f>
        <v>4.5236712328767119</v>
      </c>
      <c r="AA94" s="685" t="str">
        <f>MID($A94,1,5)</f>
        <v xml:space="preserve">AL35 </v>
      </c>
    </row>
    <row r="95" spans="1:29" ht="12.75" customHeight="1">
      <c r="A95" s="485" t="s">
        <v>184</v>
      </c>
      <c r="B95" s="357">
        <v>25</v>
      </c>
      <c r="C95" s="359">
        <v>29880</v>
      </c>
      <c r="D95" s="359">
        <v>29900</v>
      </c>
      <c r="E95" s="357">
        <v>477664</v>
      </c>
      <c r="F95" s="360">
        <v>29900</v>
      </c>
      <c r="G95" s="335">
        <v>3.3E-3</v>
      </c>
      <c r="H95" s="346">
        <v>29950</v>
      </c>
      <c r="I95" s="337">
        <v>30989.5</v>
      </c>
      <c r="J95" s="337">
        <v>28000</v>
      </c>
      <c r="K95" s="438">
        <v>29800</v>
      </c>
      <c r="L95" s="344">
        <v>3616259706</v>
      </c>
      <c r="M95" s="341">
        <v>12146468</v>
      </c>
      <c r="N95" s="344">
        <v>1160</v>
      </c>
      <c r="O95" s="564">
        <v>45264.708634259259</v>
      </c>
      <c r="P95" s="581">
        <v>94</v>
      </c>
      <c r="Q95" s="445">
        <v>0</v>
      </c>
      <c r="R95" s="512">
        <v>0</v>
      </c>
      <c r="S95" s="518">
        <v>0</v>
      </c>
      <c r="T95" s="389">
        <v>0</v>
      </c>
      <c r="U95" s="481">
        <v>0</v>
      </c>
      <c r="V95" s="671">
        <v>0</v>
      </c>
      <c r="W95" s="675" t="str">
        <f t="shared" si="32"/>
        <v/>
      </c>
      <c r="X95" s="675">
        <v>0</v>
      </c>
      <c r="Y95" s="547">
        <f>IFERROR((($C95-$D94)/100)/$D94*100,0)</f>
        <v>-1.0596026490066225E-2</v>
      </c>
      <c r="Z95" s="622">
        <f>$F95/100*$W$1*($AE$1*$AD$1)</f>
        <v>1.5236712328767124</v>
      </c>
      <c r="AA95" s="686"/>
    </row>
    <row r="96" spans="1:29" ht="12.75" customHeight="1">
      <c r="A96" s="376" t="s">
        <v>592</v>
      </c>
      <c r="B96" s="364"/>
      <c r="C96" s="365"/>
      <c r="D96" s="365"/>
      <c r="E96" s="364"/>
      <c r="F96" s="366"/>
      <c r="G96" s="367"/>
      <c r="H96" s="368"/>
      <c r="I96" s="338"/>
      <c r="J96" s="338"/>
      <c r="K96" s="443">
        <v>28.25</v>
      </c>
      <c r="L96" s="394"/>
      <c r="M96" s="342"/>
      <c r="N96" s="394"/>
      <c r="O96" s="566"/>
      <c r="P96" s="582">
        <v>95</v>
      </c>
      <c r="Q96" s="446">
        <v>0</v>
      </c>
      <c r="R96" s="514">
        <v>0</v>
      </c>
      <c r="S96" s="523">
        <v>0</v>
      </c>
      <c r="T96" s="388">
        <v>0</v>
      </c>
      <c r="U96" s="480">
        <v>0</v>
      </c>
      <c r="V96" s="673">
        <v>0</v>
      </c>
      <c r="W96" s="674" t="str">
        <f t="shared" si="32"/>
        <v/>
      </c>
      <c r="X96" s="676">
        <v>0</v>
      </c>
      <c r="Y96" s="531">
        <f>($F97*(1-$V$1))-$F96</f>
        <v>0</v>
      </c>
      <c r="Z96" s="623">
        <f>IFERROR(F94/F96,0)</f>
        <v>0</v>
      </c>
      <c r="AA96" s="629" t="str">
        <f>IFERROR($AB$1/(F96/100)*(F94/100),"")</f>
        <v/>
      </c>
      <c r="AB96" s="436" t="str">
        <f>IFERROR((AA96/(F94/100))*(F96/100),"")</f>
        <v/>
      </c>
    </row>
    <row r="97" spans="1:28" ht="12.75" customHeight="1">
      <c r="A97" s="597" t="s">
        <v>240</v>
      </c>
      <c r="B97" s="356"/>
      <c r="C97" s="358"/>
      <c r="D97" s="358"/>
      <c r="E97" s="356"/>
      <c r="F97" s="360"/>
      <c r="G97" s="335"/>
      <c r="H97" s="346"/>
      <c r="I97" s="337"/>
      <c r="J97" s="337"/>
      <c r="K97" s="438">
        <v>25.5</v>
      </c>
      <c r="L97" s="344"/>
      <c r="M97" s="341"/>
      <c r="N97" s="344"/>
      <c r="O97" s="564"/>
      <c r="P97" s="581">
        <v>96</v>
      </c>
      <c r="Q97" s="445">
        <v>0</v>
      </c>
      <c r="R97" s="512">
        <v>0</v>
      </c>
      <c r="S97" s="518">
        <v>0</v>
      </c>
      <c r="T97" s="389">
        <v>0</v>
      </c>
      <c r="U97" s="481">
        <v>0</v>
      </c>
      <c r="V97" s="672">
        <v>0</v>
      </c>
      <c r="W97" s="675" t="str">
        <f t="shared" si="32"/>
        <v/>
      </c>
      <c r="X97" s="675">
        <v>0</v>
      </c>
      <c r="Y97" s="545">
        <f>IFERROR((($F97-$F96)/100)/$F96*100,0)</f>
        <v>0</v>
      </c>
      <c r="Z97" s="624">
        <f>IFERROR(F95/F97,0)</f>
        <v>0</v>
      </c>
      <c r="AA97" s="630" t="str">
        <f>IFERROR($AB$1/(F97/100)*(F95/100),"")</f>
        <v/>
      </c>
      <c r="AB97" s="436" t="str">
        <f>IFERROR((AA97/(F95/100))*(F97/100),"")</f>
        <v/>
      </c>
    </row>
    <row r="98" spans="1:28" ht="12.75" customHeight="1">
      <c r="A98" s="376" t="s">
        <v>593</v>
      </c>
      <c r="B98" s="369">
        <v>1293</v>
      </c>
      <c r="C98" s="365">
        <v>32.5</v>
      </c>
      <c r="D98" s="365">
        <v>33</v>
      </c>
      <c r="E98" s="369">
        <v>7181</v>
      </c>
      <c r="F98" s="366">
        <v>33</v>
      </c>
      <c r="G98" s="367">
        <v>9.1000000000000004E-3</v>
      </c>
      <c r="H98" s="368">
        <v>33</v>
      </c>
      <c r="I98" s="338">
        <v>33</v>
      </c>
      <c r="J98" s="338">
        <v>31.05</v>
      </c>
      <c r="K98" s="443">
        <v>32.700000000000003</v>
      </c>
      <c r="L98" s="394">
        <v>32587</v>
      </c>
      <c r="M98" s="342">
        <v>102117</v>
      </c>
      <c r="N98" s="394">
        <v>72</v>
      </c>
      <c r="O98" s="566">
        <v>45264.664166666669</v>
      </c>
      <c r="P98" s="582">
        <v>97</v>
      </c>
      <c r="Q98" s="446">
        <v>0</v>
      </c>
      <c r="R98" s="514">
        <v>0</v>
      </c>
      <c r="S98" s="523">
        <v>0</v>
      </c>
      <c r="T98" s="388">
        <v>0</v>
      </c>
      <c r="U98" s="480">
        <v>0</v>
      </c>
      <c r="V98" s="662">
        <v>0</v>
      </c>
      <c r="W98" s="674" t="str">
        <f t="shared" si="32"/>
        <v/>
      </c>
      <c r="X98" s="676">
        <v>0</v>
      </c>
      <c r="Y98" s="532">
        <f>($F99*(1-$V$1))-$F98</f>
        <v>-0.39999999999999858</v>
      </c>
      <c r="Z98" s="625">
        <f>IFERROR(F94/F98,0)</f>
        <v>915.15151515151513</v>
      </c>
      <c r="AA98" s="629">
        <f>IFERROR($AB$1/(F98/100)*(F94/100),"")</f>
        <v>480454.54545454541</v>
      </c>
      <c r="AB98" s="436">
        <f>IFERROR((AA98/(F94/100))*(F98/100),"")</f>
        <v>525</v>
      </c>
    </row>
    <row r="99" spans="1:28" ht="12.75" customHeight="1">
      <c r="A99" s="488" t="s">
        <v>241</v>
      </c>
      <c r="B99" s="426">
        <v>1533</v>
      </c>
      <c r="C99" s="427">
        <v>32.409999999999997</v>
      </c>
      <c r="D99" s="427">
        <v>32.6</v>
      </c>
      <c r="E99" s="426">
        <v>8443</v>
      </c>
      <c r="F99" s="421">
        <v>32.6</v>
      </c>
      <c r="G99" s="411">
        <v>-3.0000000000000001E-3</v>
      </c>
      <c r="H99" s="412">
        <v>33.33</v>
      </c>
      <c r="I99" s="413">
        <v>33.4</v>
      </c>
      <c r="J99" s="413">
        <v>32.299999999999997</v>
      </c>
      <c r="K99" s="439">
        <v>32.700000000000003</v>
      </c>
      <c r="L99" s="418">
        <v>69423</v>
      </c>
      <c r="M99" s="414">
        <v>212443</v>
      </c>
      <c r="N99" s="418">
        <v>94</v>
      </c>
      <c r="O99" s="567">
        <v>45264.67696759259</v>
      </c>
      <c r="P99" s="581">
        <v>98</v>
      </c>
      <c r="Q99" s="447">
        <v>0</v>
      </c>
      <c r="R99" s="516">
        <v>0</v>
      </c>
      <c r="S99" s="524">
        <v>0</v>
      </c>
      <c r="T99" s="419">
        <v>0</v>
      </c>
      <c r="U99" s="481">
        <v>0</v>
      </c>
      <c r="V99" s="482">
        <v>0</v>
      </c>
      <c r="W99" s="678" t="str">
        <f t="shared" si="32"/>
        <v/>
      </c>
      <c r="X99" s="677">
        <v>0</v>
      </c>
      <c r="Y99" s="544">
        <f>IFERROR((($F99-$F98)/100)/$F98*100,0)</f>
        <v>-1.212121212121208E-2</v>
      </c>
      <c r="Z99" s="626">
        <f>IFERROR(F95/F99,0)</f>
        <v>917.17791411042936</v>
      </c>
      <c r="AA99" s="631">
        <f>IFERROR($AB$1/(F99/100)*(F95/100),"")</f>
        <v>481518.4049079754</v>
      </c>
      <c r="AB99" s="436">
        <f>IFERROR((AA99/(F95/100))*(F99/100),"")</f>
        <v>525</v>
      </c>
    </row>
    <row r="100" spans="1:28" ht="12.75" customHeight="1">
      <c r="A100" s="487" t="s">
        <v>597</v>
      </c>
      <c r="B100" s="397">
        <v>200</v>
      </c>
      <c r="C100" s="330">
        <v>28775</v>
      </c>
      <c r="D100" s="420">
        <v>30400</v>
      </c>
      <c r="E100" s="397">
        <v>473</v>
      </c>
      <c r="F100" s="541">
        <v>30400</v>
      </c>
      <c r="G100" s="348">
        <v>1.44E-2</v>
      </c>
      <c r="H100" s="347">
        <v>30500</v>
      </c>
      <c r="I100" s="339">
        <v>31600</v>
      </c>
      <c r="J100" s="339">
        <v>29000</v>
      </c>
      <c r="K100" s="442">
        <v>29967.5</v>
      </c>
      <c r="L100" s="410">
        <v>29682372</v>
      </c>
      <c r="M100" s="343">
        <v>97886</v>
      </c>
      <c r="N100" s="410">
        <v>155</v>
      </c>
      <c r="O100" s="563">
        <v>45264.684432870374</v>
      </c>
      <c r="P100" s="582">
        <v>99</v>
      </c>
      <c r="Q100" s="448">
        <v>0</v>
      </c>
      <c r="R100" s="511">
        <v>0</v>
      </c>
      <c r="S100" s="521">
        <v>0</v>
      </c>
      <c r="T100" s="390">
        <v>0</v>
      </c>
      <c r="U100" s="480">
        <v>0</v>
      </c>
      <c r="V100" s="670">
        <v>0</v>
      </c>
      <c r="W100" s="674" t="str">
        <f t="shared" si="32"/>
        <v/>
      </c>
      <c r="X100" s="674">
        <v>0</v>
      </c>
      <c r="Y100" s="603">
        <f>($C101*(1-$V$1))-$D100</f>
        <v>-100</v>
      </c>
      <c r="Z100" s="621">
        <f>($F100/100*$X$1)-($F101/100*$W$1)+($F101/100*$W$1*($AE$1*$AD$1))</f>
        <v>2.5440547945205481</v>
      </c>
      <c r="AA100" s="685" t="str">
        <f>MID($A100,1,5)</f>
        <v xml:space="preserve">AL41 </v>
      </c>
    </row>
    <row r="101" spans="1:28" ht="12.75" customHeight="1">
      <c r="A101" s="485" t="s">
        <v>185</v>
      </c>
      <c r="B101" s="357">
        <v>1484</v>
      </c>
      <c r="C101" s="359">
        <v>30300</v>
      </c>
      <c r="D101" s="359">
        <v>30550</v>
      </c>
      <c r="E101" s="357">
        <v>747</v>
      </c>
      <c r="F101" s="360">
        <v>30300</v>
      </c>
      <c r="G101" s="335">
        <v>-1.6000000000000001E-3</v>
      </c>
      <c r="H101" s="346">
        <v>30400</v>
      </c>
      <c r="I101" s="337">
        <v>32000</v>
      </c>
      <c r="J101" s="337">
        <v>28000</v>
      </c>
      <c r="K101" s="438">
        <v>30350</v>
      </c>
      <c r="L101" s="344">
        <v>435085821</v>
      </c>
      <c r="M101" s="341">
        <v>1416662</v>
      </c>
      <c r="N101" s="344">
        <v>500</v>
      </c>
      <c r="O101" s="564">
        <v>45264.706076388888</v>
      </c>
      <c r="P101" s="581">
        <v>100</v>
      </c>
      <c r="Q101" s="445">
        <v>0</v>
      </c>
      <c r="R101" s="512">
        <v>0</v>
      </c>
      <c r="S101" s="518">
        <v>0</v>
      </c>
      <c r="T101" s="389">
        <v>0</v>
      </c>
      <c r="U101" s="481">
        <v>0</v>
      </c>
      <c r="V101" s="671">
        <v>0</v>
      </c>
      <c r="W101" s="675" t="str">
        <f t="shared" si="32"/>
        <v/>
      </c>
      <c r="X101" s="675">
        <v>0</v>
      </c>
      <c r="Y101" s="547">
        <f>IFERROR((($C101-$D100)/100)/$D100*100,0)</f>
        <v>-3.2894736842105261E-3</v>
      </c>
      <c r="Z101" s="622">
        <f>$F101/100*$W$1*($AE$1*$AD$1)</f>
        <v>1.5440547945205481</v>
      </c>
      <c r="AA101" s="686"/>
    </row>
    <row r="102" spans="1:28" ht="12.75" customHeight="1">
      <c r="A102" s="376" t="s">
        <v>598</v>
      </c>
      <c r="B102" s="364"/>
      <c r="C102" s="365"/>
      <c r="D102" s="365"/>
      <c r="E102" s="364"/>
      <c r="F102" s="366"/>
      <c r="G102" s="367"/>
      <c r="H102" s="368"/>
      <c r="I102" s="338"/>
      <c r="J102" s="338"/>
      <c r="K102" s="443">
        <v>24.97</v>
      </c>
      <c r="L102" s="394"/>
      <c r="M102" s="342"/>
      <c r="N102" s="394"/>
      <c r="O102" s="566"/>
      <c r="P102" s="582">
        <v>101</v>
      </c>
      <c r="Q102" s="446">
        <v>0</v>
      </c>
      <c r="R102" s="514">
        <v>0</v>
      </c>
      <c r="S102" s="523">
        <v>0</v>
      </c>
      <c r="T102" s="388">
        <v>0</v>
      </c>
      <c r="U102" s="480">
        <v>0</v>
      </c>
      <c r="V102" s="673">
        <v>0</v>
      </c>
      <c r="W102" s="674" t="str">
        <f t="shared" si="32"/>
        <v/>
      </c>
      <c r="X102" s="676">
        <v>0</v>
      </c>
      <c r="Y102" s="531">
        <f>($F103*(1-$V$1))-$F102</f>
        <v>0</v>
      </c>
      <c r="Z102" s="623">
        <f>IFERROR(F100/F102,0)</f>
        <v>0</v>
      </c>
      <c r="AA102" s="629" t="str">
        <f>IFERROR($AB$1/(F102/100)*(F100/100),"")</f>
        <v/>
      </c>
      <c r="AB102" s="436" t="str">
        <f>IFERROR((AA102/(F100/100))*(F102/100),"")</f>
        <v/>
      </c>
    </row>
    <row r="103" spans="1:28" ht="12.75" customHeight="1">
      <c r="A103" s="597" t="s">
        <v>242</v>
      </c>
      <c r="B103" s="356"/>
      <c r="C103" s="358"/>
      <c r="D103" s="358"/>
      <c r="E103" s="356"/>
      <c r="F103" s="360"/>
      <c r="G103" s="335"/>
      <c r="H103" s="346"/>
      <c r="I103" s="337"/>
      <c r="J103" s="337"/>
      <c r="K103" s="438">
        <v>27.75</v>
      </c>
      <c r="L103" s="344"/>
      <c r="M103" s="341"/>
      <c r="N103" s="344"/>
      <c r="O103" s="564"/>
      <c r="P103" s="581">
        <v>102</v>
      </c>
      <c r="Q103" s="445">
        <v>0</v>
      </c>
      <c r="R103" s="512">
        <v>0</v>
      </c>
      <c r="S103" s="518">
        <v>0</v>
      </c>
      <c r="T103" s="389">
        <v>0</v>
      </c>
      <c r="U103" s="481">
        <v>0</v>
      </c>
      <c r="V103" s="672">
        <v>0</v>
      </c>
      <c r="W103" s="675" t="str">
        <f t="shared" si="32"/>
        <v/>
      </c>
      <c r="X103" s="675">
        <v>0</v>
      </c>
      <c r="Y103" s="545">
        <f>IFERROR((($F103-$F102)/100)/$F102*100,0)</f>
        <v>0</v>
      </c>
      <c r="Z103" s="624">
        <f>IFERROR(F101/F103,0)</f>
        <v>0</v>
      </c>
      <c r="AA103" s="630" t="str">
        <f>IFERROR($AB$1/(F103/100)*(F101/100),"")</f>
        <v/>
      </c>
      <c r="AB103" s="436" t="str">
        <f>IFERROR((AA103/(F101/100))*(F103/100),"")</f>
        <v/>
      </c>
    </row>
    <row r="104" spans="1:28" ht="12.75" customHeight="1">
      <c r="A104" s="376" t="s">
        <v>599</v>
      </c>
      <c r="B104" s="369">
        <v>7774</v>
      </c>
      <c r="C104" s="365">
        <v>32.51</v>
      </c>
      <c r="D104" s="365">
        <v>33.6</v>
      </c>
      <c r="E104" s="369">
        <v>1200</v>
      </c>
      <c r="F104" s="366">
        <v>32.51</v>
      </c>
      <c r="G104" s="367">
        <v>2.1000000000000001E-2</v>
      </c>
      <c r="H104" s="368">
        <v>34</v>
      </c>
      <c r="I104" s="338">
        <v>34</v>
      </c>
      <c r="J104" s="338">
        <v>32.51</v>
      </c>
      <c r="K104" s="443">
        <v>31.84</v>
      </c>
      <c r="L104" s="394">
        <v>1090</v>
      </c>
      <c r="M104" s="342">
        <v>3259</v>
      </c>
      <c r="N104" s="394">
        <v>8</v>
      </c>
      <c r="O104" s="566">
        <v>45264.643935185188</v>
      </c>
      <c r="P104" s="582">
        <v>103</v>
      </c>
      <c r="Q104" s="446">
        <v>0</v>
      </c>
      <c r="R104" s="514">
        <v>0</v>
      </c>
      <c r="S104" s="523">
        <v>0</v>
      </c>
      <c r="T104" s="388">
        <v>0</v>
      </c>
      <c r="U104" s="480">
        <v>0</v>
      </c>
      <c r="V104" s="662">
        <v>0</v>
      </c>
      <c r="W104" s="674" t="str">
        <f t="shared" si="32"/>
        <v/>
      </c>
      <c r="X104" s="676">
        <v>0</v>
      </c>
      <c r="Y104" s="532">
        <f>($F105*(1-$V$1))-$F104</f>
        <v>0.48000000000000398</v>
      </c>
      <c r="Z104" s="625">
        <f>IFERROR(F100/F104,0)</f>
        <v>935.09689326361126</v>
      </c>
      <c r="AA104" s="629">
        <f>IFERROR($AB$1/(F104/100)*(F100/100),"")</f>
        <v>490925.86896339583</v>
      </c>
      <c r="AB104" s="436">
        <f>IFERROR((AA104/(F100/100))*(F104/100),"")</f>
        <v>525</v>
      </c>
    </row>
    <row r="105" spans="1:28" ht="12.75" customHeight="1">
      <c r="A105" s="488" t="s">
        <v>243</v>
      </c>
      <c r="B105" s="426">
        <v>829</v>
      </c>
      <c r="C105" s="427">
        <v>32.5</v>
      </c>
      <c r="D105" s="427">
        <v>32.979999999999997</v>
      </c>
      <c r="E105" s="426">
        <v>9345</v>
      </c>
      <c r="F105" s="421">
        <v>32.99</v>
      </c>
      <c r="G105" s="411">
        <v>4.1999999999999997E-3</v>
      </c>
      <c r="H105" s="412">
        <v>34</v>
      </c>
      <c r="I105" s="413">
        <v>34.090000000000003</v>
      </c>
      <c r="J105" s="413">
        <v>31.62</v>
      </c>
      <c r="K105" s="439">
        <v>32.85</v>
      </c>
      <c r="L105" s="418">
        <v>48822</v>
      </c>
      <c r="M105" s="414">
        <v>148666</v>
      </c>
      <c r="N105" s="418">
        <v>43</v>
      </c>
      <c r="O105" s="567">
        <v>45264.698854166665</v>
      </c>
      <c r="P105" s="581">
        <v>104</v>
      </c>
      <c r="Q105" s="447">
        <v>0</v>
      </c>
      <c r="R105" s="516">
        <v>0</v>
      </c>
      <c r="S105" s="524">
        <v>0</v>
      </c>
      <c r="T105" s="419">
        <v>0</v>
      </c>
      <c r="U105" s="481">
        <v>0</v>
      </c>
      <c r="V105" s="482">
        <v>0</v>
      </c>
      <c r="W105" s="678" t="str">
        <f t="shared" si="32"/>
        <v/>
      </c>
      <c r="X105" s="677">
        <v>0</v>
      </c>
      <c r="Y105" s="544">
        <f>IFERROR((($F105-$F104)/100)/$F104*100,0)</f>
        <v>1.4764687788372931E-2</v>
      </c>
      <c r="Z105" s="626">
        <f>IFERROR(F101/F105,0)</f>
        <v>918.46013943619278</v>
      </c>
      <c r="AA105" s="631">
        <f>IFERROR($AB$1/(F105/100)*(F101/100),"")</f>
        <v>482191.57320400112</v>
      </c>
      <c r="AB105" s="436">
        <f>IFERROR((AA105/(F101/100))*(F105/100),"")</f>
        <v>525</v>
      </c>
    </row>
    <row r="106" spans="1:28" ht="12.75" customHeight="1">
      <c r="A106" s="487" t="s">
        <v>600</v>
      </c>
      <c r="B106" s="397">
        <v>1366</v>
      </c>
      <c r="C106" s="330">
        <v>34766</v>
      </c>
      <c r="D106" s="420">
        <v>35100</v>
      </c>
      <c r="E106" s="397">
        <v>511</v>
      </c>
      <c r="F106" s="541">
        <v>34766</v>
      </c>
      <c r="G106" s="348">
        <v>1.95E-2</v>
      </c>
      <c r="H106" s="347">
        <v>35000</v>
      </c>
      <c r="I106" s="339">
        <v>36098.5</v>
      </c>
      <c r="J106" s="339">
        <v>32968</v>
      </c>
      <c r="K106" s="442">
        <v>34099.5</v>
      </c>
      <c r="L106" s="410">
        <v>16040944</v>
      </c>
      <c r="M106" s="343">
        <v>45929</v>
      </c>
      <c r="N106" s="410">
        <v>64</v>
      </c>
      <c r="O106" s="563">
        <v>45264.665034722224</v>
      </c>
      <c r="P106" s="582">
        <v>105</v>
      </c>
      <c r="Q106" s="448">
        <v>0</v>
      </c>
      <c r="R106" s="511">
        <v>0</v>
      </c>
      <c r="S106" s="521">
        <v>0</v>
      </c>
      <c r="T106" s="390">
        <v>0</v>
      </c>
      <c r="U106" s="480">
        <v>0</v>
      </c>
      <c r="V106" s="670">
        <v>0</v>
      </c>
      <c r="W106" s="674" t="str">
        <f t="shared" si="32"/>
        <v/>
      </c>
      <c r="X106" s="674">
        <v>0</v>
      </c>
      <c r="Y106" s="603">
        <f>($C107*(1-$V$1))-$D106</f>
        <v>-200</v>
      </c>
      <c r="Z106" s="621">
        <f>($F106/100*$X$1)-($F107/100*$W$1)+($F107/100*$W$1*($AE$1*$AD$1))</f>
        <v>-3.5361761643835408</v>
      </c>
      <c r="AA106" s="685" t="str">
        <f>MID($A106,1,5)</f>
        <v xml:space="preserve">GD29 </v>
      </c>
    </row>
    <row r="107" spans="1:28" ht="12.75" customHeight="1">
      <c r="A107" s="485" t="s">
        <v>187</v>
      </c>
      <c r="B107" s="357">
        <v>14828</v>
      </c>
      <c r="C107" s="359">
        <v>34900</v>
      </c>
      <c r="D107" s="359">
        <v>35299.5</v>
      </c>
      <c r="E107" s="357">
        <v>290</v>
      </c>
      <c r="F107" s="360">
        <v>35299.5</v>
      </c>
      <c r="G107" s="335">
        <v>8.5000000000000006E-3</v>
      </c>
      <c r="H107" s="346">
        <v>34000</v>
      </c>
      <c r="I107" s="337">
        <v>35889.5</v>
      </c>
      <c r="J107" s="337">
        <v>33200</v>
      </c>
      <c r="K107" s="438">
        <v>34999</v>
      </c>
      <c r="L107" s="344">
        <v>97547052</v>
      </c>
      <c r="M107" s="341">
        <v>280234</v>
      </c>
      <c r="N107" s="344">
        <v>167</v>
      </c>
      <c r="O107" s="564">
        <v>45264.702152777776</v>
      </c>
      <c r="P107" s="581">
        <v>106</v>
      </c>
      <c r="Q107" s="445">
        <v>0</v>
      </c>
      <c r="R107" s="512">
        <v>0</v>
      </c>
      <c r="S107" s="518">
        <v>0</v>
      </c>
      <c r="T107" s="389">
        <v>0</v>
      </c>
      <c r="U107" s="481">
        <v>0</v>
      </c>
      <c r="V107" s="671">
        <v>0</v>
      </c>
      <c r="W107" s="675" t="str">
        <f t="shared" si="32"/>
        <v/>
      </c>
      <c r="X107" s="675">
        <v>0</v>
      </c>
      <c r="Y107" s="547">
        <f>IFERROR((($C107-$D106)/100)/$D106*100,0)</f>
        <v>-5.6980056980056974E-3</v>
      </c>
      <c r="Z107" s="622">
        <f>$F107/100*$W$1*($AE$1*$AD$1)</f>
        <v>1.7988238356164385</v>
      </c>
      <c r="AA107" s="686"/>
    </row>
    <row r="108" spans="1:28" ht="12.75" customHeight="1">
      <c r="A108" s="376" t="s">
        <v>601</v>
      </c>
      <c r="B108" s="364"/>
      <c r="C108" s="365"/>
      <c r="D108" s="365"/>
      <c r="E108" s="364"/>
      <c r="F108" s="366"/>
      <c r="G108" s="367"/>
      <c r="H108" s="368"/>
      <c r="I108" s="338"/>
      <c r="J108" s="338"/>
      <c r="K108" s="443">
        <v>23.8</v>
      </c>
      <c r="L108" s="394"/>
      <c r="M108" s="342"/>
      <c r="N108" s="394"/>
      <c r="O108" s="566"/>
      <c r="P108" s="582">
        <v>107</v>
      </c>
      <c r="Q108" s="446">
        <v>0</v>
      </c>
      <c r="R108" s="514">
        <v>0</v>
      </c>
      <c r="S108" s="523">
        <v>0</v>
      </c>
      <c r="T108" s="388">
        <v>0</v>
      </c>
      <c r="U108" s="480">
        <v>0</v>
      </c>
      <c r="V108" s="673">
        <v>0</v>
      </c>
      <c r="W108" s="674" t="str">
        <f t="shared" si="32"/>
        <v/>
      </c>
      <c r="X108" s="676">
        <v>0</v>
      </c>
      <c r="Y108" s="531">
        <f>($F109*(1-$V$1))-$F108</f>
        <v>0</v>
      </c>
      <c r="Z108" s="623">
        <f>IFERROR(F106/F108,0)</f>
        <v>0</v>
      </c>
      <c r="AA108" s="629" t="str">
        <f>IFERROR($AB$1/(F108/100)*(F106/100),"")</f>
        <v/>
      </c>
      <c r="AB108" s="436" t="str">
        <f>IFERROR((AA108/(F106/100))*(F108/100),"")</f>
        <v/>
      </c>
    </row>
    <row r="109" spans="1:28" ht="12.75" customHeight="1">
      <c r="A109" s="597" t="s">
        <v>232</v>
      </c>
      <c r="B109" s="356"/>
      <c r="C109" s="358"/>
      <c r="D109" s="358"/>
      <c r="E109" s="356"/>
      <c r="F109" s="360"/>
      <c r="G109" s="335"/>
      <c r="H109" s="346"/>
      <c r="I109" s="337"/>
      <c r="J109" s="337"/>
      <c r="K109" s="438">
        <v>26.75</v>
      </c>
      <c r="L109" s="344"/>
      <c r="M109" s="341"/>
      <c r="N109" s="344"/>
      <c r="O109" s="564"/>
      <c r="P109" s="581">
        <v>108</v>
      </c>
      <c r="Q109" s="445">
        <v>0</v>
      </c>
      <c r="R109" s="512">
        <v>0</v>
      </c>
      <c r="S109" s="518">
        <v>0</v>
      </c>
      <c r="T109" s="389">
        <v>0</v>
      </c>
      <c r="U109" s="481">
        <v>0</v>
      </c>
      <c r="V109" s="672">
        <v>0</v>
      </c>
      <c r="W109" s="675" t="str">
        <f t="shared" si="32"/>
        <v/>
      </c>
      <c r="X109" s="675">
        <v>0</v>
      </c>
      <c r="Y109" s="545">
        <f>IFERROR((($F109-$F108)/100)/$F108*100,0)</f>
        <v>0</v>
      </c>
      <c r="Z109" s="624">
        <f>IFERROR(F107/F109,0)</f>
        <v>0</v>
      </c>
      <c r="AA109" s="630" t="str">
        <f>IFERROR($AB$1/(F109/100)*(F107/100),"")</f>
        <v/>
      </c>
      <c r="AB109" s="436" t="str">
        <f>IFERROR((AA109/(F107/100))*(F109/100),"")</f>
        <v/>
      </c>
    </row>
    <row r="110" spans="1:28" ht="12.75" customHeight="1">
      <c r="A110" s="376" t="s">
        <v>602</v>
      </c>
      <c r="B110" s="369">
        <v>1</v>
      </c>
      <c r="C110" s="365">
        <v>35.5</v>
      </c>
      <c r="D110" s="365">
        <v>38.35</v>
      </c>
      <c r="E110" s="369">
        <v>119</v>
      </c>
      <c r="F110" s="366">
        <v>38.299999999999997</v>
      </c>
      <c r="G110" s="367">
        <v>7.8000000000000005E-3</v>
      </c>
      <c r="H110" s="368">
        <v>38.299999999999997</v>
      </c>
      <c r="I110" s="338">
        <v>38.299999999999997</v>
      </c>
      <c r="J110" s="338">
        <v>38.299999999999997</v>
      </c>
      <c r="K110" s="443">
        <v>38</v>
      </c>
      <c r="L110" s="394">
        <v>766</v>
      </c>
      <c r="M110" s="342">
        <v>2000</v>
      </c>
      <c r="N110" s="394">
        <v>2</v>
      </c>
      <c r="O110" s="566">
        <v>45264.669039351851</v>
      </c>
      <c r="P110" s="582">
        <v>109</v>
      </c>
      <c r="Q110" s="446">
        <v>0</v>
      </c>
      <c r="R110" s="514">
        <v>0</v>
      </c>
      <c r="S110" s="523">
        <v>0</v>
      </c>
      <c r="T110" s="388">
        <v>0</v>
      </c>
      <c r="U110" s="480">
        <v>0</v>
      </c>
      <c r="V110" s="662">
        <v>0</v>
      </c>
      <c r="W110" s="674" t="str">
        <f t="shared" si="32"/>
        <v/>
      </c>
      <c r="X110" s="676">
        <v>0</v>
      </c>
      <c r="Y110" s="532">
        <f>($F111*(1-$V$1))-$F110</f>
        <v>-0.29999999999999716</v>
      </c>
      <c r="Z110" s="625">
        <f>IFERROR(F106/F110,0)</f>
        <v>907.72845953002616</v>
      </c>
      <c r="AA110" s="629">
        <f>IFERROR($AB$1/(F110/100)*(F106/100),"")</f>
        <v>476557.44125326374</v>
      </c>
      <c r="AB110" s="436">
        <f>IFERROR((AA110/(F106/100))*(F110/100),"")</f>
        <v>525</v>
      </c>
    </row>
    <row r="111" spans="1:28" ht="12.75" customHeight="1">
      <c r="A111" s="488" t="s">
        <v>233</v>
      </c>
      <c r="B111" s="426">
        <v>1000</v>
      </c>
      <c r="C111" s="427">
        <v>37.51</v>
      </c>
      <c r="D111" s="427">
        <v>38</v>
      </c>
      <c r="E111" s="426">
        <v>548</v>
      </c>
      <c r="F111" s="421">
        <v>38</v>
      </c>
      <c r="G111" s="411">
        <v>3.8199999999999998E-2</v>
      </c>
      <c r="H111" s="412">
        <v>38.200000000000003</v>
      </c>
      <c r="I111" s="413">
        <v>38.4</v>
      </c>
      <c r="J111" s="413">
        <v>37</v>
      </c>
      <c r="K111" s="439">
        <v>36.6</v>
      </c>
      <c r="L111" s="418">
        <v>11166</v>
      </c>
      <c r="M111" s="414">
        <v>29382</v>
      </c>
      <c r="N111" s="418">
        <v>42</v>
      </c>
      <c r="O111" s="568">
        <v>45264.708518518521</v>
      </c>
      <c r="P111" s="581">
        <v>110</v>
      </c>
      <c r="Q111" s="447">
        <v>0</v>
      </c>
      <c r="R111" s="516">
        <v>0</v>
      </c>
      <c r="S111" s="524">
        <v>0</v>
      </c>
      <c r="T111" s="419">
        <v>0</v>
      </c>
      <c r="U111" s="481">
        <v>0</v>
      </c>
      <c r="V111" s="482">
        <v>0</v>
      </c>
      <c r="W111" s="678" t="str">
        <f t="shared" si="32"/>
        <v/>
      </c>
      <c r="X111" s="677">
        <v>0</v>
      </c>
      <c r="Y111" s="544">
        <f>IFERROR((($F111-$F110)/100)/$F110*100,0)</f>
        <v>-7.8328981723236862E-3</v>
      </c>
      <c r="Z111" s="626">
        <f>IFERROR(F107/F111,0)</f>
        <v>928.93421052631584</v>
      </c>
      <c r="AA111" s="631">
        <f>IFERROR($AB$1/(F111/100)*(F107/100),"")</f>
        <v>487690.46052631579</v>
      </c>
      <c r="AB111" s="436">
        <f>IFERROR((AA111/(F107/100))*(F111/100),"")</f>
        <v>525</v>
      </c>
    </row>
    <row r="112" spans="1:28" ht="12.75" customHeight="1">
      <c r="A112" s="487" t="s">
        <v>603</v>
      </c>
      <c r="B112" s="397">
        <v>889</v>
      </c>
      <c r="C112" s="330">
        <v>31621</v>
      </c>
      <c r="D112" s="420">
        <v>32280</v>
      </c>
      <c r="E112" s="397">
        <v>1000</v>
      </c>
      <c r="F112" s="541">
        <v>31768</v>
      </c>
      <c r="G112" s="348">
        <v>8.5000000000000006E-3</v>
      </c>
      <c r="H112" s="347">
        <v>32600</v>
      </c>
      <c r="I112" s="339">
        <v>33000</v>
      </c>
      <c r="J112" s="339">
        <v>30286</v>
      </c>
      <c r="K112" s="442">
        <v>31500</v>
      </c>
      <c r="L112" s="410">
        <v>2798996602</v>
      </c>
      <c r="M112" s="343">
        <v>8809403</v>
      </c>
      <c r="N112" s="450">
        <v>739</v>
      </c>
      <c r="O112" s="569">
        <v>45264.682557870372</v>
      </c>
      <c r="P112" s="582">
        <v>111</v>
      </c>
      <c r="Q112" s="448">
        <v>0</v>
      </c>
      <c r="R112" s="511">
        <v>0</v>
      </c>
      <c r="S112" s="521">
        <v>0</v>
      </c>
      <c r="T112" s="390">
        <v>0</v>
      </c>
      <c r="U112" s="480">
        <v>0</v>
      </c>
      <c r="V112" s="670">
        <v>0</v>
      </c>
      <c r="W112" s="674" t="str">
        <f t="shared" si="32"/>
        <v/>
      </c>
      <c r="X112" s="674">
        <v>0</v>
      </c>
      <c r="Y112" s="603">
        <f>($C113*(1-$V$1))-$D112</f>
        <v>-451</v>
      </c>
      <c r="Z112" s="621">
        <f>($F112/100*$X$1)-($F113/100*$W$1)+($F113/100*$W$1*($AE$1*$AD$1))</f>
        <v>0.55928958904109827</v>
      </c>
      <c r="AA112" s="685" t="str">
        <f>MID($A112,1,5)</f>
        <v xml:space="preserve">GD35 </v>
      </c>
    </row>
    <row r="113" spans="1:28" ht="12.75" customHeight="1">
      <c r="A113" s="485" t="s">
        <v>164</v>
      </c>
      <c r="B113" s="357">
        <v>23</v>
      </c>
      <c r="C113" s="359">
        <v>31829</v>
      </c>
      <c r="D113" s="359">
        <v>31875</v>
      </c>
      <c r="E113" s="357">
        <v>195822</v>
      </c>
      <c r="F113" s="360">
        <v>31874.5</v>
      </c>
      <c r="G113" s="335">
        <v>-1.9199999999999998E-2</v>
      </c>
      <c r="H113" s="346">
        <v>32500</v>
      </c>
      <c r="I113" s="337">
        <v>33251</v>
      </c>
      <c r="J113" s="337">
        <v>30000</v>
      </c>
      <c r="K113" s="438">
        <v>32500</v>
      </c>
      <c r="L113" s="344">
        <v>5346687217</v>
      </c>
      <c r="M113" s="341">
        <v>16856216</v>
      </c>
      <c r="N113" s="344">
        <v>1664</v>
      </c>
      <c r="O113" s="564">
        <v>45264.708634259259</v>
      </c>
      <c r="P113" s="581">
        <v>112</v>
      </c>
      <c r="Q113" s="445">
        <v>0</v>
      </c>
      <c r="R113" s="512">
        <v>0</v>
      </c>
      <c r="S113" s="518">
        <v>0</v>
      </c>
      <c r="T113" s="389">
        <v>0</v>
      </c>
      <c r="U113" s="481">
        <v>0</v>
      </c>
      <c r="V113" s="671">
        <v>0</v>
      </c>
      <c r="W113" s="675" t="str">
        <f t="shared" si="32"/>
        <v/>
      </c>
      <c r="X113" s="675">
        <v>0</v>
      </c>
      <c r="Y113" s="547">
        <f>IFERROR((($C113-$D112)/100)/$D112*100,0)</f>
        <v>-1.3971499380421311E-2</v>
      </c>
      <c r="Z113" s="622">
        <f>$F113/100*$W$1*($AE$1*$AD$1)</f>
        <v>1.624289589041096</v>
      </c>
      <c r="AA113" s="686"/>
    </row>
    <row r="114" spans="1:28" ht="12.75" customHeight="1">
      <c r="A114" s="376" t="s">
        <v>604</v>
      </c>
      <c r="B114" s="364"/>
      <c r="C114" s="365"/>
      <c r="D114" s="365"/>
      <c r="E114" s="364"/>
      <c r="F114" s="366"/>
      <c r="G114" s="367"/>
      <c r="H114" s="368"/>
      <c r="I114" s="338"/>
      <c r="J114" s="338"/>
      <c r="K114" s="443">
        <v>25.5</v>
      </c>
      <c r="L114" s="394"/>
      <c r="M114" s="342"/>
      <c r="N114" s="394"/>
      <c r="O114" s="566"/>
      <c r="P114" s="582">
        <v>113</v>
      </c>
      <c r="Q114" s="446">
        <v>0</v>
      </c>
      <c r="R114" s="514">
        <v>0</v>
      </c>
      <c r="S114" s="523">
        <v>0</v>
      </c>
      <c r="T114" s="388">
        <v>0</v>
      </c>
      <c r="U114" s="480">
        <v>0</v>
      </c>
      <c r="V114" s="673">
        <v>0</v>
      </c>
      <c r="W114" s="674" t="str">
        <f t="shared" si="32"/>
        <v/>
      </c>
      <c r="X114" s="676">
        <v>0</v>
      </c>
      <c r="Y114" s="531">
        <f>($F115*(1-$V$1))-$F114</f>
        <v>0</v>
      </c>
      <c r="Z114" s="623">
        <f>IFERROR(F112/F114,0)</f>
        <v>0</v>
      </c>
      <c r="AA114" s="629" t="str">
        <f>IFERROR($AB$1/(F114/100)*(F112/100),"")</f>
        <v/>
      </c>
      <c r="AB114" s="436" t="str">
        <f>IFERROR((AA114/(F112/100))*(F114/100),"")</f>
        <v/>
      </c>
    </row>
    <row r="115" spans="1:28" ht="12.75" customHeight="1">
      <c r="A115" s="597" t="s">
        <v>220</v>
      </c>
      <c r="B115" s="356"/>
      <c r="C115" s="358"/>
      <c r="D115" s="358"/>
      <c r="E115" s="356"/>
      <c r="F115" s="360"/>
      <c r="G115" s="335"/>
      <c r="H115" s="346"/>
      <c r="I115" s="337"/>
      <c r="J115" s="337"/>
      <c r="K115" s="438">
        <v>33.75</v>
      </c>
      <c r="L115" s="344"/>
      <c r="M115" s="341"/>
      <c r="N115" s="344"/>
      <c r="O115" s="564"/>
      <c r="P115" s="581">
        <v>114</v>
      </c>
      <c r="Q115" s="445">
        <v>0</v>
      </c>
      <c r="R115" s="512">
        <v>0</v>
      </c>
      <c r="S115" s="518">
        <v>0</v>
      </c>
      <c r="T115" s="389">
        <v>0</v>
      </c>
      <c r="U115" s="481">
        <v>0</v>
      </c>
      <c r="V115" s="672">
        <v>0</v>
      </c>
      <c r="W115" s="675" t="str">
        <f t="shared" si="32"/>
        <v/>
      </c>
      <c r="X115" s="675">
        <v>0</v>
      </c>
      <c r="Y115" s="545">
        <f>IFERROR((($F115-$F114)/100)/$F114*100,0)</f>
        <v>0</v>
      </c>
      <c r="Z115" s="624">
        <f>IFERROR(F113/F115,0)</f>
        <v>0</v>
      </c>
      <c r="AA115" s="630" t="str">
        <f>IFERROR($AB$1/(F115/100)*(F113/100),"")</f>
        <v/>
      </c>
      <c r="AB115" s="436" t="str">
        <f>IFERROR((AA115/(F113/100))*(F115/100),"")</f>
        <v/>
      </c>
    </row>
    <row r="116" spans="1:28" ht="12.75" customHeight="1">
      <c r="A116" s="376" t="s">
        <v>605</v>
      </c>
      <c r="B116" s="369">
        <v>19830</v>
      </c>
      <c r="C116" s="365">
        <v>35.1</v>
      </c>
      <c r="D116" s="365">
        <v>35.9</v>
      </c>
      <c r="E116" s="369">
        <v>21350</v>
      </c>
      <c r="F116" s="366">
        <v>35.9</v>
      </c>
      <c r="G116" s="367">
        <v>7.3700000000000002E-2</v>
      </c>
      <c r="H116" s="368">
        <v>34.9</v>
      </c>
      <c r="I116" s="338">
        <v>36.9</v>
      </c>
      <c r="J116" s="338">
        <v>33.950000000000003</v>
      </c>
      <c r="K116" s="443">
        <v>33.433</v>
      </c>
      <c r="L116" s="394">
        <v>13554</v>
      </c>
      <c r="M116" s="342">
        <v>38480</v>
      </c>
      <c r="N116" s="394">
        <v>29</v>
      </c>
      <c r="O116" s="566">
        <v>45264.649965277778</v>
      </c>
      <c r="P116" s="582">
        <v>115</v>
      </c>
      <c r="Q116" s="446">
        <v>0</v>
      </c>
      <c r="R116" s="514">
        <v>0</v>
      </c>
      <c r="S116" s="523">
        <v>0</v>
      </c>
      <c r="T116" s="388">
        <v>0</v>
      </c>
      <c r="U116" s="480">
        <v>0</v>
      </c>
      <c r="V116" s="662">
        <v>0</v>
      </c>
      <c r="W116" s="674" t="str">
        <f t="shared" si="32"/>
        <v/>
      </c>
      <c r="X116" s="676">
        <v>0</v>
      </c>
      <c r="Y116" s="532">
        <f>($F117*(1-$V$1))-$F116</f>
        <v>-0.79999999999999716</v>
      </c>
      <c r="Z116" s="625">
        <f>IFERROR(F112/F116,0)</f>
        <v>884.90250696378837</v>
      </c>
      <c r="AA116" s="629">
        <f>IFERROR($AB$1/(F116/100)*(F112/100),"")</f>
        <v>464573.8161559889</v>
      </c>
      <c r="AB116" s="436">
        <f>IFERROR((AA116/(F112/100))*(F116/100),"")</f>
        <v>525</v>
      </c>
    </row>
    <row r="117" spans="1:28" ht="12.75" customHeight="1">
      <c r="A117" s="488" t="s">
        <v>221</v>
      </c>
      <c r="B117" s="426">
        <v>12382</v>
      </c>
      <c r="C117" s="427">
        <v>35.1</v>
      </c>
      <c r="D117" s="427">
        <v>35.4</v>
      </c>
      <c r="E117" s="426">
        <v>14367</v>
      </c>
      <c r="F117" s="421">
        <v>35.1</v>
      </c>
      <c r="G117" s="411">
        <v>2.8000000000000004E-3</v>
      </c>
      <c r="H117" s="412">
        <v>35.549999999999997</v>
      </c>
      <c r="I117" s="413">
        <v>36.200000000000003</v>
      </c>
      <c r="J117" s="413">
        <v>34</v>
      </c>
      <c r="K117" s="439">
        <v>35</v>
      </c>
      <c r="L117" s="418">
        <v>208383</v>
      </c>
      <c r="M117" s="414">
        <v>587521</v>
      </c>
      <c r="N117" s="418">
        <v>143</v>
      </c>
      <c r="O117" s="567">
        <v>45264.708344907405</v>
      </c>
      <c r="P117" s="581">
        <v>116</v>
      </c>
      <c r="Q117" s="447">
        <v>0</v>
      </c>
      <c r="R117" s="516">
        <v>0</v>
      </c>
      <c r="S117" s="524">
        <v>0</v>
      </c>
      <c r="T117" s="419">
        <v>0</v>
      </c>
      <c r="U117" s="481">
        <v>0</v>
      </c>
      <c r="V117" s="482">
        <v>0</v>
      </c>
      <c r="W117" s="678" t="str">
        <f t="shared" si="32"/>
        <v/>
      </c>
      <c r="X117" s="677">
        <v>0</v>
      </c>
      <c r="Y117" s="544">
        <f>IFERROR((($F117-$F116)/100)/$F116*100,0)</f>
        <v>-2.2284122562674018E-2</v>
      </c>
      <c r="Z117" s="626">
        <f>IFERROR(F113/F117,0)</f>
        <v>908.10541310541305</v>
      </c>
      <c r="AA117" s="631">
        <f>IFERROR($AB$1/(F117/100)*(F113/100),"")</f>
        <v>476755.34188034188</v>
      </c>
      <c r="AB117" s="436">
        <f>IFERROR((AA117/(F113/100))*(F117/100),"")</f>
        <v>525</v>
      </c>
    </row>
    <row r="118" spans="1:28" ht="12.75" customHeight="1">
      <c r="A118" s="487" t="s">
        <v>609</v>
      </c>
      <c r="B118" s="397">
        <v>28</v>
      </c>
      <c r="C118" s="330">
        <v>36300</v>
      </c>
      <c r="D118" s="420">
        <v>37000</v>
      </c>
      <c r="E118" s="397">
        <v>800</v>
      </c>
      <c r="F118" s="541">
        <v>36599.5</v>
      </c>
      <c r="G118" s="348">
        <v>3.9699999999999999E-2</v>
      </c>
      <c r="H118" s="347">
        <v>36989</v>
      </c>
      <c r="I118" s="339">
        <v>37999</v>
      </c>
      <c r="J118" s="339">
        <v>35390</v>
      </c>
      <c r="K118" s="442">
        <v>35201</v>
      </c>
      <c r="L118" s="410">
        <v>17056665</v>
      </c>
      <c r="M118" s="343">
        <v>46166</v>
      </c>
      <c r="N118" s="410">
        <v>131</v>
      </c>
      <c r="O118" s="563">
        <v>45264.683078703703</v>
      </c>
      <c r="P118" s="582">
        <v>117</v>
      </c>
      <c r="Q118" s="448">
        <v>0</v>
      </c>
      <c r="R118" s="511">
        <v>0</v>
      </c>
      <c r="S118" s="521">
        <v>0</v>
      </c>
      <c r="T118" s="390">
        <v>0</v>
      </c>
      <c r="U118" s="480">
        <v>0</v>
      </c>
      <c r="V118" s="670">
        <v>0</v>
      </c>
      <c r="W118" s="674" t="str">
        <f t="shared" ref="W118:W135" si="33">IF(X118&gt;0,(F118*V118/100)-(V118*X118),"")</f>
        <v/>
      </c>
      <c r="X118" s="674">
        <v>0</v>
      </c>
      <c r="Y118" s="603">
        <f>($C119*(1-$V$1))-$D118</f>
        <v>-600</v>
      </c>
      <c r="Z118" s="621">
        <f>($F118/100*$X$1)-($F119/100*$W$1)+($F119/100*$W$1*($AE$1*$AD$1))</f>
        <v>3.8449295890411053</v>
      </c>
      <c r="AA118" s="685" t="str">
        <f>MID($A118,1,5)</f>
        <v xml:space="preserve">GD38 </v>
      </c>
    </row>
    <row r="119" spans="1:28" ht="12.75" customHeight="1">
      <c r="A119" s="485" t="s">
        <v>190</v>
      </c>
      <c r="B119" s="357">
        <v>1003</v>
      </c>
      <c r="C119" s="359">
        <v>36400</v>
      </c>
      <c r="D119" s="359">
        <v>36600</v>
      </c>
      <c r="E119" s="357">
        <v>92000</v>
      </c>
      <c r="F119" s="360">
        <v>36400.5</v>
      </c>
      <c r="G119" s="335">
        <v>-2.5399999999999999E-2</v>
      </c>
      <c r="H119" s="346">
        <v>37350</v>
      </c>
      <c r="I119" s="337">
        <v>37500</v>
      </c>
      <c r="J119" s="337">
        <v>35500</v>
      </c>
      <c r="K119" s="438">
        <v>37350</v>
      </c>
      <c r="L119" s="344">
        <v>896279239</v>
      </c>
      <c r="M119" s="341">
        <v>2465925</v>
      </c>
      <c r="N119" s="344">
        <v>477</v>
      </c>
      <c r="O119" s="564">
        <v>45264.708634259259</v>
      </c>
      <c r="P119" s="581">
        <v>118</v>
      </c>
      <c r="Q119" s="445">
        <v>0</v>
      </c>
      <c r="R119" s="512">
        <v>0</v>
      </c>
      <c r="S119" s="518">
        <v>0</v>
      </c>
      <c r="T119" s="389">
        <v>0</v>
      </c>
      <c r="U119" s="481">
        <v>0</v>
      </c>
      <c r="V119" s="671">
        <v>0</v>
      </c>
      <c r="W119" s="675" t="str">
        <f t="shared" si="33"/>
        <v/>
      </c>
      <c r="X119" s="675">
        <v>0</v>
      </c>
      <c r="Y119" s="547">
        <f>IFERROR((($C119-$D118)/100)/$D118*100,0)</f>
        <v>-1.6216216216216217E-2</v>
      </c>
      <c r="Z119" s="622">
        <f>$F119/100*$W$1*($AE$1*$AD$1)</f>
        <v>1.8549295890410959</v>
      </c>
      <c r="AA119" s="686"/>
    </row>
    <row r="120" spans="1:28" ht="12.75" customHeight="1">
      <c r="A120" s="376" t="s">
        <v>610</v>
      </c>
      <c r="B120" s="364"/>
      <c r="C120" s="365"/>
      <c r="D120" s="365"/>
      <c r="E120" s="364"/>
      <c r="F120" s="366"/>
      <c r="G120" s="367"/>
      <c r="H120" s="368"/>
      <c r="I120" s="338"/>
      <c r="J120" s="338"/>
      <c r="K120" s="443">
        <v>35.5</v>
      </c>
      <c r="L120" s="394"/>
      <c r="M120" s="342"/>
      <c r="N120" s="394"/>
      <c r="O120" s="566"/>
      <c r="P120" s="582">
        <v>119</v>
      </c>
      <c r="Q120" s="446">
        <v>0</v>
      </c>
      <c r="R120" s="514">
        <v>0</v>
      </c>
      <c r="S120" s="523">
        <v>0</v>
      </c>
      <c r="T120" s="388">
        <v>0</v>
      </c>
      <c r="U120" s="480">
        <v>0</v>
      </c>
      <c r="V120" s="673">
        <v>0</v>
      </c>
      <c r="W120" s="674" t="str">
        <f t="shared" si="33"/>
        <v/>
      </c>
      <c r="X120" s="676">
        <v>0</v>
      </c>
      <c r="Y120" s="531">
        <f>($F121*(1-$V$1))-$F120</f>
        <v>0</v>
      </c>
      <c r="Z120" s="623">
        <f>IFERROR(F118/F120,0)</f>
        <v>0</v>
      </c>
      <c r="AA120" s="629" t="str">
        <f>IFERROR($AB$1/(F120/100)*(F118/100),"")</f>
        <v/>
      </c>
      <c r="AB120" s="436" t="str">
        <f>IFERROR((AA120/(F118/100))*(F120/100),"")</f>
        <v/>
      </c>
    </row>
    <row r="121" spans="1:28" ht="12.75" customHeight="1">
      <c r="A121" s="597" t="s">
        <v>234</v>
      </c>
      <c r="B121" s="356"/>
      <c r="C121" s="358"/>
      <c r="D121" s="358"/>
      <c r="E121" s="356"/>
      <c r="F121" s="360"/>
      <c r="G121" s="335"/>
      <c r="H121" s="346"/>
      <c r="I121" s="337"/>
      <c r="J121" s="337"/>
      <c r="K121" s="438">
        <v>32.563000000000002</v>
      </c>
      <c r="L121" s="344"/>
      <c r="M121" s="341"/>
      <c r="N121" s="344"/>
      <c r="O121" s="564"/>
      <c r="P121" s="581">
        <v>120</v>
      </c>
      <c r="Q121" s="445">
        <v>0</v>
      </c>
      <c r="R121" s="512">
        <v>0</v>
      </c>
      <c r="S121" s="518">
        <v>0</v>
      </c>
      <c r="T121" s="389">
        <v>0</v>
      </c>
      <c r="U121" s="481">
        <v>0</v>
      </c>
      <c r="V121" s="672">
        <v>0</v>
      </c>
      <c r="W121" s="675" t="str">
        <f t="shared" si="33"/>
        <v/>
      </c>
      <c r="X121" s="675">
        <v>0</v>
      </c>
      <c r="Y121" s="545">
        <f>IFERROR((($F121-$F120)/100)/$F120*100,0)</f>
        <v>0</v>
      </c>
      <c r="Z121" s="624">
        <f>IFERROR(F119/F121,0)</f>
        <v>0</v>
      </c>
      <c r="AA121" s="630" t="str">
        <f>IFERROR($AB$1/(F121/100)*(F119/100),"")</f>
        <v/>
      </c>
      <c r="AB121" s="436" t="str">
        <f>IFERROR((AA121/(F119/100))*(F121/100),"")</f>
        <v/>
      </c>
    </row>
    <row r="122" spans="1:28" ht="12.75" customHeight="1">
      <c r="A122" s="376" t="s">
        <v>611</v>
      </c>
      <c r="B122" s="369">
        <v>6000</v>
      </c>
      <c r="C122" s="365">
        <v>40.6</v>
      </c>
      <c r="D122" s="365">
        <v>42</v>
      </c>
      <c r="E122" s="369">
        <v>700</v>
      </c>
      <c r="F122" s="366">
        <v>41.9</v>
      </c>
      <c r="G122" s="367">
        <v>0.1026</v>
      </c>
      <c r="H122" s="368">
        <v>41</v>
      </c>
      <c r="I122" s="338">
        <v>42.1</v>
      </c>
      <c r="J122" s="338">
        <v>41</v>
      </c>
      <c r="K122" s="443">
        <v>38</v>
      </c>
      <c r="L122" s="394">
        <v>2156</v>
      </c>
      <c r="M122" s="342">
        <v>5169</v>
      </c>
      <c r="N122" s="394">
        <v>10</v>
      </c>
      <c r="O122" s="566">
        <v>45264.638078703705</v>
      </c>
      <c r="P122" s="582">
        <v>121</v>
      </c>
      <c r="Q122" s="446">
        <v>0</v>
      </c>
      <c r="R122" s="514">
        <v>0</v>
      </c>
      <c r="S122" s="523">
        <v>0</v>
      </c>
      <c r="T122" s="388">
        <v>0</v>
      </c>
      <c r="U122" s="480">
        <v>0</v>
      </c>
      <c r="V122" s="662">
        <v>0</v>
      </c>
      <c r="W122" s="674" t="str">
        <f t="shared" si="33"/>
        <v/>
      </c>
      <c r="X122" s="676">
        <v>0</v>
      </c>
      <c r="Y122" s="532">
        <f>($F123*(1-$V$1))-$F122</f>
        <v>-0.39999999999999858</v>
      </c>
      <c r="Z122" s="625">
        <f>IFERROR(F118/F122,0)</f>
        <v>873.49642004773273</v>
      </c>
      <c r="AA122" s="629">
        <f>IFERROR($AB$1/(F122/100)*(F118/100),"")</f>
        <v>458585.6205250597</v>
      </c>
      <c r="AB122" s="436">
        <f>IFERROR((AA122/(F118/100))*(F122/100),"")</f>
        <v>525</v>
      </c>
    </row>
    <row r="123" spans="1:28" ht="12.75" customHeight="1">
      <c r="A123" s="488" t="s">
        <v>235</v>
      </c>
      <c r="B123" s="426">
        <v>476</v>
      </c>
      <c r="C123" s="427">
        <v>41.5</v>
      </c>
      <c r="D123" s="427">
        <v>42.64</v>
      </c>
      <c r="E123" s="426">
        <v>100</v>
      </c>
      <c r="F123" s="421">
        <v>41.5</v>
      </c>
      <c r="G123" s="411">
        <v>-1.1899999999999999E-2</v>
      </c>
      <c r="H123" s="412">
        <v>41.45</v>
      </c>
      <c r="I123" s="413">
        <v>42</v>
      </c>
      <c r="J123" s="413">
        <v>40</v>
      </c>
      <c r="K123" s="439">
        <v>42</v>
      </c>
      <c r="L123" s="418">
        <v>8258</v>
      </c>
      <c r="M123" s="414">
        <v>20046</v>
      </c>
      <c r="N123" s="418">
        <v>43</v>
      </c>
      <c r="O123" s="567">
        <v>45264.708599537036</v>
      </c>
      <c r="P123" s="581">
        <v>122</v>
      </c>
      <c r="Q123" s="447">
        <v>0</v>
      </c>
      <c r="R123" s="516">
        <v>0</v>
      </c>
      <c r="S123" s="524">
        <v>0</v>
      </c>
      <c r="T123" s="419">
        <v>0</v>
      </c>
      <c r="U123" s="481">
        <v>0</v>
      </c>
      <c r="V123" s="482">
        <v>0</v>
      </c>
      <c r="W123" s="678" t="str">
        <f t="shared" si="33"/>
        <v/>
      </c>
      <c r="X123" s="677">
        <v>0</v>
      </c>
      <c r="Y123" s="544">
        <f>IFERROR((($F123-$F122)/100)/$F122*100,0)</f>
        <v>-9.5465393794749078E-3</v>
      </c>
      <c r="Z123" s="626">
        <f>IFERROR(F119/F123,0)</f>
        <v>877.1204819277109</v>
      </c>
      <c r="AA123" s="631">
        <f>IFERROR($AB$1/(F123/100)*(F119/100),"")</f>
        <v>460488.2530120482</v>
      </c>
      <c r="AB123" s="436">
        <f>IFERROR((AA123/(F119/100))*(F123/100),"")</f>
        <v>525</v>
      </c>
    </row>
    <row r="124" spans="1:28" ht="12.75" customHeight="1">
      <c r="A124" s="487" t="s">
        <v>606</v>
      </c>
      <c r="B124" s="397">
        <v>4897</v>
      </c>
      <c r="C124" s="330">
        <v>32000</v>
      </c>
      <c r="D124" s="420">
        <v>32900</v>
      </c>
      <c r="E124" s="397">
        <v>5000</v>
      </c>
      <c r="F124" s="541">
        <v>32000</v>
      </c>
      <c r="G124" s="348">
        <v>1.0500000000000001E-2</v>
      </c>
      <c r="H124" s="347">
        <v>33499</v>
      </c>
      <c r="I124" s="339">
        <v>34068</v>
      </c>
      <c r="J124" s="339">
        <v>31289.5</v>
      </c>
      <c r="K124" s="442">
        <v>31665</v>
      </c>
      <c r="L124" s="410">
        <v>24688916</v>
      </c>
      <c r="M124" s="343">
        <v>76917</v>
      </c>
      <c r="N124" s="410">
        <v>123</v>
      </c>
      <c r="O124" s="563">
        <v>45264.680405092593</v>
      </c>
      <c r="P124" s="582">
        <v>123</v>
      </c>
      <c r="Q124" s="448">
        <v>0</v>
      </c>
      <c r="R124" s="511">
        <v>0</v>
      </c>
      <c r="S124" s="521">
        <v>0</v>
      </c>
      <c r="T124" s="390">
        <v>0</v>
      </c>
      <c r="U124" s="480">
        <v>0</v>
      </c>
      <c r="V124" s="670">
        <v>0</v>
      </c>
      <c r="W124" s="674" t="str">
        <f t="shared" si="33"/>
        <v/>
      </c>
      <c r="X124" s="674">
        <v>0</v>
      </c>
      <c r="Y124" s="603">
        <f>($C125*(1-$V$1))-$D124</f>
        <v>-660</v>
      </c>
      <c r="Z124" s="621">
        <f>($F124/100*$X$1)-($F125/100*$W$1)+($F125/100*$W$1*($AE$1*$AD$1))</f>
        <v>-1.2445879452054658</v>
      </c>
      <c r="AA124" s="685" t="str">
        <f>MID($A124,1,5)</f>
        <v xml:space="preserve">GD41 </v>
      </c>
    </row>
    <row r="125" spans="1:28" ht="12.75" customHeight="1">
      <c r="A125" s="485" t="s">
        <v>188</v>
      </c>
      <c r="B125" s="357">
        <v>325</v>
      </c>
      <c r="C125" s="359">
        <v>32240</v>
      </c>
      <c r="D125" s="359">
        <v>32289</v>
      </c>
      <c r="E125" s="357">
        <v>7180</v>
      </c>
      <c r="F125" s="360">
        <v>32289</v>
      </c>
      <c r="G125" s="335">
        <v>-1.55E-2</v>
      </c>
      <c r="H125" s="346">
        <v>32800</v>
      </c>
      <c r="I125" s="337">
        <v>34299</v>
      </c>
      <c r="J125" s="337">
        <v>31100</v>
      </c>
      <c r="K125" s="438">
        <v>32800</v>
      </c>
      <c r="L125" s="344">
        <v>878820044</v>
      </c>
      <c r="M125" s="341">
        <v>2733940</v>
      </c>
      <c r="N125" s="344">
        <v>442</v>
      </c>
      <c r="O125" s="564">
        <v>45264.708553240744</v>
      </c>
      <c r="P125" s="581">
        <v>124</v>
      </c>
      <c r="Q125" s="445">
        <v>0</v>
      </c>
      <c r="R125" s="512">
        <v>0</v>
      </c>
      <c r="S125" s="518">
        <v>0</v>
      </c>
      <c r="T125" s="389">
        <v>0</v>
      </c>
      <c r="U125" s="481">
        <v>0</v>
      </c>
      <c r="V125" s="671">
        <v>0</v>
      </c>
      <c r="W125" s="675" t="str">
        <f t="shared" si="33"/>
        <v/>
      </c>
      <c r="X125" s="675">
        <v>0</v>
      </c>
      <c r="Y125" s="547">
        <f>IFERROR((($C125-$D124)/100)/$D124*100,0)</f>
        <v>-2.0060790273556228E-2</v>
      </c>
      <c r="Z125" s="622">
        <f>$F125/100*$W$1*($AE$1*$AD$1)</f>
        <v>1.6454120547945206</v>
      </c>
      <c r="AA125" s="686"/>
    </row>
    <row r="126" spans="1:28" ht="12.75" customHeight="1">
      <c r="A126" s="376" t="s">
        <v>607</v>
      </c>
      <c r="B126" s="364"/>
      <c r="C126" s="365"/>
      <c r="D126" s="365"/>
      <c r="E126" s="364"/>
      <c r="F126" s="366"/>
      <c r="G126" s="367"/>
      <c r="H126" s="368"/>
      <c r="I126" s="338"/>
      <c r="J126" s="338"/>
      <c r="K126" s="443">
        <v>29</v>
      </c>
      <c r="L126" s="394"/>
      <c r="M126" s="342"/>
      <c r="N126" s="394"/>
      <c r="O126" s="566"/>
      <c r="P126" s="582">
        <v>125</v>
      </c>
      <c r="Q126" s="446">
        <v>0</v>
      </c>
      <c r="R126" s="514">
        <v>0</v>
      </c>
      <c r="S126" s="523">
        <v>0</v>
      </c>
      <c r="T126" s="388">
        <v>0</v>
      </c>
      <c r="U126" s="480">
        <v>0</v>
      </c>
      <c r="V126" s="673">
        <v>0</v>
      </c>
      <c r="W126" s="674" t="str">
        <f t="shared" si="33"/>
        <v/>
      </c>
      <c r="X126" s="676">
        <v>0</v>
      </c>
      <c r="Y126" s="531">
        <f>($F127*(1-$V$1))-$F126</f>
        <v>0</v>
      </c>
      <c r="Z126" s="623">
        <f>IFERROR(F124/F126,0)</f>
        <v>0</v>
      </c>
      <c r="AA126" s="629" t="str">
        <f>IFERROR($AB$1/(F126/100)*(F124/100),"")</f>
        <v/>
      </c>
      <c r="AB126" s="436" t="str">
        <f>IFERROR((AA126/(F124/100))*(F126/100),"")</f>
        <v/>
      </c>
    </row>
    <row r="127" spans="1:28" ht="12.75" customHeight="1">
      <c r="A127" s="597" t="s">
        <v>236</v>
      </c>
      <c r="B127" s="356"/>
      <c r="C127" s="358"/>
      <c r="D127" s="358"/>
      <c r="E127" s="356"/>
      <c r="F127" s="360"/>
      <c r="G127" s="335"/>
      <c r="H127" s="346"/>
      <c r="I127" s="337"/>
      <c r="J127" s="337"/>
      <c r="K127" s="438">
        <v>29</v>
      </c>
      <c r="L127" s="344"/>
      <c r="M127" s="341"/>
      <c r="N127" s="344"/>
      <c r="O127" s="564"/>
      <c r="P127" s="581">
        <v>126</v>
      </c>
      <c r="Q127" s="445">
        <v>0</v>
      </c>
      <c r="R127" s="512">
        <v>0</v>
      </c>
      <c r="S127" s="518">
        <v>0</v>
      </c>
      <c r="T127" s="389">
        <v>0</v>
      </c>
      <c r="U127" s="481">
        <v>0</v>
      </c>
      <c r="V127" s="672">
        <v>0</v>
      </c>
      <c r="W127" s="675" t="str">
        <f t="shared" si="33"/>
        <v/>
      </c>
      <c r="X127" s="675">
        <v>0</v>
      </c>
      <c r="Y127" s="545">
        <f>IFERROR((($F127-$F126)/100)/$F126*100,0)</f>
        <v>0</v>
      </c>
      <c r="Z127" s="624">
        <f>IFERROR(F125/F127,0)</f>
        <v>0</v>
      </c>
      <c r="AA127" s="630" t="str">
        <f>IFERROR($AB$1/(F127/100)*(F125/100),"")</f>
        <v/>
      </c>
      <c r="AB127" s="436" t="str">
        <f>IFERROR((AA127/(F125/100))*(F127/100),"")</f>
        <v/>
      </c>
    </row>
    <row r="128" spans="1:28" ht="12.75" customHeight="1">
      <c r="A128" s="376" t="s">
        <v>608</v>
      </c>
      <c r="B128" s="369">
        <v>1</v>
      </c>
      <c r="C128" s="365">
        <v>33</v>
      </c>
      <c r="D128" s="365">
        <v>37</v>
      </c>
      <c r="E128" s="369">
        <v>11</v>
      </c>
      <c r="F128" s="366">
        <v>34.5</v>
      </c>
      <c r="G128" s="367">
        <v>1.44E-2</v>
      </c>
      <c r="H128" s="368">
        <v>35</v>
      </c>
      <c r="I128" s="338">
        <v>35</v>
      </c>
      <c r="J128" s="338">
        <v>34.5</v>
      </c>
      <c r="K128" s="443">
        <v>34.5</v>
      </c>
      <c r="L128" s="394">
        <v>264</v>
      </c>
      <c r="M128" s="342">
        <v>761</v>
      </c>
      <c r="N128" s="394">
        <v>8</v>
      </c>
      <c r="O128" s="566">
        <v>45264.670057870368</v>
      </c>
      <c r="P128" s="582">
        <v>127</v>
      </c>
      <c r="Q128" s="446">
        <v>0</v>
      </c>
      <c r="R128" s="514">
        <v>0</v>
      </c>
      <c r="S128" s="523">
        <v>0</v>
      </c>
      <c r="T128" s="388">
        <v>0</v>
      </c>
      <c r="U128" s="480">
        <v>0</v>
      </c>
      <c r="V128" s="662">
        <v>0</v>
      </c>
      <c r="W128" s="674" t="str">
        <f t="shared" si="33"/>
        <v/>
      </c>
      <c r="X128" s="676">
        <v>0</v>
      </c>
      <c r="Y128" s="532">
        <f>($F129*(1-$V$1))-$F128</f>
        <v>0.5</v>
      </c>
      <c r="Z128" s="625">
        <f>IFERROR(F124/F128,0)</f>
        <v>927.536231884058</v>
      </c>
      <c r="AA128" s="629">
        <f>IFERROR($AB$1/(F128/100)*(F124/100),"")</f>
        <v>486956.52173913049</v>
      </c>
      <c r="AB128" s="436">
        <f>IFERROR((AA128/(F124/100))*(F128/100),"")</f>
        <v>525</v>
      </c>
    </row>
    <row r="129" spans="1:28" ht="12.75" customHeight="1">
      <c r="A129" s="488" t="s">
        <v>237</v>
      </c>
      <c r="B129" s="426">
        <v>251</v>
      </c>
      <c r="C129" s="427">
        <v>35</v>
      </c>
      <c r="D129" s="427">
        <v>35.5</v>
      </c>
      <c r="E129" s="426">
        <v>1664</v>
      </c>
      <c r="F129" s="421">
        <v>35</v>
      </c>
      <c r="G129" s="411">
        <v>2.9399999999999999E-2</v>
      </c>
      <c r="H129" s="412">
        <v>34</v>
      </c>
      <c r="I129" s="413">
        <v>35.5</v>
      </c>
      <c r="J129" s="413">
        <v>33.700000000000003</v>
      </c>
      <c r="K129" s="439">
        <v>34</v>
      </c>
      <c r="L129" s="418">
        <v>7047</v>
      </c>
      <c r="M129" s="414">
        <v>20613</v>
      </c>
      <c r="N129" s="418">
        <v>28</v>
      </c>
      <c r="O129" s="567">
        <v>45264.708414351851</v>
      </c>
      <c r="P129" s="581">
        <v>128</v>
      </c>
      <c r="Q129" s="447">
        <v>0</v>
      </c>
      <c r="R129" s="516">
        <v>0</v>
      </c>
      <c r="S129" s="524">
        <v>0</v>
      </c>
      <c r="T129" s="419">
        <v>0</v>
      </c>
      <c r="U129" s="481">
        <v>0</v>
      </c>
      <c r="V129" s="482">
        <v>0</v>
      </c>
      <c r="W129" s="678" t="str">
        <f t="shared" si="33"/>
        <v/>
      </c>
      <c r="X129" s="677">
        <v>0</v>
      </c>
      <c r="Y129" s="544">
        <f>IFERROR((($F129-$F128)/100)/$F128*100,0)</f>
        <v>1.4492753623188406E-2</v>
      </c>
      <c r="Z129" s="626">
        <f>IFERROR(F125/F129,0)</f>
        <v>922.54285714285709</v>
      </c>
      <c r="AA129" s="631">
        <f>IFERROR($AB$1/(F129/100)*(F125/100),"")</f>
        <v>484335</v>
      </c>
      <c r="AB129" s="436">
        <f>IFERROR((AA129/(F125/100))*(F129/100),"")</f>
        <v>525</v>
      </c>
    </row>
    <row r="130" spans="1:28" ht="12.75" customHeight="1">
      <c r="A130" s="487" t="s">
        <v>612</v>
      </c>
      <c r="B130" s="397">
        <v>30</v>
      </c>
      <c r="C130" s="330">
        <v>31329.5</v>
      </c>
      <c r="D130" s="420">
        <v>32200</v>
      </c>
      <c r="E130" s="397">
        <v>700</v>
      </c>
      <c r="F130" s="541">
        <v>32050</v>
      </c>
      <c r="G130" s="348">
        <v>2.9300000000000003E-2</v>
      </c>
      <c r="H130" s="347">
        <v>32900</v>
      </c>
      <c r="I130" s="339">
        <v>32900</v>
      </c>
      <c r="J130" s="339">
        <v>31100</v>
      </c>
      <c r="K130" s="442">
        <v>31135</v>
      </c>
      <c r="L130" s="410">
        <v>7588531</v>
      </c>
      <c r="M130" s="343">
        <v>23600</v>
      </c>
      <c r="N130" s="410">
        <v>50</v>
      </c>
      <c r="O130" s="563">
        <v>45264.685219907406</v>
      </c>
      <c r="P130" s="582">
        <v>129</v>
      </c>
      <c r="Q130" s="448">
        <v>0</v>
      </c>
      <c r="R130" s="511">
        <v>0</v>
      </c>
      <c r="S130" s="521">
        <v>0</v>
      </c>
      <c r="T130" s="390">
        <v>0</v>
      </c>
      <c r="U130" s="480">
        <v>0</v>
      </c>
      <c r="V130" s="670">
        <v>0</v>
      </c>
      <c r="W130" s="674" t="str">
        <f t="shared" si="33"/>
        <v/>
      </c>
      <c r="X130" s="674">
        <v>0</v>
      </c>
      <c r="Y130" s="603">
        <f>($C131*(1-$V$1))-$D130</f>
        <v>200</v>
      </c>
      <c r="Z130" s="621">
        <f>($F130/100*$X$1)-($F131/100*$W$1)+($F131/100*$W$1*($AE$1*$AD$1))</f>
        <v>-2.8438356164383558</v>
      </c>
      <c r="AA130" s="685" t="str">
        <f>MID($A130,1,5)</f>
        <v xml:space="preserve">GD46 </v>
      </c>
    </row>
    <row r="131" spans="1:28" ht="12.75" customHeight="1">
      <c r="A131" s="485" t="s">
        <v>189</v>
      </c>
      <c r="B131" s="357">
        <v>617</v>
      </c>
      <c r="C131" s="359">
        <v>32400</v>
      </c>
      <c r="D131" s="359">
        <v>32500</v>
      </c>
      <c r="E131" s="357">
        <v>9517</v>
      </c>
      <c r="F131" s="360">
        <v>32500</v>
      </c>
      <c r="G131" s="335">
        <v>7.000000000000001E-4</v>
      </c>
      <c r="H131" s="346">
        <v>32400</v>
      </c>
      <c r="I131" s="337">
        <v>33200</v>
      </c>
      <c r="J131" s="337">
        <v>31250</v>
      </c>
      <c r="K131" s="438">
        <v>32475</v>
      </c>
      <c r="L131" s="344">
        <v>224772734</v>
      </c>
      <c r="M131" s="341">
        <v>698852</v>
      </c>
      <c r="N131" s="344">
        <v>270</v>
      </c>
      <c r="O131" s="564">
        <v>45264.708344907405</v>
      </c>
      <c r="P131" s="581">
        <v>130</v>
      </c>
      <c r="Q131" s="445">
        <v>0</v>
      </c>
      <c r="R131" s="512">
        <v>0</v>
      </c>
      <c r="S131" s="518">
        <v>0</v>
      </c>
      <c r="T131" s="389">
        <v>0</v>
      </c>
      <c r="U131" s="481">
        <v>0</v>
      </c>
      <c r="V131" s="671">
        <v>0</v>
      </c>
      <c r="W131" s="675" t="str">
        <f t="shared" si="33"/>
        <v/>
      </c>
      <c r="X131" s="675">
        <v>0</v>
      </c>
      <c r="Y131" s="547">
        <f>IFERROR((($C131-$D130)/100)/$D130*100,0)</f>
        <v>6.2111801242236029E-3</v>
      </c>
      <c r="Z131" s="622">
        <f>$F131/100*$W$1*($AE$1*$AD$1)</f>
        <v>1.656164383561644</v>
      </c>
      <c r="AA131" s="686"/>
    </row>
    <row r="132" spans="1:28" ht="12.75" customHeight="1">
      <c r="A132" s="376" t="s">
        <v>613</v>
      </c>
      <c r="B132" s="364"/>
      <c r="C132" s="365"/>
      <c r="D132" s="365"/>
      <c r="E132" s="364"/>
      <c r="F132" s="366"/>
      <c r="G132" s="367"/>
      <c r="H132" s="368"/>
      <c r="I132" s="338"/>
      <c r="J132" s="338"/>
      <c r="K132" s="443">
        <v>22.82</v>
      </c>
      <c r="L132" s="394"/>
      <c r="M132" s="342"/>
      <c r="N132" s="394"/>
      <c r="O132" s="566"/>
      <c r="P132" s="582">
        <v>131</v>
      </c>
      <c r="Q132" s="446">
        <v>0</v>
      </c>
      <c r="R132" s="514">
        <v>0</v>
      </c>
      <c r="S132" s="523">
        <v>0</v>
      </c>
      <c r="T132" s="388">
        <v>0</v>
      </c>
      <c r="U132" s="480">
        <v>0</v>
      </c>
      <c r="V132" s="673">
        <v>0</v>
      </c>
      <c r="W132" s="674" t="str">
        <f t="shared" si="33"/>
        <v/>
      </c>
      <c r="X132" s="676">
        <v>0</v>
      </c>
      <c r="Y132" s="531">
        <f>($F133*(1-$V$1))-$F132</f>
        <v>0</v>
      </c>
      <c r="Z132" s="623">
        <f>IFERROR(F130/F132,0)</f>
        <v>0</v>
      </c>
      <c r="AA132" s="629" t="str">
        <f>IFERROR($AB$1/(F132/100)*(F130/100),"")</f>
        <v/>
      </c>
      <c r="AB132" s="436" t="str">
        <f>IFERROR((AA132/(F130/100))*(F132/100),"")</f>
        <v/>
      </c>
    </row>
    <row r="133" spans="1:28" ht="12.75" customHeight="1">
      <c r="A133" s="597" t="s">
        <v>276</v>
      </c>
      <c r="B133" s="356"/>
      <c r="C133" s="358"/>
      <c r="D133" s="358"/>
      <c r="E133" s="356"/>
      <c r="F133" s="360"/>
      <c r="G133" s="335"/>
      <c r="H133" s="346"/>
      <c r="I133" s="337"/>
      <c r="J133" s="337"/>
      <c r="K133" s="438">
        <v>27.088000000000001</v>
      </c>
      <c r="L133" s="344"/>
      <c r="M133" s="341"/>
      <c r="N133" s="344"/>
      <c r="O133" s="564"/>
      <c r="P133" s="581">
        <v>132</v>
      </c>
      <c r="Q133" s="445">
        <v>0</v>
      </c>
      <c r="R133" s="512">
        <v>0</v>
      </c>
      <c r="S133" s="518">
        <v>0</v>
      </c>
      <c r="T133" s="389">
        <v>0</v>
      </c>
      <c r="U133" s="481">
        <v>0</v>
      </c>
      <c r="V133" s="672">
        <v>0</v>
      </c>
      <c r="W133" s="675" t="str">
        <f t="shared" si="33"/>
        <v/>
      </c>
      <c r="X133" s="675">
        <v>0</v>
      </c>
      <c r="Y133" s="545">
        <f>IFERROR((($F133-$F132)/100)/$F132*100,0)</f>
        <v>0</v>
      </c>
      <c r="Z133" s="624">
        <f>IFERROR(F131/F133,0)</f>
        <v>0</v>
      </c>
      <c r="AA133" s="630" t="str">
        <f>IFERROR($AB$1/(F133/100)*(F131/100),"")</f>
        <v/>
      </c>
      <c r="AB133" s="436" t="str">
        <f>IFERROR((AA133/(F131/100))*(F133/100),"")</f>
        <v/>
      </c>
    </row>
    <row r="134" spans="1:28" ht="12.75" customHeight="1">
      <c r="A134" s="376" t="s">
        <v>614</v>
      </c>
      <c r="B134" s="369">
        <v>400</v>
      </c>
      <c r="C134" s="365">
        <v>31</v>
      </c>
      <c r="D134" s="365"/>
      <c r="E134" s="369"/>
      <c r="F134" s="366"/>
      <c r="G134" s="367"/>
      <c r="H134" s="368"/>
      <c r="I134" s="338"/>
      <c r="J134" s="338"/>
      <c r="K134" s="443">
        <v>33.11</v>
      </c>
      <c r="L134" s="394"/>
      <c r="M134" s="342"/>
      <c r="N134" s="394"/>
      <c r="O134" s="566"/>
      <c r="P134" s="582">
        <v>133</v>
      </c>
      <c r="Q134" s="446">
        <v>0</v>
      </c>
      <c r="R134" s="514">
        <v>0</v>
      </c>
      <c r="S134" s="523">
        <v>0</v>
      </c>
      <c r="T134" s="388">
        <v>0</v>
      </c>
      <c r="U134" s="480">
        <v>0</v>
      </c>
      <c r="V134" s="662">
        <v>0</v>
      </c>
      <c r="W134" s="674" t="str">
        <f t="shared" si="33"/>
        <v/>
      </c>
      <c r="X134" s="676">
        <v>0</v>
      </c>
      <c r="Y134" s="532">
        <f>($F135*(1-$V$1))-$F134</f>
        <v>36.24</v>
      </c>
      <c r="Z134" s="625">
        <f>IFERROR(F130/F134,0)</f>
        <v>0</v>
      </c>
      <c r="AA134" s="629" t="str">
        <f>IFERROR($AB$1/(F134/100)*(F130/100),"")</f>
        <v/>
      </c>
      <c r="AB134" s="436" t="str">
        <f>IFERROR((AA134/(F130/100))*(F134/100),"")</f>
        <v/>
      </c>
    </row>
    <row r="135" spans="1:28" ht="12.75" customHeight="1">
      <c r="A135" s="488" t="s">
        <v>277</v>
      </c>
      <c r="B135" s="426">
        <v>1300</v>
      </c>
      <c r="C135" s="427">
        <v>35.700000000000003</v>
      </c>
      <c r="D135" s="427">
        <v>36.24</v>
      </c>
      <c r="E135" s="426">
        <v>1469</v>
      </c>
      <c r="F135" s="421">
        <v>36.24</v>
      </c>
      <c r="G135" s="411">
        <v>3.5400000000000001E-2</v>
      </c>
      <c r="H135" s="412">
        <v>35.6</v>
      </c>
      <c r="I135" s="413">
        <v>36.24</v>
      </c>
      <c r="J135" s="413">
        <v>35.6</v>
      </c>
      <c r="K135" s="439">
        <v>35</v>
      </c>
      <c r="L135" s="418">
        <v>1614</v>
      </c>
      <c r="M135" s="414">
        <v>4482</v>
      </c>
      <c r="N135" s="418">
        <v>10</v>
      </c>
      <c r="O135" s="567">
        <v>45264.698275462964</v>
      </c>
      <c r="P135" s="581">
        <v>134</v>
      </c>
      <c r="Q135" s="447">
        <v>0</v>
      </c>
      <c r="R135" s="516">
        <v>0</v>
      </c>
      <c r="S135" s="524">
        <v>0</v>
      </c>
      <c r="T135" s="419">
        <v>0</v>
      </c>
      <c r="U135" s="481">
        <v>0</v>
      </c>
      <c r="V135" s="482">
        <v>0</v>
      </c>
      <c r="W135" s="678" t="str">
        <f t="shared" si="33"/>
        <v/>
      </c>
      <c r="X135" s="677">
        <v>0</v>
      </c>
      <c r="Y135" s="544">
        <f>IFERROR((($F135-$F134)/100)/$F134*100,0)</f>
        <v>0</v>
      </c>
      <c r="Z135" s="626">
        <f>IFERROR(F131/F135,0)</f>
        <v>896.79911699779245</v>
      </c>
      <c r="AA135" s="631">
        <f>IFERROR($AB$1/(F135/100)*(F131/100),"")</f>
        <v>470819.53642384108</v>
      </c>
      <c r="AB135" s="436">
        <f>IFERROR((AA135/(F131/100))*(F135/100),"")</f>
        <v>525</v>
      </c>
    </row>
    <row r="136" spans="1:28" ht="12.75" customHeight="1">
      <c r="A136" s="428"/>
      <c r="B136" s="397"/>
      <c r="C136" s="330"/>
      <c r="D136" s="420"/>
      <c r="E136" s="397"/>
      <c r="F136" s="417"/>
      <c r="G136" s="348"/>
      <c r="H136" s="347"/>
      <c r="I136" s="339"/>
      <c r="J136" s="339"/>
      <c r="K136" s="442"/>
      <c r="L136" s="410"/>
      <c r="M136" s="343"/>
      <c r="N136" s="410"/>
      <c r="O136" s="563"/>
      <c r="P136" s="582">
        <v>135</v>
      </c>
      <c r="Q136" s="448"/>
      <c r="R136" s="511"/>
      <c r="S136" s="521"/>
      <c r="T136" s="390"/>
      <c r="U136" s="404"/>
      <c r="V136" s="483">
        <v>0</v>
      </c>
      <c r="W136" s="323"/>
      <c r="X136" s="493"/>
      <c r="Y136" s="501">
        <f>(C137*(1-$V$1))-D136</f>
        <v>0</v>
      </c>
      <c r="Z136" s="627">
        <f t="shared" ref="Z136:Z137" si="34">F136/100*V136-W136</f>
        <v>0</v>
      </c>
      <c r="AA136" s="685" t="str">
        <f>MID($A136,1,5)</f>
        <v/>
      </c>
    </row>
    <row r="137" spans="1:28" ht="12.75" customHeight="1">
      <c r="A137" s="354"/>
      <c r="B137" s="357"/>
      <c r="C137" s="359"/>
      <c r="D137" s="359"/>
      <c r="E137" s="357"/>
      <c r="F137" s="360"/>
      <c r="G137" s="335"/>
      <c r="H137" s="346"/>
      <c r="I137" s="337"/>
      <c r="J137" s="337"/>
      <c r="K137" s="438"/>
      <c r="L137" s="344"/>
      <c r="M137" s="341"/>
      <c r="N137" s="344"/>
      <c r="O137" s="564"/>
      <c r="P137" s="581">
        <v>136</v>
      </c>
      <c r="Q137" s="445"/>
      <c r="R137" s="512"/>
      <c r="S137" s="518"/>
      <c r="T137" s="389"/>
      <c r="U137" s="403"/>
      <c r="V137" s="482">
        <v>0</v>
      </c>
      <c r="W137" s="324"/>
      <c r="X137" s="281"/>
      <c r="Y137" s="502">
        <f>IFERROR(((C137-D136)/100)/D136*100,0)</f>
        <v>0</v>
      </c>
      <c r="Z137" s="628">
        <f t="shared" si="34"/>
        <v>0</v>
      </c>
      <c r="AA137" s="686"/>
    </row>
    <row r="138" spans="1:28" ht="12.75" customHeight="1">
      <c r="A138" s="376"/>
      <c r="B138" s="364"/>
      <c r="C138" s="365"/>
      <c r="D138" s="365"/>
      <c r="E138" s="364"/>
      <c r="F138" s="366"/>
      <c r="G138" s="367"/>
      <c r="H138" s="368"/>
      <c r="I138" s="338"/>
      <c r="J138" s="338"/>
      <c r="K138" s="443"/>
      <c r="L138" s="394"/>
      <c r="M138" s="342"/>
      <c r="N138" s="394"/>
      <c r="O138" s="566"/>
      <c r="P138" s="582">
        <v>137</v>
      </c>
      <c r="Q138" s="446"/>
      <c r="R138" s="514"/>
      <c r="S138" s="523"/>
      <c r="T138" s="388"/>
      <c r="U138" s="404"/>
      <c r="V138" s="483">
        <v>0</v>
      </c>
      <c r="W138" s="370"/>
      <c r="X138" s="395"/>
      <c r="Y138" s="700">
        <f>(C139*(1-$V$1))-D138</f>
        <v>0</v>
      </c>
      <c r="Z138" s="623">
        <f>IFERROR(F136/F138,0)</f>
        <v>0</v>
      </c>
      <c r="AA138" s="629" t="str">
        <f>IFERROR($AB$1/(F138/100)*(F136/100),"")</f>
        <v/>
      </c>
      <c r="AB138" s="436" t="str">
        <f>IFERROR((AA138/(F136/100))*(F138/100),"")</f>
        <v/>
      </c>
    </row>
    <row r="139" spans="1:28" ht="12.75" customHeight="1">
      <c r="A139" s="355"/>
      <c r="B139" s="356"/>
      <c r="C139" s="358"/>
      <c r="D139" s="358"/>
      <c r="E139" s="356"/>
      <c r="F139" s="360"/>
      <c r="G139" s="335"/>
      <c r="H139" s="346"/>
      <c r="I139" s="337"/>
      <c r="J139" s="337"/>
      <c r="K139" s="438"/>
      <c r="L139" s="344"/>
      <c r="M139" s="341"/>
      <c r="N139" s="344"/>
      <c r="O139" s="564"/>
      <c r="P139" s="581">
        <v>138</v>
      </c>
      <c r="Q139" s="445"/>
      <c r="R139" s="512"/>
      <c r="S139" s="518"/>
      <c r="T139" s="389"/>
      <c r="U139" s="403"/>
      <c r="V139" s="482">
        <v>0</v>
      </c>
      <c r="W139" s="324"/>
      <c r="X139" s="281"/>
      <c r="Y139" s="701">
        <f>IFERROR(((C139-D138)/100)/D138*100,0)</f>
        <v>0</v>
      </c>
      <c r="Z139" s="624">
        <f>IFERROR(F137/F139,0)</f>
        <v>0</v>
      </c>
      <c r="AA139" s="630" t="str">
        <f>IFERROR($AB$1/(F139/100)*(F137/100),"")</f>
        <v/>
      </c>
      <c r="AB139" s="436" t="str">
        <f>IFERROR((AA139/(F137/100))*(F139/100),"")</f>
        <v/>
      </c>
    </row>
    <row r="140" spans="1:28" ht="12.75" customHeight="1">
      <c r="A140" s="376"/>
      <c r="B140" s="369"/>
      <c r="C140" s="365"/>
      <c r="D140" s="365"/>
      <c r="E140" s="369"/>
      <c r="F140" s="366"/>
      <c r="G140" s="367"/>
      <c r="H140" s="368"/>
      <c r="I140" s="338"/>
      <c r="J140" s="338"/>
      <c r="K140" s="443"/>
      <c r="L140" s="394"/>
      <c r="M140" s="342"/>
      <c r="N140" s="394"/>
      <c r="O140" s="566"/>
      <c r="P140" s="582">
        <v>139</v>
      </c>
      <c r="Q140" s="446"/>
      <c r="R140" s="514"/>
      <c r="S140" s="523"/>
      <c r="T140" s="388"/>
      <c r="U140" s="404"/>
      <c r="V140" s="483">
        <v>0</v>
      </c>
      <c r="W140" s="370"/>
      <c r="X140" s="395"/>
      <c r="Y140" s="695"/>
      <c r="Z140" s="625">
        <f>IFERROR(F136/F140,0)</f>
        <v>0</v>
      </c>
      <c r="AA140" s="629" t="str">
        <f>IFERROR($AB$1/(F140/100)*(F136/100),"")</f>
        <v/>
      </c>
      <c r="AB140" s="436" t="str">
        <f>IFERROR((AA140/(F136/100))*(F140/100),"")</f>
        <v/>
      </c>
    </row>
    <row r="141" spans="1:28" ht="12.75" customHeight="1">
      <c r="A141" s="453"/>
      <c r="B141" s="426"/>
      <c r="C141" s="427"/>
      <c r="D141" s="427"/>
      <c r="E141" s="426"/>
      <c r="F141" s="421"/>
      <c r="G141" s="411"/>
      <c r="H141" s="412"/>
      <c r="I141" s="413"/>
      <c r="J141" s="413"/>
      <c r="K141" s="439"/>
      <c r="L141" s="418"/>
      <c r="M141" s="414"/>
      <c r="N141" s="418"/>
      <c r="O141" s="567"/>
      <c r="P141" s="581">
        <v>140</v>
      </c>
      <c r="Q141" s="447"/>
      <c r="R141" s="516"/>
      <c r="S141" s="524"/>
      <c r="T141" s="419"/>
      <c r="U141" s="403"/>
      <c r="V141" s="482">
        <v>0</v>
      </c>
      <c r="W141" s="423"/>
      <c r="X141" s="430"/>
      <c r="Y141" s="696"/>
      <c r="Z141" s="626">
        <f>IFERROR(F137/F141,0)</f>
        <v>0</v>
      </c>
      <c r="AA141" s="631" t="str">
        <f>IFERROR($AB$1/(F141/100)*(F137/100),"")</f>
        <v/>
      </c>
      <c r="AB141" s="436" t="str">
        <f>IFERROR((AA141/(F137/100))*(F141/100),"")</f>
        <v/>
      </c>
    </row>
    <row r="142" spans="1:28" ht="12.75" customHeight="1">
      <c r="A142" s="452" t="s">
        <v>555</v>
      </c>
      <c r="B142" s="431"/>
      <c r="C142" s="330"/>
      <c r="D142" s="352"/>
      <c r="E142" s="431"/>
      <c r="F142" s="432"/>
      <c r="G142" s="348"/>
      <c r="H142" s="347"/>
      <c r="I142" s="339"/>
      <c r="J142" s="339"/>
      <c r="K142" s="442">
        <v>641</v>
      </c>
      <c r="L142" s="410"/>
      <c r="M142" s="343"/>
      <c r="N142" s="410"/>
      <c r="O142" s="563"/>
      <c r="P142" s="582">
        <v>141</v>
      </c>
      <c r="Q142" s="448">
        <v>0</v>
      </c>
      <c r="R142" s="511">
        <v>0</v>
      </c>
      <c r="S142" s="521">
        <v>0</v>
      </c>
      <c r="T142" s="390">
        <v>0</v>
      </c>
      <c r="U142" s="404"/>
      <c r="V142" s="483">
        <v>0</v>
      </c>
      <c r="W142" s="323">
        <v>0</v>
      </c>
      <c r="X142" s="493">
        <v>0</v>
      </c>
      <c r="Y142" s="503">
        <f>(C143*(1-$V$1))-D142</f>
        <v>0</v>
      </c>
      <c r="Z142" s="422">
        <f t="shared" ref="Z142:Z157" si="35">F142/100*V142-W142</f>
        <v>0</v>
      </c>
    </row>
    <row r="143" spans="1:28" ht="12.75" customHeight="1">
      <c r="A143" s="425" t="s">
        <v>556</v>
      </c>
      <c r="B143" s="362"/>
      <c r="C143" s="363"/>
      <c r="D143" s="363"/>
      <c r="E143" s="362"/>
      <c r="F143" s="350">
        <v>648.5</v>
      </c>
      <c r="G143" s="335"/>
      <c r="H143" s="346"/>
      <c r="I143" s="337"/>
      <c r="J143" s="337"/>
      <c r="K143" s="438"/>
      <c r="L143" s="344"/>
      <c r="M143" s="341"/>
      <c r="N143" s="344"/>
      <c r="O143" s="564"/>
      <c r="P143" s="581">
        <v>142</v>
      </c>
      <c r="Q143" s="445">
        <v>0</v>
      </c>
      <c r="R143" s="512">
        <v>0</v>
      </c>
      <c r="S143" s="518">
        <v>0</v>
      </c>
      <c r="T143" s="389">
        <v>0</v>
      </c>
      <c r="U143" s="403"/>
      <c r="V143" s="482">
        <v>0</v>
      </c>
      <c r="W143" s="324">
        <v>0</v>
      </c>
      <c r="X143" s="281">
        <v>0</v>
      </c>
      <c r="Y143" s="502">
        <f>IFERROR(((C143-D142)/100)/D142*100,0)</f>
        <v>0</v>
      </c>
      <c r="Z143" s="325">
        <f t="shared" si="35"/>
        <v>0</v>
      </c>
    </row>
    <row r="144" spans="1:28" ht="12.75" customHeight="1">
      <c r="A144" s="376" t="s">
        <v>557</v>
      </c>
      <c r="B144" s="372"/>
      <c r="C144" s="330"/>
      <c r="D144" s="373"/>
      <c r="E144" s="372"/>
      <c r="F144" s="374">
        <v>60</v>
      </c>
      <c r="G144" s="367"/>
      <c r="H144" s="368"/>
      <c r="I144" s="338"/>
      <c r="J144" s="338"/>
      <c r="K144" s="443"/>
      <c r="L144" s="394"/>
      <c r="M144" s="342"/>
      <c r="N144" s="394"/>
      <c r="O144" s="566"/>
      <c r="P144" s="582">
        <v>143</v>
      </c>
      <c r="Q144" s="446">
        <v>0</v>
      </c>
      <c r="R144" s="514">
        <v>0</v>
      </c>
      <c r="S144" s="523">
        <v>0</v>
      </c>
      <c r="T144" s="388">
        <v>0</v>
      </c>
      <c r="U144" s="404"/>
      <c r="V144" s="483">
        <v>0</v>
      </c>
      <c r="W144" s="370">
        <v>0</v>
      </c>
      <c r="X144" s="494">
        <v>0</v>
      </c>
      <c r="Y144" s="504">
        <f>(C145*(1-$V$1))-D144</f>
        <v>0</v>
      </c>
      <c r="Z144" s="371">
        <f t="shared" si="35"/>
        <v>0</v>
      </c>
    </row>
    <row r="145" spans="1:26" ht="12.75" customHeight="1">
      <c r="A145" s="425" t="s">
        <v>558</v>
      </c>
      <c r="B145" s="362"/>
      <c r="C145" s="363"/>
      <c r="D145" s="363"/>
      <c r="E145" s="362"/>
      <c r="F145" s="350">
        <v>59.2</v>
      </c>
      <c r="G145" s="335"/>
      <c r="H145" s="346"/>
      <c r="I145" s="337"/>
      <c r="J145" s="337"/>
      <c r="K145" s="438"/>
      <c r="L145" s="344"/>
      <c r="M145" s="341"/>
      <c r="N145" s="344"/>
      <c r="O145" s="564"/>
      <c r="P145" s="581">
        <v>144</v>
      </c>
      <c r="Q145" s="445">
        <v>0</v>
      </c>
      <c r="R145" s="512">
        <v>0</v>
      </c>
      <c r="S145" s="518">
        <v>0</v>
      </c>
      <c r="T145" s="389">
        <v>0</v>
      </c>
      <c r="U145" s="403"/>
      <c r="V145" s="482">
        <v>0</v>
      </c>
      <c r="W145" s="324">
        <v>0</v>
      </c>
      <c r="X145" s="281">
        <v>0</v>
      </c>
      <c r="Y145" s="502">
        <f>IFERROR(((C145-D144)/100)/D144*100,0)</f>
        <v>0</v>
      </c>
      <c r="Z145" s="325">
        <f t="shared" si="35"/>
        <v>0</v>
      </c>
    </row>
    <row r="146" spans="1:26" ht="12.75" customHeight="1">
      <c r="A146" s="376" t="s">
        <v>559</v>
      </c>
      <c r="B146" s="372"/>
      <c r="C146" s="330"/>
      <c r="D146" s="373"/>
      <c r="E146" s="372"/>
      <c r="F146" s="374">
        <v>530</v>
      </c>
      <c r="G146" s="367"/>
      <c r="H146" s="368"/>
      <c r="I146" s="338"/>
      <c r="J146" s="338"/>
      <c r="K146" s="443"/>
      <c r="L146" s="394"/>
      <c r="M146" s="342"/>
      <c r="N146" s="394"/>
      <c r="O146" s="566"/>
      <c r="P146" s="582">
        <v>145</v>
      </c>
      <c r="Q146" s="446">
        <v>0</v>
      </c>
      <c r="R146" s="514">
        <v>0</v>
      </c>
      <c r="S146" s="523">
        <v>0</v>
      </c>
      <c r="T146" s="388">
        <v>0</v>
      </c>
      <c r="U146" s="404"/>
      <c r="V146" s="483">
        <v>0</v>
      </c>
      <c r="W146" s="370">
        <v>0</v>
      </c>
      <c r="X146" s="494">
        <v>0</v>
      </c>
      <c r="Y146" s="504">
        <f>(C147*(1-$V$1))-D146</f>
        <v>0</v>
      </c>
      <c r="Z146" s="371">
        <f t="shared" si="35"/>
        <v>0</v>
      </c>
    </row>
    <row r="147" spans="1:26" ht="12.75" customHeight="1">
      <c r="A147" s="425" t="s">
        <v>560</v>
      </c>
      <c r="B147" s="362"/>
      <c r="C147" s="363"/>
      <c r="D147" s="363"/>
      <c r="E147" s="362"/>
      <c r="F147" s="350">
        <v>530</v>
      </c>
      <c r="G147" s="335"/>
      <c r="H147" s="346"/>
      <c r="I147" s="337"/>
      <c r="J147" s="337"/>
      <c r="K147" s="438"/>
      <c r="L147" s="344"/>
      <c r="M147" s="341"/>
      <c r="N147" s="344"/>
      <c r="O147" s="564"/>
      <c r="P147" s="581">
        <v>146</v>
      </c>
      <c r="Q147" s="445">
        <v>0</v>
      </c>
      <c r="R147" s="512">
        <v>0</v>
      </c>
      <c r="S147" s="518">
        <v>0</v>
      </c>
      <c r="T147" s="389">
        <v>0</v>
      </c>
      <c r="U147" s="403"/>
      <c r="V147" s="482">
        <v>0</v>
      </c>
      <c r="W147" s="324">
        <v>0</v>
      </c>
      <c r="X147" s="281">
        <v>0</v>
      </c>
      <c r="Y147" s="502">
        <f>IFERROR(((C147-D146)/100)/D146*100,0)</f>
        <v>0</v>
      </c>
      <c r="Z147" s="325">
        <f t="shared" si="35"/>
        <v>0</v>
      </c>
    </row>
    <row r="148" spans="1:26" ht="12.75" customHeight="1">
      <c r="A148" s="376" t="s">
        <v>561</v>
      </c>
      <c r="B148" s="372"/>
      <c r="C148" s="330"/>
      <c r="D148" s="373"/>
      <c r="E148" s="372"/>
      <c r="F148" s="374">
        <v>21.75</v>
      </c>
      <c r="G148" s="367"/>
      <c r="H148" s="368"/>
      <c r="I148" s="338"/>
      <c r="J148" s="338"/>
      <c r="K148" s="443"/>
      <c r="L148" s="394"/>
      <c r="M148" s="342"/>
      <c r="N148" s="394"/>
      <c r="O148" s="566"/>
      <c r="P148" s="582">
        <v>147</v>
      </c>
      <c r="Q148" s="446">
        <v>0</v>
      </c>
      <c r="R148" s="514">
        <v>0</v>
      </c>
      <c r="S148" s="523">
        <v>0</v>
      </c>
      <c r="T148" s="388">
        <v>0</v>
      </c>
      <c r="U148" s="404"/>
      <c r="V148" s="483">
        <v>0</v>
      </c>
      <c r="W148" s="370">
        <v>0</v>
      </c>
      <c r="X148" s="494">
        <v>0</v>
      </c>
      <c r="Y148" s="504">
        <f>(C149*(1-$V$1))-D148</f>
        <v>0</v>
      </c>
      <c r="Z148" s="371">
        <f t="shared" si="35"/>
        <v>0</v>
      </c>
    </row>
    <row r="149" spans="1:26" ht="12.75" customHeight="1">
      <c r="A149" s="425" t="s">
        <v>562</v>
      </c>
      <c r="B149" s="362"/>
      <c r="C149" s="363"/>
      <c r="D149" s="363"/>
      <c r="E149" s="362"/>
      <c r="F149" s="350">
        <v>21</v>
      </c>
      <c r="G149" s="335"/>
      <c r="H149" s="346"/>
      <c r="I149" s="337"/>
      <c r="J149" s="337"/>
      <c r="K149" s="438"/>
      <c r="L149" s="344"/>
      <c r="M149" s="341"/>
      <c r="N149" s="344"/>
      <c r="O149" s="564"/>
      <c r="P149" s="581">
        <v>148</v>
      </c>
      <c r="Q149" s="445">
        <v>0</v>
      </c>
      <c r="R149" s="512">
        <v>0</v>
      </c>
      <c r="S149" s="518">
        <v>0</v>
      </c>
      <c r="T149" s="389">
        <v>0</v>
      </c>
      <c r="U149" s="403"/>
      <c r="V149" s="482">
        <v>0</v>
      </c>
      <c r="W149" s="324">
        <v>0</v>
      </c>
      <c r="X149" s="281">
        <v>0</v>
      </c>
      <c r="Y149" s="502">
        <f>IFERROR(((C149-D148)/100)/D148*100,0)</f>
        <v>0</v>
      </c>
      <c r="Z149" s="325">
        <f t="shared" si="35"/>
        <v>0</v>
      </c>
    </row>
    <row r="150" spans="1:26" ht="12.75" customHeight="1">
      <c r="A150" s="376" t="s">
        <v>563</v>
      </c>
      <c r="B150" s="372"/>
      <c r="C150" s="330"/>
      <c r="D150" s="373"/>
      <c r="E150" s="372"/>
      <c r="F150" s="374">
        <v>728.7</v>
      </c>
      <c r="G150" s="367"/>
      <c r="H150" s="368"/>
      <c r="I150" s="338"/>
      <c r="J150" s="338"/>
      <c r="K150" s="443"/>
      <c r="L150" s="394"/>
      <c r="M150" s="342"/>
      <c r="N150" s="394"/>
      <c r="O150" s="566"/>
      <c r="P150" s="582">
        <v>149</v>
      </c>
      <c r="Q150" s="446">
        <v>0</v>
      </c>
      <c r="R150" s="514">
        <v>0</v>
      </c>
      <c r="S150" s="523">
        <v>0</v>
      </c>
      <c r="T150" s="388">
        <v>0</v>
      </c>
      <c r="U150" s="404"/>
      <c r="V150" s="483">
        <v>0</v>
      </c>
      <c r="W150" s="370">
        <v>0</v>
      </c>
      <c r="X150" s="494">
        <v>0</v>
      </c>
      <c r="Y150" s="504">
        <f>(C151*(1-$V$1))-D150</f>
        <v>0</v>
      </c>
      <c r="Z150" s="371">
        <f t="shared" si="35"/>
        <v>0</v>
      </c>
    </row>
    <row r="151" spans="1:26" ht="12.75" customHeight="1">
      <c r="A151" s="425" t="s">
        <v>568</v>
      </c>
      <c r="B151" s="362"/>
      <c r="C151" s="363"/>
      <c r="D151" s="363"/>
      <c r="E151" s="362"/>
      <c r="F151" s="350">
        <v>732.5</v>
      </c>
      <c r="G151" s="335"/>
      <c r="H151" s="346"/>
      <c r="I151" s="337"/>
      <c r="J151" s="337"/>
      <c r="K151" s="438"/>
      <c r="L151" s="344"/>
      <c r="M151" s="341"/>
      <c r="N151" s="344"/>
      <c r="O151" s="564"/>
      <c r="P151" s="581">
        <v>150</v>
      </c>
      <c r="Q151" s="445">
        <v>0</v>
      </c>
      <c r="R151" s="512">
        <v>0</v>
      </c>
      <c r="S151" s="518">
        <v>0</v>
      </c>
      <c r="T151" s="389">
        <v>0</v>
      </c>
      <c r="U151" s="403"/>
      <c r="V151" s="482">
        <v>0</v>
      </c>
      <c r="W151" s="324">
        <v>0</v>
      </c>
      <c r="X151" s="281">
        <v>0</v>
      </c>
      <c r="Y151" s="502">
        <f>IFERROR(((C151-D150)/100)/D150*100,0)</f>
        <v>0</v>
      </c>
      <c r="Z151" s="325">
        <f t="shared" si="35"/>
        <v>0</v>
      </c>
    </row>
    <row r="152" spans="1:26" ht="12.75" customHeight="1">
      <c r="A152" s="376" t="s">
        <v>564</v>
      </c>
      <c r="B152" s="372"/>
      <c r="C152" s="330"/>
      <c r="D152" s="373"/>
      <c r="E152" s="372"/>
      <c r="F152" s="374">
        <v>557</v>
      </c>
      <c r="G152" s="367"/>
      <c r="H152" s="368"/>
      <c r="I152" s="338"/>
      <c r="J152" s="338"/>
      <c r="K152" s="443"/>
      <c r="L152" s="394"/>
      <c r="M152" s="342"/>
      <c r="N152" s="394"/>
      <c r="O152" s="566"/>
      <c r="P152" s="582">
        <v>151</v>
      </c>
      <c r="Q152" s="446">
        <v>0</v>
      </c>
      <c r="R152" s="514">
        <v>0</v>
      </c>
      <c r="S152" s="523">
        <v>0</v>
      </c>
      <c r="T152" s="388">
        <v>0</v>
      </c>
      <c r="U152" s="404"/>
      <c r="V152" s="483">
        <v>0</v>
      </c>
      <c r="W152" s="370">
        <v>0</v>
      </c>
      <c r="X152" s="494">
        <v>0</v>
      </c>
      <c r="Y152" s="504">
        <f>(C153*(1-$V$1))-D152</f>
        <v>0</v>
      </c>
      <c r="Z152" s="371">
        <f t="shared" si="35"/>
        <v>0</v>
      </c>
    </row>
    <row r="153" spans="1:26" ht="12.75" customHeight="1">
      <c r="A153" s="425" t="s">
        <v>565</v>
      </c>
      <c r="B153" s="362"/>
      <c r="C153" s="363"/>
      <c r="D153" s="363"/>
      <c r="E153" s="362"/>
      <c r="F153" s="350">
        <v>558.79999999999995</v>
      </c>
      <c r="G153" s="335"/>
      <c r="H153" s="346"/>
      <c r="I153" s="337"/>
      <c r="J153" s="337"/>
      <c r="K153" s="438"/>
      <c r="L153" s="344"/>
      <c r="M153" s="341"/>
      <c r="N153" s="344"/>
      <c r="O153" s="564"/>
      <c r="P153" s="581">
        <v>152</v>
      </c>
      <c r="Q153" s="445">
        <v>0</v>
      </c>
      <c r="R153" s="512">
        <v>0</v>
      </c>
      <c r="S153" s="518">
        <v>0</v>
      </c>
      <c r="T153" s="389">
        <v>0</v>
      </c>
      <c r="U153" s="403"/>
      <c r="V153" s="482">
        <v>0</v>
      </c>
      <c r="W153" s="324">
        <v>0</v>
      </c>
      <c r="X153" s="281">
        <v>0</v>
      </c>
      <c r="Y153" s="502">
        <f>IFERROR(((C153-D152)/100)/D152*100,0)</f>
        <v>0</v>
      </c>
      <c r="Z153" s="325">
        <f t="shared" si="35"/>
        <v>0</v>
      </c>
    </row>
    <row r="154" spans="1:26" ht="12.75" customHeight="1">
      <c r="A154" s="376" t="s">
        <v>566</v>
      </c>
      <c r="B154" s="372"/>
      <c r="C154" s="330"/>
      <c r="D154" s="373"/>
      <c r="E154" s="372"/>
      <c r="F154" s="374">
        <v>531</v>
      </c>
      <c r="G154" s="367"/>
      <c r="H154" s="368"/>
      <c r="I154" s="338"/>
      <c r="J154" s="338"/>
      <c r="K154" s="443"/>
      <c r="L154" s="394"/>
      <c r="M154" s="342"/>
      <c r="N154" s="394"/>
      <c r="O154" s="566"/>
      <c r="P154" s="582">
        <v>153</v>
      </c>
      <c r="Q154" s="446">
        <v>0</v>
      </c>
      <c r="R154" s="514">
        <v>0</v>
      </c>
      <c r="S154" s="523">
        <v>0</v>
      </c>
      <c r="T154" s="388">
        <v>0</v>
      </c>
      <c r="U154" s="404"/>
      <c r="V154" s="483">
        <v>0</v>
      </c>
      <c r="W154" s="370">
        <v>0</v>
      </c>
      <c r="X154" s="494">
        <v>0</v>
      </c>
      <c r="Y154" s="504">
        <f>(C155*(1-$V$1))-D154</f>
        <v>0</v>
      </c>
      <c r="Z154" s="371">
        <f t="shared" si="35"/>
        <v>0</v>
      </c>
    </row>
    <row r="155" spans="1:26" ht="12.75" customHeight="1">
      <c r="A155" s="425" t="s">
        <v>567</v>
      </c>
      <c r="B155" s="362"/>
      <c r="C155" s="363"/>
      <c r="D155" s="363"/>
      <c r="E155" s="362"/>
      <c r="F155" s="350">
        <v>532.1</v>
      </c>
      <c r="G155" s="335"/>
      <c r="H155" s="346"/>
      <c r="I155" s="337"/>
      <c r="J155" s="337"/>
      <c r="K155" s="438"/>
      <c r="L155" s="344"/>
      <c r="M155" s="341"/>
      <c r="N155" s="344"/>
      <c r="O155" s="564"/>
      <c r="P155" s="581">
        <v>154</v>
      </c>
      <c r="Q155" s="445">
        <v>0</v>
      </c>
      <c r="R155" s="512">
        <v>0</v>
      </c>
      <c r="S155" s="518">
        <v>0</v>
      </c>
      <c r="T155" s="389">
        <v>0</v>
      </c>
      <c r="U155" s="403"/>
      <c r="V155" s="482">
        <v>0</v>
      </c>
      <c r="W155" s="324">
        <v>0</v>
      </c>
      <c r="X155" s="281">
        <v>0</v>
      </c>
      <c r="Y155" s="502">
        <f>IFERROR(((C155-D154)/100)/D154*100,0)</f>
        <v>0</v>
      </c>
      <c r="Z155" s="325">
        <f t="shared" si="35"/>
        <v>0</v>
      </c>
    </row>
    <row r="156" spans="1:26" ht="12.75" customHeight="1">
      <c r="A156" s="376" t="s">
        <v>586</v>
      </c>
      <c r="B156" s="372"/>
      <c r="C156" s="330"/>
      <c r="D156" s="373"/>
      <c r="E156" s="372"/>
      <c r="F156" s="374"/>
      <c r="G156" s="367"/>
      <c r="H156" s="368"/>
      <c r="I156" s="338"/>
      <c r="J156" s="338"/>
      <c r="K156" s="443"/>
      <c r="L156" s="394"/>
      <c r="M156" s="342"/>
      <c r="N156" s="394"/>
      <c r="O156" s="566"/>
      <c r="P156" s="582">
        <v>155</v>
      </c>
      <c r="Q156" s="446">
        <v>0</v>
      </c>
      <c r="R156" s="514">
        <v>0</v>
      </c>
      <c r="S156" s="523">
        <v>0</v>
      </c>
      <c r="T156" s="388">
        <v>0</v>
      </c>
      <c r="U156" s="404"/>
      <c r="V156" s="483">
        <v>0</v>
      </c>
      <c r="W156" s="370">
        <v>0</v>
      </c>
      <c r="X156" s="494">
        <v>0</v>
      </c>
      <c r="Y156" s="504">
        <f>(C157*(1-$V$1))-D156</f>
        <v>0</v>
      </c>
      <c r="Z156" s="371">
        <f t="shared" si="35"/>
        <v>0</v>
      </c>
    </row>
    <row r="157" spans="1:26" ht="12.75" customHeight="1">
      <c r="A157" s="425" t="s">
        <v>587</v>
      </c>
      <c r="B157" s="362"/>
      <c r="C157" s="363"/>
      <c r="D157" s="363"/>
      <c r="E157" s="362"/>
      <c r="F157" s="350">
        <v>201</v>
      </c>
      <c r="G157" s="335"/>
      <c r="H157" s="346"/>
      <c r="I157" s="337"/>
      <c r="J157" s="337"/>
      <c r="K157" s="438"/>
      <c r="L157" s="344"/>
      <c r="M157" s="341"/>
      <c r="N157" s="344"/>
      <c r="O157" s="564"/>
      <c r="P157" s="581">
        <v>156</v>
      </c>
      <c r="Q157" s="445">
        <v>0</v>
      </c>
      <c r="R157" s="512">
        <v>0</v>
      </c>
      <c r="S157" s="518">
        <v>0</v>
      </c>
      <c r="T157" s="389">
        <v>0</v>
      </c>
      <c r="U157" s="403"/>
      <c r="V157" s="482">
        <v>0</v>
      </c>
      <c r="W157" s="375">
        <v>0</v>
      </c>
      <c r="X157" s="322">
        <v>0</v>
      </c>
      <c r="Y157" s="502">
        <f>IFERROR(((C157-D156)/100)/D156*100,0)</f>
        <v>0</v>
      </c>
      <c r="Z157" s="325">
        <f t="shared" si="35"/>
        <v>0</v>
      </c>
    </row>
  </sheetData>
  <sortState xmlns:xlrd2="http://schemas.microsoft.com/office/spreadsheetml/2017/richdata2" ref="A4">
    <sortCondition ref="A3:A4"/>
  </sortState>
  <mergeCells count="24">
    <mergeCell ref="AA16:AA17"/>
    <mergeCell ref="Y140:Y141"/>
    <mergeCell ref="AA130:AA131"/>
    <mergeCell ref="AA136:AA137"/>
    <mergeCell ref="AA24:AA25"/>
    <mergeCell ref="AA20:AA21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  <mergeCell ref="AA94:AA95"/>
    <mergeCell ref="AA44:AA45"/>
    <mergeCell ref="AA22:AA23"/>
    <mergeCell ref="AA42:AA43"/>
    <mergeCell ref="AA46:AA47"/>
    <mergeCell ref="AA52:AA53"/>
    <mergeCell ref="AA58:AA59"/>
    <mergeCell ref="AA70:AA71"/>
  </mergeCells>
  <phoneticPr fontId="16" type="noConversion"/>
  <conditionalFormatting sqref="A26:A41">
    <cfRule type="expression" dxfId="600" priority="5568">
      <formula>V26&gt;0</formula>
    </cfRule>
    <cfRule type="expression" dxfId="599" priority="5569">
      <formula>V26&lt;0</formula>
    </cfRule>
  </conditionalFormatting>
  <conditionalFormatting sqref="A42">
    <cfRule type="expression" dxfId="598" priority="414">
      <formula>V42&lt;&gt;0</formula>
    </cfRule>
  </conditionalFormatting>
  <conditionalFormatting sqref="A43">
    <cfRule type="expression" dxfId="597" priority="413">
      <formula>V43&lt;&gt;0</formula>
    </cfRule>
  </conditionalFormatting>
  <conditionalFormatting sqref="A44">
    <cfRule type="expression" dxfId="596" priority="412">
      <formula>V44&lt;&gt;0</formula>
    </cfRule>
  </conditionalFormatting>
  <conditionalFormatting sqref="A45">
    <cfRule type="expression" dxfId="595" priority="411">
      <formula>V45&lt;&gt;0</formula>
    </cfRule>
  </conditionalFormatting>
  <conditionalFormatting sqref="A46:A47">
    <cfRule type="expression" dxfId="594" priority="201">
      <formula>V46&lt;&gt;0</formula>
    </cfRule>
  </conditionalFormatting>
  <conditionalFormatting sqref="A48:A49">
    <cfRule type="expression" dxfId="593" priority="5357">
      <formula>V48&lt;&gt;0</formula>
    </cfRule>
  </conditionalFormatting>
  <conditionalFormatting sqref="A50:A51">
    <cfRule type="expression" dxfId="592" priority="5356">
      <formula>V50&lt;&gt;0</formula>
    </cfRule>
  </conditionalFormatting>
  <conditionalFormatting sqref="A52:A53">
    <cfRule type="expression" dxfId="591" priority="200">
      <formula>V52&lt;&gt;0</formula>
    </cfRule>
  </conditionalFormatting>
  <conditionalFormatting sqref="A54:A55">
    <cfRule type="expression" dxfId="590" priority="5354">
      <formula>V54&lt;&gt;0</formula>
    </cfRule>
  </conditionalFormatting>
  <conditionalFormatting sqref="A56:A57">
    <cfRule type="expression" dxfId="589" priority="5353">
      <formula>V56&lt;&gt;0</formula>
    </cfRule>
  </conditionalFormatting>
  <conditionalFormatting sqref="A58:A59">
    <cfRule type="expression" dxfId="588" priority="199">
      <formula>V58&lt;&gt;0</formula>
    </cfRule>
  </conditionalFormatting>
  <conditionalFormatting sqref="A60:A61">
    <cfRule type="expression" dxfId="587" priority="5351">
      <formula>V60&lt;&gt;0</formula>
    </cfRule>
  </conditionalFormatting>
  <conditionalFormatting sqref="A62:A63">
    <cfRule type="expression" dxfId="586" priority="5350">
      <formula>V62&lt;&gt;0</formula>
    </cfRule>
  </conditionalFormatting>
  <conditionalFormatting sqref="A64:A65">
    <cfRule type="expression" dxfId="585" priority="198">
      <formula>V64&lt;&gt;0</formula>
    </cfRule>
  </conditionalFormatting>
  <conditionalFormatting sqref="A66:A67">
    <cfRule type="expression" dxfId="584" priority="5348">
      <formula>V66&lt;&gt;0</formula>
    </cfRule>
  </conditionalFormatting>
  <conditionalFormatting sqref="A68:A69">
    <cfRule type="expression" dxfId="583" priority="5347">
      <formula>V68&lt;&gt;0</formula>
    </cfRule>
  </conditionalFormatting>
  <conditionalFormatting sqref="A70:A71">
    <cfRule type="expression" dxfId="582" priority="197">
      <formula>V70&lt;&gt;0</formula>
    </cfRule>
  </conditionalFormatting>
  <conditionalFormatting sqref="A72:A73">
    <cfRule type="expression" dxfId="581" priority="5345">
      <formula>V72&lt;&gt;0</formula>
    </cfRule>
  </conditionalFormatting>
  <conditionalFormatting sqref="A74:A75">
    <cfRule type="expression" dxfId="580" priority="5344">
      <formula>V74&lt;&gt;0</formula>
    </cfRule>
  </conditionalFormatting>
  <conditionalFormatting sqref="A76:A77">
    <cfRule type="expression" dxfId="579" priority="196">
      <formula>V76&lt;&gt;0</formula>
    </cfRule>
  </conditionalFormatting>
  <conditionalFormatting sqref="A78:A79">
    <cfRule type="expression" dxfId="578" priority="7305">
      <formula>V84&lt;&gt;0</formula>
    </cfRule>
  </conditionalFormatting>
  <conditionalFormatting sqref="A80:A81">
    <cfRule type="expression" dxfId="577" priority="7306">
      <formula>V86&lt;&gt;0</formula>
    </cfRule>
  </conditionalFormatting>
  <conditionalFormatting sqref="A82:A83">
    <cfRule type="expression" dxfId="576" priority="195">
      <formula>V82&lt;&gt;0</formula>
    </cfRule>
  </conditionalFormatting>
  <conditionalFormatting sqref="A84:A85">
    <cfRule type="expression" dxfId="575" priority="7303">
      <formula>V78&lt;&gt;0</formula>
    </cfRule>
  </conditionalFormatting>
  <conditionalFormatting sqref="A86:A87">
    <cfRule type="expression" dxfId="574" priority="7304">
      <formula>V80&lt;&gt;0</formula>
    </cfRule>
  </conditionalFormatting>
  <conditionalFormatting sqref="A88:A89">
    <cfRule type="expression" dxfId="573" priority="194">
      <formula>V88&lt;&gt;0</formula>
    </cfRule>
  </conditionalFormatting>
  <conditionalFormatting sqref="A90:A91">
    <cfRule type="expression" dxfId="572" priority="4600">
      <formula>V84&lt;&gt;0</formula>
    </cfRule>
  </conditionalFormatting>
  <conditionalFormatting sqref="A92:A93">
    <cfRule type="expression" dxfId="571" priority="4601">
      <formula>V86&lt;&gt;0</formula>
    </cfRule>
  </conditionalFormatting>
  <conditionalFormatting sqref="A94:A95">
    <cfRule type="expression" dxfId="570" priority="193">
      <formula>V94&lt;&gt;0</formula>
    </cfRule>
  </conditionalFormatting>
  <conditionalFormatting sqref="A96:A97">
    <cfRule type="expression" dxfId="569" priority="4542">
      <formula>V90&lt;&gt;0</formula>
    </cfRule>
  </conditionalFormatting>
  <conditionalFormatting sqref="A98:A99">
    <cfRule type="expression" dxfId="568" priority="4543">
      <formula>V92&lt;&gt;0</formula>
    </cfRule>
  </conditionalFormatting>
  <conditionalFormatting sqref="A100:A101">
    <cfRule type="expression" dxfId="567" priority="192">
      <formula>V100&lt;&gt;0</formula>
    </cfRule>
  </conditionalFormatting>
  <conditionalFormatting sqref="A102:A103">
    <cfRule type="expression" dxfId="566" priority="4484">
      <formula>V96&lt;&gt;0</formula>
    </cfRule>
  </conditionalFormatting>
  <conditionalFormatting sqref="A104:A105">
    <cfRule type="expression" dxfId="565" priority="4485">
      <formula>V98&lt;&gt;0</formula>
    </cfRule>
  </conditionalFormatting>
  <conditionalFormatting sqref="A106:A107">
    <cfRule type="expression" dxfId="564" priority="191">
      <formula>V106&lt;&gt;0</formula>
    </cfRule>
  </conditionalFormatting>
  <conditionalFormatting sqref="A108:A109">
    <cfRule type="expression" dxfId="563" priority="4424">
      <formula>V102&lt;&gt;0</formula>
    </cfRule>
  </conditionalFormatting>
  <conditionalFormatting sqref="A110:A111">
    <cfRule type="expression" dxfId="562" priority="4425">
      <formula>V104&lt;&gt;0</formula>
    </cfRule>
  </conditionalFormatting>
  <conditionalFormatting sqref="A112:A113">
    <cfRule type="expression" dxfId="561" priority="190">
      <formula>V112&lt;&gt;0</formula>
    </cfRule>
  </conditionalFormatting>
  <conditionalFormatting sqref="A114:A115">
    <cfRule type="expression" dxfId="560" priority="4364">
      <formula>V108&lt;&gt;0</formula>
    </cfRule>
  </conditionalFormatting>
  <conditionalFormatting sqref="A116:A117">
    <cfRule type="expression" dxfId="559" priority="4365">
      <formula>V110&lt;&gt;0</formula>
    </cfRule>
  </conditionalFormatting>
  <conditionalFormatting sqref="A118:A119">
    <cfRule type="expression" dxfId="558" priority="189">
      <formula>V118&lt;&gt;0</formula>
    </cfRule>
  </conditionalFormatting>
  <conditionalFormatting sqref="A120:A121">
    <cfRule type="expression" dxfId="557" priority="4304">
      <formula>V114&lt;&gt;0</formula>
    </cfRule>
  </conditionalFormatting>
  <conditionalFormatting sqref="A122:A123">
    <cfRule type="expression" dxfId="556" priority="4305">
      <formula>V116&lt;&gt;0</formula>
    </cfRule>
  </conditionalFormatting>
  <conditionalFormatting sqref="A124:A125">
    <cfRule type="expression" dxfId="555" priority="188">
      <formula>V124&lt;&gt;0</formula>
    </cfRule>
  </conditionalFormatting>
  <conditionalFormatting sqref="A126:A127">
    <cfRule type="expression" dxfId="554" priority="4244">
      <formula>V120&lt;&gt;0</formula>
    </cfRule>
  </conditionalFormatting>
  <conditionalFormatting sqref="A128:A129">
    <cfRule type="expression" dxfId="553" priority="4245">
      <formula>V122&lt;&gt;0</formula>
    </cfRule>
  </conditionalFormatting>
  <conditionalFormatting sqref="A130:A131">
    <cfRule type="expression" dxfId="552" priority="187">
      <formula>V130&lt;&gt;0</formula>
    </cfRule>
  </conditionalFormatting>
  <conditionalFormatting sqref="A132:A133">
    <cfRule type="expression" dxfId="551" priority="4184">
      <formula>V126&lt;&gt;0</formula>
    </cfRule>
  </conditionalFormatting>
  <conditionalFormatting sqref="A134:A135">
    <cfRule type="expression" dxfId="550" priority="4185">
      <formula>V128&lt;&gt;0</formula>
    </cfRule>
  </conditionalFormatting>
  <conditionalFormatting sqref="A136">
    <cfRule type="expression" dxfId="549" priority="4077">
      <formula>V136&lt;&gt;0</formula>
    </cfRule>
  </conditionalFormatting>
  <conditionalFormatting sqref="A137">
    <cfRule type="expression" dxfId="548" priority="4076">
      <formula>V137&lt;&gt;0</formula>
    </cfRule>
  </conditionalFormatting>
  <conditionalFormatting sqref="A138:A139">
    <cfRule type="expression" dxfId="547" priority="4124">
      <formula>V132&lt;&gt;0</formula>
    </cfRule>
  </conditionalFormatting>
  <conditionalFormatting sqref="A140:A157">
    <cfRule type="expression" dxfId="546" priority="4125">
      <formula>V134&lt;&gt;0</formula>
    </cfRule>
  </conditionalFormatting>
  <conditionalFormatting sqref="B2:B25 B42:B47 B50:B53 B56:B59 B62:B65 B68:B71 B74:B77 B80:B83 B86:B89 B92:B95 B98:B101 B104:B107 B110:B113 B116:B119 B122:B125 B128:B131 B134:B137">
    <cfRule type="cellIs" dxfId="545" priority="6045" operator="greaterThan">
      <formula>E2</formula>
    </cfRule>
  </conditionalFormatting>
  <conditionalFormatting sqref="B140:B157">
    <cfRule type="cellIs" dxfId="544" priority="4617" operator="greaterThan">
      <formula>E140</formula>
    </cfRule>
  </conditionalFormatting>
  <conditionalFormatting sqref="C10">
    <cfRule type="expression" dxfId="543" priority="4680">
      <formula>C10/100&lt;X10</formula>
    </cfRule>
  </conditionalFormatting>
  <conditionalFormatting sqref="C12">
    <cfRule type="expression" dxfId="542" priority="4681">
      <formula>C12/100&lt;X12</formula>
    </cfRule>
  </conditionalFormatting>
  <conditionalFormatting sqref="C14">
    <cfRule type="expression" dxfId="541" priority="4630">
      <formula>C14/100&lt;X14</formula>
    </cfRule>
  </conditionalFormatting>
  <conditionalFormatting sqref="C16">
    <cfRule type="expression" dxfId="540" priority="4631">
      <formula>C16/100&lt;X16</formula>
    </cfRule>
  </conditionalFormatting>
  <conditionalFormatting sqref="C26:C41">
    <cfRule type="cellIs" dxfId="538" priority="5571" operator="greaterThan">
      <formula>F26</formula>
    </cfRule>
  </conditionalFormatting>
  <conditionalFormatting sqref="E2:E25 E42:E47 E50:E53 E56:E59 E62:E65 E68:E71 E74:E77 E80:E83 E86:E89 E92:E95 E98:E101 E104:E107 E110:E113 E116:E119 E122:E125 E128:E131 E134:E137">
    <cfRule type="cellIs" dxfId="536" priority="6044" operator="greaterThan">
      <formula>B2</formula>
    </cfRule>
  </conditionalFormatting>
  <conditionalFormatting sqref="E140:E157">
    <cfRule type="cellIs" dxfId="535" priority="4616" operator="greaterThan">
      <formula>B140</formula>
    </cfRule>
  </conditionalFormatting>
  <conditionalFormatting sqref="F22:F23">
    <cfRule type="cellIs" dxfId="534" priority="386" operator="lessThanOrEqual">
      <formula>$C22</formula>
    </cfRule>
    <cfRule type="cellIs" dxfId="533" priority="387" operator="greaterThan">
      <formula>$C22</formula>
    </cfRule>
  </conditionalFormatting>
  <conditionalFormatting sqref="F44:F45">
    <cfRule type="cellIs" dxfId="532" priority="3075" operator="lessThan">
      <formula>D44</formula>
    </cfRule>
    <cfRule type="cellIs" dxfId="531" priority="3076" operator="greaterThan">
      <formula>D44</formula>
    </cfRule>
  </conditionalFormatting>
  <conditionalFormatting sqref="G2:G157">
    <cfRule type="cellIs" dxfId="530" priority="4618" operator="lessThan">
      <formula>0</formula>
    </cfRule>
    <cfRule type="cellIs" dxfId="529" priority="4619" operator="greaterThan">
      <formula>0</formula>
    </cfRule>
  </conditionalFormatting>
  <conditionalFormatting sqref="Q2:T157">
    <cfRule type="cellIs" dxfId="528" priority="4127" operator="equal">
      <formula>0</formula>
    </cfRule>
  </conditionalFormatting>
  <conditionalFormatting sqref="V2:V157">
    <cfRule type="cellIs" dxfId="527" priority="4620" operator="lessThan">
      <formula>0</formula>
    </cfRule>
    <cfRule type="cellIs" dxfId="526" priority="4621" operator="equal">
      <formula>0</formula>
    </cfRule>
  </conditionalFormatting>
  <conditionalFormatting sqref="W2:X157">
    <cfRule type="cellIs" dxfId="525" priority="4126" operator="equal">
      <formula>0</formula>
    </cfRule>
  </conditionalFormatting>
  <conditionalFormatting sqref="Y17 Y21">
    <cfRule type="cellIs" dxfId="524" priority="410" operator="greaterThan">
      <formula>Y14</formula>
    </cfRule>
  </conditionalFormatting>
  <conditionalFormatting sqref="Y22">
    <cfRule type="expression" dxfId="523" priority="405">
      <formula>Y23&gt;$AE$1*$AD$1</formula>
    </cfRule>
  </conditionalFormatting>
  <conditionalFormatting sqref="Y22:Y25">
    <cfRule type="cellIs" dxfId="522" priority="401" operator="lessThan">
      <formula>0</formula>
    </cfRule>
    <cfRule type="cellIs" dxfId="521" priority="402" operator="equal">
      <formula>0</formula>
    </cfRule>
  </conditionalFormatting>
  <conditionalFormatting sqref="Y23">
    <cfRule type="expression" dxfId="520" priority="403">
      <formula>Y23&gt;$AE$1*$AD$1</formula>
    </cfRule>
    <cfRule type="expression" dxfId="519" priority="404">
      <formula>Y23&gt;$AE$1*$AD$1</formula>
    </cfRule>
  </conditionalFormatting>
  <conditionalFormatting sqref="Y24">
    <cfRule type="expression" dxfId="518" priority="294">
      <formula>Y25&gt;$AE$1*$AD$1</formula>
    </cfRule>
  </conditionalFormatting>
  <conditionalFormatting sqref="Y25">
    <cfRule type="expression" dxfId="517" priority="292">
      <formula>Y25&gt;$AE$1*$AD$1</formula>
    </cfRule>
    <cfRule type="expression" dxfId="516" priority="293">
      <formula>Y25&gt;$AE$1*$AD$1</formula>
    </cfRule>
    <cfRule type="expression" dxfId="515" priority="295">
      <formula>Y25&gt;$AE$1*$AD$1</formula>
    </cfRule>
    <cfRule type="expression" dxfId="514" priority="296">
      <formula>Y25&gt;$AE$1*$AD$1</formula>
    </cfRule>
    <cfRule type="expression" dxfId="513" priority="383">
      <formula>Y25&gt;$AE$1*$AD$1</formula>
    </cfRule>
    <cfRule type="expression" dxfId="512" priority="384">
      <formula>Y25&gt;$AE$1*$AD$1</formula>
    </cfRule>
  </conditionalFormatting>
  <conditionalFormatting sqref="Y42:Y125">
    <cfRule type="cellIs" dxfId="511" priority="223" operator="equal">
      <formula>0</formula>
    </cfRule>
  </conditionalFormatting>
  <conditionalFormatting sqref="Y43 Y137 Y143 Y145 Y147 Y149 Y151 Y153 Y155 Y157">
    <cfRule type="expression" dxfId="510" priority="7307">
      <formula>Y43&gt;$AE$1*$AD$1</formula>
    </cfRule>
  </conditionalFormatting>
  <conditionalFormatting sqref="Y43:Y47">
    <cfRule type="cellIs" dxfId="509" priority="287" operator="lessThan">
      <formula>0</formula>
    </cfRule>
  </conditionalFormatting>
  <conditionalFormatting sqref="Y44">
    <cfRule type="expression" dxfId="508" priority="7325">
      <formula>Y45&gt;$AE$1*$AD$1</formula>
    </cfRule>
  </conditionalFormatting>
  <conditionalFormatting sqref="Y45">
    <cfRule type="expression" dxfId="507" priority="7308">
      <formula>Y45&gt;$AE$1*$AD$1</formula>
    </cfRule>
  </conditionalFormatting>
  <conditionalFormatting sqref="Y46">
    <cfRule type="expression" dxfId="506" priority="291">
      <formula>Y47&gt;$AE$1*$AD$1</formula>
    </cfRule>
  </conditionalFormatting>
  <conditionalFormatting sqref="Y47">
    <cfRule type="expression" dxfId="505" priority="289">
      <formula>Y47&gt;$AE$1*$AD$1</formula>
    </cfRule>
    <cfRule type="expression" dxfId="504" priority="290">
      <formula>Y47&gt;$AE$1*$AD$1</formula>
    </cfRule>
  </conditionalFormatting>
  <conditionalFormatting sqref="Y48:Y51">
    <cfRule type="cellIs" dxfId="503" priority="2905" operator="lessThan">
      <formula>0</formula>
    </cfRule>
  </conditionalFormatting>
  <conditionalFormatting sqref="Y52">
    <cfRule type="expression" dxfId="502" priority="286">
      <formula>Y53&gt;$AE$1*$AD$1</formula>
    </cfRule>
  </conditionalFormatting>
  <conditionalFormatting sqref="Y52:Y53">
    <cfRule type="cellIs" dxfId="501" priority="282" operator="lessThan">
      <formula>0</formula>
    </cfRule>
  </conditionalFormatting>
  <conditionalFormatting sqref="Y53">
    <cfRule type="expression" dxfId="500" priority="284">
      <formula>Y53&gt;$AE$1*$AD$1</formula>
    </cfRule>
    <cfRule type="expression" dxfId="499" priority="285">
      <formula>Y53&gt;$AE$1*$AD$1</formula>
    </cfRule>
  </conditionalFormatting>
  <conditionalFormatting sqref="Y54:Y57">
    <cfRule type="cellIs" dxfId="498" priority="2426" operator="lessThan">
      <formula>0</formula>
    </cfRule>
  </conditionalFormatting>
  <conditionalFormatting sqref="Y58">
    <cfRule type="expression" dxfId="497" priority="281">
      <formula>Y59&gt;$AE$1*$AD$1</formula>
    </cfRule>
  </conditionalFormatting>
  <conditionalFormatting sqref="Y58:Y59">
    <cfRule type="cellIs" dxfId="496" priority="277" operator="lessThan">
      <formula>0</formula>
    </cfRule>
  </conditionalFormatting>
  <conditionalFormatting sqref="Y59">
    <cfRule type="expression" dxfId="495" priority="279">
      <formula>Y59&gt;$AE$1*$AD$1</formula>
    </cfRule>
    <cfRule type="expression" dxfId="494" priority="280">
      <formula>Y59&gt;$AE$1*$AD$1</formula>
    </cfRule>
  </conditionalFormatting>
  <conditionalFormatting sqref="Y60:Y63">
    <cfRule type="cellIs" dxfId="493" priority="2414" operator="lessThan">
      <formula>0</formula>
    </cfRule>
  </conditionalFormatting>
  <conditionalFormatting sqref="Y64">
    <cfRule type="expression" dxfId="492" priority="276">
      <formula>Y65&gt;$AE$1*$AD$1</formula>
    </cfRule>
  </conditionalFormatting>
  <conditionalFormatting sqref="Y64:Y65">
    <cfRule type="cellIs" dxfId="491" priority="272" operator="lessThan">
      <formula>0</formula>
    </cfRule>
  </conditionalFormatting>
  <conditionalFormatting sqref="Y65">
    <cfRule type="expression" dxfId="490" priority="274">
      <formula>Y65&gt;$AE$1*$AD$1</formula>
    </cfRule>
    <cfRule type="expression" dxfId="489" priority="275">
      <formula>Y65&gt;$AE$1*$AD$1</formula>
    </cfRule>
  </conditionalFormatting>
  <conditionalFormatting sqref="Y66:Y69">
    <cfRule type="cellIs" dxfId="488" priority="2393" operator="lessThan">
      <formula>0</formula>
    </cfRule>
  </conditionalFormatting>
  <conditionalFormatting sqref="Y70">
    <cfRule type="expression" dxfId="487" priority="271">
      <formula>Y71&gt;$AE$1*$AD$1</formula>
    </cfRule>
  </conditionalFormatting>
  <conditionalFormatting sqref="Y70:Y71">
    <cfRule type="cellIs" dxfId="486" priority="267" operator="lessThan">
      <formula>0</formula>
    </cfRule>
  </conditionalFormatting>
  <conditionalFormatting sqref="Y71">
    <cfRule type="expression" dxfId="485" priority="269">
      <formula>Y71&gt;$AE$1*$AD$1</formula>
    </cfRule>
    <cfRule type="expression" dxfId="484" priority="270">
      <formula>Y71&gt;$AE$1*$AD$1</formula>
    </cfRule>
  </conditionalFormatting>
  <conditionalFormatting sqref="Y72:Y75">
    <cfRule type="cellIs" dxfId="483" priority="2361" operator="lessThan">
      <formula>0</formula>
    </cfRule>
  </conditionalFormatting>
  <conditionalFormatting sqref="Y76">
    <cfRule type="expression" dxfId="482" priority="266">
      <formula>Y77&gt;$AE$1*$AD$1</formula>
    </cfRule>
  </conditionalFormatting>
  <conditionalFormatting sqref="Y76:Y77">
    <cfRule type="cellIs" dxfId="481" priority="262" operator="lessThan">
      <formula>0</formula>
    </cfRule>
  </conditionalFormatting>
  <conditionalFormatting sqref="Y77">
    <cfRule type="expression" dxfId="480" priority="264">
      <formula>Y77&gt;$AE$1*$AD$1</formula>
    </cfRule>
    <cfRule type="expression" dxfId="479" priority="265">
      <formula>Y77&gt;$AE$1*$AD$1</formula>
    </cfRule>
  </conditionalFormatting>
  <conditionalFormatting sqref="Y78:Y81">
    <cfRule type="cellIs" dxfId="478" priority="2316" operator="lessThan">
      <formula>0</formula>
    </cfRule>
  </conditionalFormatting>
  <conditionalFormatting sqref="Y82">
    <cfRule type="expression" dxfId="477" priority="261">
      <formula>Y83&gt;$AE$1*$AD$1</formula>
    </cfRule>
  </conditionalFormatting>
  <conditionalFormatting sqref="Y82:Y83">
    <cfRule type="cellIs" dxfId="476" priority="257" operator="lessThan">
      <formula>0</formula>
    </cfRule>
  </conditionalFormatting>
  <conditionalFormatting sqref="Y83">
    <cfRule type="expression" dxfId="475" priority="259">
      <formula>Y83&gt;$AE$1*$AD$1</formula>
    </cfRule>
    <cfRule type="expression" dxfId="474" priority="260">
      <formula>Y83&gt;$AE$1*$AD$1</formula>
    </cfRule>
  </conditionalFormatting>
  <conditionalFormatting sqref="Y84:Y87">
    <cfRule type="cellIs" dxfId="473" priority="1639" operator="lessThan">
      <formula>0</formula>
    </cfRule>
  </conditionalFormatting>
  <conditionalFormatting sqref="Y88">
    <cfRule type="expression" dxfId="472" priority="256">
      <formula>Y89&gt;$AE$1*$AD$1</formula>
    </cfRule>
  </conditionalFormatting>
  <conditionalFormatting sqref="Y88:Y89">
    <cfRule type="cellIs" dxfId="471" priority="252" operator="lessThan">
      <formula>0</formula>
    </cfRule>
  </conditionalFormatting>
  <conditionalFormatting sqref="Y89">
    <cfRule type="expression" dxfId="470" priority="254">
      <formula>Y89&gt;$AE$1*$AD$1</formula>
    </cfRule>
    <cfRule type="expression" dxfId="469" priority="255">
      <formula>Y89&gt;$AE$1*$AD$1</formula>
    </cfRule>
  </conditionalFormatting>
  <conditionalFormatting sqref="Y90:Y93">
    <cfRule type="cellIs" dxfId="468" priority="1579" operator="lessThan">
      <formula>0</formula>
    </cfRule>
  </conditionalFormatting>
  <conditionalFormatting sqref="Y94">
    <cfRule type="expression" dxfId="467" priority="251">
      <formula>Y95&gt;$AE$1*$AD$1</formula>
    </cfRule>
  </conditionalFormatting>
  <conditionalFormatting sqref="Y94:Y95">
    <cfRule type="cellIs" dxfId="466" priority="247" operator="lessThan">
      <formula>0</formula>
    </cfRule>
  </conditionalFormatting>
  <conditionalFormatting sqref="Y95">
    <cfRule type="expression" dxfId="465" priority="249">
      <formula>Y95&gt;$AE$1*$AD$1</formula>
    </cfRule>
    <cfRule type="expression" dxfId="464" priority="250">
      <formula>Y95&gt;$AE$1*$AD$1</formula>
    </cfRule>
  </conditionalFormatting>
  <conditionalFormatting sqref="Y96:Y99">
    <cfRule type="cellIs" dxfId="463" priority="1519" operator="lessThan">
      <formula>0</formula>
    </cfRule>
  </conditionalFormatting>
  <conditionalFormatting sqref="Y100">
    <cfRule type="expression" dxfId="462" priority="246">
      <formula>Y101&gt;$AE$1*$AD$1</formula>
    </cfRule>
  </conditionalFormatting>
  <conditionalFormatting sqref="Y100:Y101">
    <cfRule type="cellIs" dxfId="461" priority="242" operator="lessThan">
      <formula>0</formula>
    </cfRule>
  </conditionalFormatting>
  <conditionalFormatting sqref="Y101">
    <cfRule type="expression" dxfId="460" priority="244">
      <formula>Y101&gt;$AE$1*$AD$1</formula>
    </cfRule>
    <cfRule type="expression" dxfId="459" priority="245">
      <formula>Y101&gt;$AE$1*$AD$1</formula>
    </cfRule>
  </conditionalFormatting>
  <conditionalFormatting sqref="Y102:Y105">
    <cfRule type="cellIs" dxfId="458" priority="1459" operator="lessThan">
      <formula>0</formula>
    </cfRule>
  </conditionalFormatting>
  <conditionalFormatting sqref="Y106">
    <cfRule type="expression" dxfId="457" priority="241">
      <formula>Y107&gt;$AE$1*$AD$1</formula>
    </cfRule>
  </conditionalFormatting>
  <conditionalFormatting sqref="Y106:Y107">
    <cfRule type="cellIs" dxfId="456" priority="237" operator="lessThan">
      <formula>0</formula>
    </cfRule>
  </conditionalFormatting>
  <conditionalFormatting sqref="Y107">
    <cfRule type="expression" dxfId="455" priority="239">
      <formula>Y107&gt;$AE$1*$AD$1</formula>
    </cfRule>
    <cfRule type="expression" dxfId="454" priority="240">
      <formula>Y107&gt;$AE$1*$AD$1</formula>
    </cfRule>
  </conditionalFormatting>
  <conditionalFormatting sqref="Y108:Y111">
    <cfRule type="cellIs" dxfId="453" priority="598" operator="lessThan">
      <formula>0</formula>
    </cfRule>
  </conditionalFormatting>
  <conditionalFormatting sqref="Y112">
    <cfRule type="expression" dxfId="452" priority="236">
      <formula>Y113&gt;$AE$1*$AD$1</formula>
    </cfRule>
  </conditionalFormatting>
  <conditionalFormatting sqref="Y112:Y113">
    <cfRule type="cellIs" dxfId="451" priority="232" operator="lessThan">
      <formula>0</formula>
    </cfRule>
  </conditionalFormatting>
  <conditionalFormatting sqref="Y113">
    <cfRule type="expression" dxfId="450" priority="234">
      <formula>Y113&gt;$AE$1*$AD$1</formula>
    </cfRule>
    <cfRule type="expression" dxfId="449" priority="235">
      <formula>Y113&gt;$AE$1*$AD$1</formula>
    </cfRule>
  </conditionalFormatting>
  <conditionalFormatting sqref="Y114:Y117">
    <cfRule type="cellIs" dxfId="448" priority="538" operator="lessThan">
      <formula>0</formula>
    </cfRule>
  </conditionalFormatting>
  <conditionalFormatting sqref="Y118">
    <cfRule type="expression" dxfId="447" priority="231">
      <formula>Y119&gt;$AE$1*$AD$1</formula>
    </cfRule>
  </conditionalFormatting>
  <conditionalFormatting sqref="Y118:Y119">
    <cfRule type="cellIs" dxfId="446" priority="227" operator="lessThan">
      <formula>0</formula>
    </cfRule>
  </conditionalFormatting>
  <conditionalFormatting sqref="Y119">
    <cfRule type="expression" dxfId="445" priority="229">
      <formula>Y119&gt;$AE$1*$AD$1</formula>
    </cfRule>
    <cfRule type="expression" dxfId="444" priority="230">
      <formula>Y119&gt;$AE$1*$AD$1</formula>
    </cfRule>
  </conditionalFormatting>
  <conditionalFormatting sqref="Y120:Y123">
    <cfRule type="cellIs" dxfId="443" priority="478" operator="lessThan">
      <formula>0</formula>
    </cfRule>
  </conditionalFormatting>
  <conditionalFormatting sqref="Y124">
    <cfRule type="expression" dxfId="442" priority="226">
      <formula>Y125&gt;$AE$1*$AD$1</formula>
    </cfRule>
  </conditionalFormatting>
  <conditionalFormatting sqref="Y124:Y125">
    <cfRule type="cellIs" dxfId="441" priority="222" operator="lessThan">
      <formula>0</formula>
    </cfRule>
  </conditionalFormatting>
  <conditionalFormatting sqref="Y125">
    <cfRule type="expression" dxfId="440" priority="224">
      <formula>Y125&gt;$AE$1*$AD$1</formula>
    </cfRule>
    <cfRule type="expression" dxfId="439" priority="225">
      <formula>Y125&gt;$AE$1*$AD$1</formula>
    </cfRule>
  </conditionalFormatting>
  <conditionalFormatting sqref="Y130">
    <cfRule type="expression" dxfId="438" priority="221">
      <formula>Y131&gt;$AE$1*$AD$1</formula>
    </cfRule>
  </conditionalFormatting>
  <conditionalFormatting sqref="Y130:Y131">
    <cfRule type="cellIs" dxfId="437" priority="217" operator="lessThan">
      <formula>0</formula>
    </cfRule>
  </conditionalFormatting>
  <conditionalFormatting sqref="Y130:Y141">
    <cfRule type="cellIs" dxfId="436" priority="218" operator="equal">
      <formula>0</formula>
    </cfRule>
  </conditionalFormatting>
  <conditionalFormatting sqref="Y131">
    <cfRule type="expression" dxfId="435" priority="219">
      <formula>Y131&gt;$AE$1*$AD$1</formula>
    </cfRule>
    <cfRule type="expression" dxfId="434" priority="220">
      <formula>Y131&gt;$AE$1*$AD$1</formula>
    </cfRule>
  </conditionalFormatting>
  <conditionalFormatting sqref="Y132:Y135">
    <cfRule type="cellIs" dxfId="433" priority="418" operator="lessThan">
      <formula>0</formula>
    </cfRule>
  </conditionalFormatting>
  <conditionalFormatting sqref="Y136">
    <cfRule type="cellIs" dxfId="432" priority="3353" operator="lessThan">
      <formula>0</formula>
    </cfRule>
  </conditionalFormatting>
  <conditionalFormatting sqref="Y138:Y157">
    <cfRule type="cellIs" dxfId="431" priority="3349" operator="lessThan">
      <formula>0</formula>
    </cfRule>
  </conditionalFormatting>
  <conditionalFormatting sqref="Y26:Z41">
    <cfRule type="cellIs" dxfId="430" priority="4870" operator="equal">
      <formula>0</formula>
    </cfRule>
  </conditionalFormatting>
  <conditionalFormatting sqref="Z2 Z6 Z10">
    <cfRule type="expression" dxfId="429" priority="4901">
      <formula>AA2&gt;Y3</formula>
    </cfRule>
  </conditionalFormatting>
  <conditionalFormatting sqref="Z2:Z3">
    <cfRule type="expression" dxfId="428" priority="2519">
      <formula>$AA2&lt;0</formula>
    </cfRule>
  </conditionalFormatting>
  <conditionalFormatting sqref="Z3">
    <cfRule type="expression" dxfId="427" priority="4033">
      <formula>AA3&gt;Y2</formula>
    </cfRule>
  </conditionalFormatting>
  <conditionalFormatting sqref="Z4">
    <cfRule type="expression" dxfId="426" priority="4032">
      <formula>AA4&gt;Y5</formula>
    </cfRule>
  </conditionalFormatting>
  <conditionalFormatting sqref="Z5">
    <cfRule type="expression" dxfId="425" priority="4031">
      <formula>AA5&gt;Y4</formula>
    </cfRule>
  </conditionalFormatting>
  <conditionalFormatting sqref="Z7 Z11">
    <cfRule type="expression" dxfId="424" priority="4030">
      <formula>AA7&gt;Y6</formula>
    </cfRule>
  </conditionalFormatting>
  <conditionalFormatting sqref="Z8 Z12">
    <cfRule type="expression" dxfId="423" priority="4029">
      <formula>AA8&gt;Y9</formula>
    </cfRule>
  </conditionalFormatting>
  <conditionalFormatting sqref="Z9 Z13">
    <cfRule type="expression" dxfId="422" priority="4028">
      <formula>AA9&gt;Y8</formula>
    </cfRule>
  </conditionalFormatting>
  <conditionalFormatting sqref="Z14 Z18">
    <cfRule type="cellIs" dxfId="421" priority="408" operator="lessThan">
      <formula>Z15</formula>
    </cfRule>
  </conditionalFormatting>
  <conditionalFormatting sqref="Z22">
    <cfRule type="cellIs" dxfId="420" priority="398" operator="greaterThan">
      <formula>Z23</formula>
    </cfRule>
    <cfRule type="cellIs" dxfId="419" priority="399" operator="lessThan">
      <formula>Z23</formula>
    </cfRule>
    <cfRule type="cellIs" dxfId="418" priority="400" operator="equal">
      <formula>0</formula>
    </cfRule>
  </conditionalFormatting>
  <conditionalFormatting sqref="Z23">
    <cfRule type="cellIs" dxfId="417" priority="397" operator="equal">
      <formula>0</formula>
    </cfRule>
  </conditionalFormatting>
  <conditionalFormatting sqref="Z24">
    <cfRule type="cellIs" dxfId="416" priority="389" operator="greaterThan">
      <formula>Z25</formula>
    </cfRule>
    <cfRule type="cellIs" dxfId="415" priority="390" operator="lessThan">
      <formula>Z25</formula>
    </cfRule>
    <cfRule type="cellIs" dxfId="414" priority="391" operator="equal">
      <formula>0</formula>
    </cfRule>
  </conditionalFormatting>
  <conditionalFormatting sqref="Z25">
    <cfRule type="cellIs" dxfId="413" priority="388" operator="equal">
      <formula>0</formula>
    </cfRule>
  </conditionalFormatting>
  <conditionalFormatting sqref="Z42:Z43">
    <cfRule type="cellIs" dxfId="412" priority="3492" operator="greaterThan">
      <formula>0</formula>
    </cfRule>
    <cfRule type="cellIs" dxfId="411" priority="3493" operator="lessThan">
      <formula>0</formula>
    </cfRule>
    <cfRule type="cellIs" dxfId="410" priority="3494" operator="equal">
      <formula>0</formula>
    </cfRule>
  </conditionalFormatting>
  <conditionalFormatting sqref="Z44">
    <cfRule type="cellIs" dxfId="409" priority="2683" operator="greaterThan">
      <formula>Z45</formula>
    </cfRule>
    <cfRule type="cellIs" dxfId="408" priority="2684" operator="lessThan">
      <formula>Z45</formula>
    </cfRule>
    <cfRule type="cellIs" dxfId="407" priority="2685" operator="equal">
      <formula>0</formula>
    </cfRule>
  </conditionalFormatting>
  <conditionalFormatting sqref="Z45">
    <cfRule type="cellIs" dxfId="406" priority="2682" operator="equal">
      <formula>0</formula>
    </cfRule>
  </conditionalFormatting>
  <conditionalFormatting sqref="Z46">
    <cfRule type="cellIs" dxfId="405" priority="2705" operator="greaterThan">
      <formula>Z47</formula>
    </cfRule>
    <cfRule type="cellIs" dxfId="404" priority="2706" operator="lessThan">
      <formula>Z47</formula>
    </cfRule>
    <cfRule type="cellIs" dxfId="403" priority="2707" operator="equal">
      <formula>0</formula>
    </cfRule>
  </conditionalFormatting>
  <conditionalFormatting sqref="Z47">
    <cfRule type="cellIs" dxfId="402" priority="2686" operator="equal">
      <formula>0</formula>
    </cfRule>
  </conditionalFormatting>
  <conditionalFormatting sqref="Z48">
    <cfRule type="cellIs" dxfId="401" priority="3502" operator="lessThan">
      <formula>Z49</formula>
    </cfRule>
    <cfRule type="cellIs" dxfId="400" priority="3503" operator="greaterThan">
      <formula>Z49</formula>
    </cfRule>
    <cfRule type="cellIs" dxfId="399" priority="3506" operator="lessThan">
      <formula>Z49</formula>
    </cfRule>
    <cfRule type="cellIs" dxfId="398" priority="3507" operator="greaterThan">
      <formula>Z49</formula>
    </cfRule>
    <cfRule type="cellIs" dxfId="397" priority="3508" operator="lessThan">
      <formula>Z49</formula>
    </cfRule>
    <cfRule type="cellIs" dxfId="396" priority="3509" operator="greaterThan">
      <formula>Z49</formula>
    </cfRule>
  </conditionalFormatting>
  <conditionalFormatting sqref="Z48:Z51">
    <cfRule type="cellIs" dxfId="395" priority="3510" operator="equal">
      <formula>0</formula>
    </cfRule>
  </conditionalFormatting>
  <conditionalFormatting sqref="Z49">
    <cfRule type="cellIs" dxfId="394" priority="3499" operator="lessThan">
      <formula>Z48</formula>
    </cfRule>
  </conditionalFormatting>
  <conditionalFormatting sqref="Z50">
    <cfRule type="cellIs" dxfId="393" priority="3500" operator="lessThan">
      <formula>Z51</formula>
    </cfRule>
    <cfRule type="cellIs" dxfId="392" priority="3501" operator="greaterThan">
      <formula>Z51</formula>
    </cfRule>
    <cfRule type="cellIs" dxfId="391" priority="3504" operator="lessThan">
      <formula>Z51</formula>
    </cfRule>
    <cfRule type="cellIs" dxfId="390" priority="3505" operator="greaterThan">
      <formula>Z51</formula>
    </cfRule>
  </conditionalFormatting>
  <conditionalFormatting sqref="Z51">
    <cfRule type="cellIs" dxfId="389" priority="3498" operator="lessThan">
      <formula>Z50</formula>
    </cfRule>
  </conditionalFormatting>
  <conditionalFormatting sqref="Z52">
    <cfRule type="cellIs" dxfId="388" priority="2679" operator="greaterThan">
      <formula>Z53</formula>
    </cfRule>
    <cfRule type="cellIs" dxfId="387" priority="2680" operator="lessThan">
      <formula>Z53</formula>
    </cfRule>
    <cfRule type="cellIs" dxfId="386" priority="2681" operator="equal">
      <formula>0</formula>
    </cfRule>
  </conditionalFormatting>
  <conditionalFormatting sqref="Z53">
    <cfRule type="cellIs" dxfId="385" priority="2678" operator="equal">
      <formula>0</formula>
    </cfRule>
  </conditionalFormatting>
  <conditionalFormatting sqref="Z54">
    <cfRule type="cellIs" dxfId="384" priority="3340" operator="lessThan">
      <formula>Z55</formula>
    </cfRule>
    <cfRule type="cellIs" dxfId="383" priority="3341" operator="greaterThan">
      <formula>Z55</formula>
    </cfRule>
    <cfRule type="cellIs" dxfId="382" priority="3344" operator="lessThan">
      <formula>Z55</formula>
    </cfRule>
    <cfRule type="cellIs" dxfId="381" priority="3345" operator="greaterThan">
      <formula>Z55</formula>
    </cfRule>
    <cfRule type="cellIs" dxfId="380" priority="3346" operator="lessThan">
      <formula>Z55</formula>
    </cfRule>
    <cfRule type="cellIs" dxfId="379" priority="3347" operator="greaterThan">
      <formula>Z55</formula>
    </cfRule>
  </conditionalFormatting>
  <conditionalFormatting sqref="Z54:Z57">
    <cfRule type="cellIs" dxfId="378" priority="3348" operator="equal">
      <formula>0</formula>
    </cfRule>
  </conditionalFormatting>
  <conditionalFormatting sqref="Z55">
    <cfRule type="cellIs" dxfId="377" priority="3337" operator="lessThan">
      <formula>Z54</formula>
    </cfRule>
  </conditionalFormatting>
  <conditionalFormatting sqref="Z56">
    <cfRule type="cellIs" dxfId="376" priority="3338" operator="lessThan">
      <formula>Z57</formula>
    </cfRule>
    <cfRule type="cellIs" dxfId="375" priority="3339" operator="greaterThan">
      <formula>Z57</formula>
    </cfRule>
    <cfRule type="cellIs" dxfId="374" priority="3342" operator="lessThan">
      <formula>Z57</formula>
    </cfRule>
    <cfRule type="cellIs" dxfId="373" priority="3343" operator="greaterThan">
      <formula>Z57</formula>
    </cfRule>
  </conditionalFormatting>
  <conditionalFormatting sqref="Z57">
    <cfRule type="cellIs" dxfId="372" priority="3336" operator="lessThan">
      <formula>Z56</formula>
    </cfRule>
  </conditionalFormatting>
  <conditionalFormatting sqref="Z58">
    <cfRule type="cellIs" dxfId="371" priority="2675" operator="greaterThan">
      <formula>Z59</formula>
    </cfRule>
    <cfRule type="cellIs" dxfId="370" priority="2676" operator="lessThan">
      <formula>Z59</formula>
    </cfRule>
    <cfRule type="cellIs" dxfId="369" priority="2677" operator="equal">
      <formula>0</formula>
    </cfRule>
  </conditionalFormatting>
  <conditionalFormatting sqref="Z59">
    <cfRule type="cellIs" dxfId="368" priority="2674" operator="equal">
      <formula>0</formula>
    </cfRule>
  </conditionalFormatting>
  <conditionalFormatting sqref="Z60">
    <cfRule type="cellIs" dxfId="367" priority="3324" operator="lessThan">
      <formula>Z61</formula>
    </cfRule>
    <cfRule type="cellIs" dxfId="366" priority="3325" operator="greaterThan">
      <formula>Z61</formula>
    </cfRule>
    <cfRule type="cellIs" dxfId="365" priority="3328" operator="lessThan">
      <formula>Z61</formula>
    </cfRule>
    <cfRule type="cellIs" dxfId="364" priority="3329" operator="greaterThan">
      <formula>Z61</formula>
    </cfRule>
    <cfRule type="cellIs" dxfId="363" priority="3330" operator="lessThan">
      <formula>Z61</formula>
    </cfRule>
    <cfRule type="cellIs" dxfId="362" priority="3331" operator="greaterThan">
      <formula>Z61</formula>
    </cfRule>
  </conditionalFormatting>
  <conditionalFormatting sqref="Z60:Z63">
    <cfRule type="cellIs" dxfId="361" priority="3332" operator="equal">
      <formula>0</formula>
    </cfRule>
  </conditionalFormatting>
  <conditionalFormatting sqref="Z61">
    <cfRule type="cellIs" dxfId="360" priority="3321" operator="lessThan">
      <formula>Z60</formula>
    </cfRule>
  </conditionalFormatting>
  <conditionalFormatting sqref="Z62">
    <cfRule type="cellIs" dxfId="359" priority="3322" operator="lessThan">
      <formula>Z63</formula>
    </cfRule>
    <cfRule type="cellIs" dxfId="358" priority="3323" operator="greaterThan">
      <formula>Z63</formula>
    </cfRule>
    <cfRule type="cellIs" dxfId="357" priority="3326" operator="lessThan">
      <formula>Z63</formula>
    </cfRule>
    <cfRule type="cellIs" dxfId="356" priority="3327" operator="greaterThan">
      <formula>Z63</formula>
    </cfRule>
  </conditionalFormatting>
  <conditionalFormatting sqref="Z63">
    <cfRule type="cellIs" dxfId="355" priority="3320" operator="lessThan">
      <formula>Z62</formula>
    </cfRule>
  </conditionalFormatting>
  <conditionalFormatting sqref="Z64">
    <cfRule type="cellIs" dxfId="354" priority="2671" operator="greaterThan">
      <formula>Z65</formula>
    </cfRule>
    <cfRule type="cellIs" dxfId="353" priority="2672" operator="lessThan">
      <formula>Z65</formula>
    </cfRule>
    <cfRule type="cellIs" dxfId="352" priority="2673" operator="equal">
      <formula>0</formula>
    </cfRule>
  </conditionalFormatting>
  <conditionalFormatting sqref="Z65">
    <cfRule type="cellIs" dxfId="351" priority="2670" operator="equal">
      <formula>0</formula>
    </cfRule>
  </conditionalFormatting>
  <conditionalFormatting sqref="Z66">
    <cfRule type="cellIs" dxfId="350" priority="3308" operator="lessThan">
      <formula>Z67</formula>
    </cfRule>
    <cfRule type="cellIs" dxfId="349" priority="3309" operator="greaterThan">
      <formula>Z67</formula>
    </cfRule>
    <cfRule type="cellIs" dxfId="348" priority="3312" operator="lessThan">
      <formula>Z67</formula>
    </cfRule>
    <cfRule type="cellIs" dxfId="347" priority="3313" operator="greaterThan">
      <formula>Z67</formula>
    </cfRule>
    <cfRule type="cellIs" dxfId="346" priority="3314" operator="lessThan">
      <formula>Z67</formula>
    </cfRule>
    <cfRule type="cellIs" dxfId="345" priority="3315" operator="greaterThan">
      <formula>Z67</formula>
    </cfRule>
  </conditionalFormatting>
  <conditionalFormatting sqref="Z66:Z69">
    <cfRule type="cellIs" dxfId="344" priority="3316" operator="equal">
      <formula>0</formula>
    </cfRule>
  </conditionalFormatting>
  <conditionalFormatting sqref="Z67">
    <cfRule type="cellIs" dxfId="343" priority="3305" operator="lessThan">
      <formula>Z66</formula>
    </cfRule>
  </conditionalFormatting>
  <conditionalFormatting sqref="Z68">
    <cfRule type="cellIs" dxfId="342" priority="3306" operator="lessThan">
      <formula>Z69</formula>
    </cfRule>
    <cfRule type="cellIs" dxfId="341" priority="3307" operator="greaterThan">
      <formula>Z69</formula>
    </cfRule>
    <cfRule type="cellIs" dxfId="340" priority="3310" operator="lessThan">
      <formula>Z69</formula>
    </cfRule>
    <cfRule type="cellIs" dxfId="339" priority="3311" operator="greaterThan">
      <formula>Z69</formula>
    </cfRule>
  </conditionalFormatting>
  <conditionalFormatting sqref="Z69">
    <cfRule type="cellIs" dxfId="338" priority="3304" operator="lessThan">
      <formula>Z68</formula>
    </cfRule>
  </conditionalFormatting>
  <conditionalFormatting sqref="Z70">
    <cfRule type="cellIs" dxfId="337" priority="2667" operator="greaterThan">
      <formula>Z71</formula>
    </cfRule>
    <cfRule type="cellIs" dxfId="336" priority="2668" operator="lessThan">
      <formula>Z71</formula>
    </cfRule>
    <cfRule type="cellIs" dxfId="335" priority="2669" operator="equal">
      <formula>0</formula>
    </cfRule>
  </conditionalFormatting>
  <conditionalFormatting sqref="Z71">
    <cfRule type="cellIs" dxfId="334" priority="2666" operator="equal">
      <formula>0</formula>
    </cfRule>
  </conditionalFormatting>
  <conditionalFormatting sqref="Z72">
    <cfRule type="cellIs" dxfId="333" priority="3292" operator="lessThan">
      <formula>Z73</formula>
    </cfRule>
    <cfRule type="cellIs" dxfId="332" priority="3293" operator="greaterThan">
      <formula>Z73</formula>
    </cfRule>
    <cfRule type="cellIs" dxfId="331" priority="3296" operator="lessThan">
      <formula>Z73</formula>
    </cfRule>
    <cfRule type="cellIs" dxfId="330" priority="3297" operator="greaterThan">
      <formula>Z73</formula>
    </cfRule>
    <cfRule type="cellIs" dxfId="329" priority="3298" operator="lessThan">
      <formula>Z73</formula>
    </cfRule>
    <cfRule type="cellIs" dxfId="328" priority="3299" operator="greaterThan">
      <formula>Z73</formula>
    </cfRule>
  </conditionalFormatting>
  <conditionalFormatting sqref="Z72:Z75">
    <cfRule type="cellIs" dxfId="327" priority="3300" operator="equal">
      <formula>0</formula>
    </cfRule>
  </conditionalFormatting>
  <conditionalFormatting sqref="Z73">
    <cfRule type="cellIs" dxfId="326" priority="3289" operator="lessThan">
      <formula>Z72</formula>
    </cfRule>
  </conditionalFormatting>
  <conditionalFormatting sqref="Z74">
    <cfRule type="cellIs" dxfId="325" priority="3290" operator="lessThan">
      <formula>Z75</formula>
    </cfRule>
    <cfRule type="cellIs" dxfId="324" priority="3291" operator="greaterThan">
      <formula>Z75</formula>
    </cfRule>
    <cfRule type="cellIs" dxfId="323" priority="3294" operator="lessThan">
      <formula>Z75</formula>
    </cfRule>
    <cfRule type="cellIs" dxfId="322" priority="3295" operator="greaterThan">
      <formula>Z75</formula>
    </cfRule>
  </conditionalFormatting>
  <conditionalFormatting sqref="Z75">
    <cfRule type="cellIs" dxfId="321" priority="3288" operator="lessThan">
      <formula>Z74</formula>
    </cfRule>
  </conditionalFormatting>
  <conditionalFormatting sqref="Z76">
    <cfRule type="cellIs" dxfId="320" priority="2663" operator="greaterThan">
      <formula>Z77</formula>
    </cfRule>
    <cfRule type="cellIs" dxfId="319" priority="2664" operator="lessThan">
      <formula>Z77</formula>
    </cfRule>
    <cfRule type="cellIs" dxfId="318" priority="2665" operator="equal">
      <formula>0</formula>
    </cfRule>
  </conditionalFormatting>
  <conditionalFormatting sqref="Z77">
    <cfRule type="cellIs" dxfId="317" priority="2662" operator="equal">
      <formula>0</formula>
    </cfRule>
  </conditionalFormatting>
  <conditionalFormatting sqref="Z78">
    <cfRule type="cellIs" dxfId="316" priority="3276" operator="lessThan">
      <formula>Z79</formula>
    </cfRule>
    <cfRule type="cellIs" dxfId="315" priority="3277" operator="greaterThan">
      <formula>Z79</formula>
    </cfRule>
    <cfRule type="cellIs" dxfId="314" priority="3280" operator="lessThan">
      <formula>Z79</formula>
    </cfRule>
    <cfRule type="cellIs" dxfId="313" priority="3281" operator="greaterThan">
      <formula>Z79</formula>
    </cfRule>
    <cfRule type="cellIs" dxfId="312" priority="3282" operator="lessThan">
      <formula>Z79</formula>
    </cfRule>
    <cfRule type="cellIs" dxfId="311" priority="3283" operator="greaterThan">
      <formula>Z79</formula>
    </cfRule>
  </conditionalFormatting>
  <conditionalFormatting sqref="Z78:Z81">
    <cfRule type="cellIs" dxfId="310" priority="3284" operator="equal">
      <formula>0</formula>
    </cfRule>
  </conditionalFormatting>
  <conditionalFormatting sqref="Z79">
    <cfRule type="cellIs" dxfId="309" priority="3273" operator="lessThan">
      <formula>Z78</formula>
    </cfRule>
  </conditionalFormatting>
  <conditionalFormatting sqref="Z80">
    <cfRule type="cellIs" dxfId="308" priority="3274" operator="lessThan">
      <formula>Z81</formula>
    </cfRule>
    <cfRule type="cellIs" dxfId="307" priority="3275" operator="greaterThan">
      <formula>Z81</formula>
    </cfRule>
    <cfRule type="cellIs" dxfId="306" priority="3278" operator="lessThan">
      <formula>Z81</formula>
    </cfRule>
    <cfRule type="cellIs" dxfId="305" priority="3279" operator="greaterThan">
      <formula>Z81</formula>
    </cfRule>
  </conditionalFormatting>
  <conditionalFormatting sqref="Z81">
    <cfRule type="cellIs" dxfId="304" priority="3272" operator="lessThan">
      <formula>Z80</formula>
    </cfRule>
  </conditionalFormatting>
  <conditionalFormatting sqref="Z82">
    <cfRule type="cellIs" dxfId="303" priority="2659" operator="greaterThan">
      <formula>Z83</formula>
    </cfRule>
    <cfRule type="cellIs" dxfId="302" priority="2660" operator="lessThan">
      <formula>Z83</formula>
    </cfRule>
    <cfRule type="cellIs" dxfId="301" priority="2661" operator="equal">
      <formula>0</formula>
    </cfRule>
  </conditionalFormatting>
  <conditionalFormatting sqref="Z83">
    <cfRule type="cellIs" dxfId="300" priority="2658" operator="equal">
      <formula>0</formula>
    </cfRule>
  </conditionalFormatting>
  <conditionalFormatting sqref="Z84">
    <cfRule type="cellIs" dxfId="299" priority="3260" operator="lessThan">
      <formula>Z85</formula>
    </cfRule>
    <cfRule type="cellIs" dxfId="298" priority="3261" operator="greaterThan">
      <formula>Z85</formula>
    </cfRule>
    <cfRule type="cellIs" dxfId="297" priority="3264" operator="lessThan">
      <formula>Z85</formula>
    </cfRule>
    <cfRule type="cellIs" dxfId="296" priority="3265" operator="greaterThan">
      <formula>Z85</formula>
    </cfRule>
    <cfRule type="cellIs" dxfId="295" priority="3266" operator="lessThan">
      <formula>Z85</formula>
    </cfRule>
    <cfRule type="cellIs" dxfId="294" priority="3267" operator="greaterThan">
      <formula>Z85</formula>
    </cfRule>
  </conditionalFormatting>
  <conditionalFormatting sqref="Z84:Z87">
    <cfRule type="cellIs" dxfId="293" priority="3268" operator="equal">
      <formula>0</formula>
    </cfRule>
  </conditionalFormatting>
  <conditionalFormatting sqref="Z85">
    <cfRule type="cellIs" dxfId="292" priority="3257" operator="lessThan">
      <formula>Z84</formula>
    </cfRule>
  </conditionalFormatting>
  <conditionalFormatting sqref="Z86">
    <cfRule type="cellIs" dxfId="291" priority="3258" operator="lessThan">
      <formula>Z87</formula>
    </cfRule>
    <cfRule type="cellIs" dxfId="290" priority="3259" operator="greaterThan">
      <formula>Z87</formula>
    </cfRule>
    <cfRule type="cellIs" dxfId="289" priority="3262" operator="lessThan">
      <formula>Z87</formula>
    </cfRule>
    <cfRule type="cellIs" dxfId="288" priority="3263" operator="greaterThan">
      <formula>Z87</formula>
    </cfRule>
  </conditionalFormatting>
  <conditionalFormatting sqref="Z87">
    <cfRule type="cellIs" dxfId="287" priority="3256" operator="lessThan">
      <formula>Z86</formula>
    </cfRule>
  </conditionalFormatting>
  <conditionalFormatting sqref="Z88">
    <cfRule type="cellIs" dxfId="286" priority="2655" operator="greaterThan">
      <formula>Z89</formula>
    </cfRule>
    <cfRule type="cellIs" dxfId="285" priority="2656" operator="lessThan">
      <formula>Z89</formula>
    </cfRule>
    <cfRule type="cellIs" dxfId="284" priority="2657" operator="equal">
      <formula>0</formula>
    </cfRule>
  </conditionalFormatting>
  <conditionalFormatting sqref="Z89">
    <cfRule type="cellIs" dxfId="283" priority="2654" operator="equal">
      <formula>0</formula>
    </cfRule>
  </conditionalFormatting>
  <conditionalFormatting sqref="Z90">
    <cfRule type="cellIs" dxfId="282" priority="3244" operator="lessThan">
      <formula>Z91</formula>
    </cfRule>
    <cfRule type="cellIs" dxfId="281" priority="3245" operator="greaterThan">
      <formula>Z91</formula>
    </cfRule>
    <cfRule type="cellIs" dxfId="280" priority="3248" operator="lessThan">
      <formula>Z91</formula>
    </cfRule>
    <cfRule type="cellIs" dxfId="279" priority="3249" operator="greaterThan">
      <formula>Z91</formula>
    </cfRule>
    <cfRule type="cellIs" dxfId="278" priority="3250" operator="lessThan">
      <formula>Z91</formula>
    </cfRule>
    <cfRule type="cellIs" dxfId="277" priority="3251" operator="greaterThan">
      <formula>Z91</formula>
    </cfRule>
  </conditionalFormatting>
  <conditionalFormatting sqref="Z90:Z93">
    <cfRule type="cellIs" dxfId="276" priority="3252" operator="equal">
      <formula>0</formula>
    </cfRule>
  </conditionalFormatting>
  <conditionalFormatting sqref="Z91">
    <cfRule type="cellIs" dxfId="275" priority="3241" operator="lessThan">
      <formula>Z90</formula>
    </cfRule>
  </conditionalFormatting>
  <conditionalFormatting sqref="Z92">
    <cfRule type="cellIs" dxfId="274" priority="3242" operator="lessThan">
      <formula>Z93</formula>
    </cfRule>
    <cfRule type="cellIs" dxfId="273" priority="3243" operator="greaterThan">
      <formula>Z93</formula>
    </cfRule>
    <cfRule type="cellIs" dxfId="272" priority="3246" operator="lessThan">
      <formula>Z93</formula>
    </cfRule>
    <cfRule type="cellIs" dxfId="271" priority="3247" operator="greaterThan">
      <formula>Z93</formula>
    </cfRule>
  </conditionalFormatting>
  <conditionalFormatting sqref="Z93">
    <cfRule type="cellIs" dxfId="270" priority="3240" operator="lessThan">
      <formula>Z92</formula>
    </cfRule>
  </conditionalFormatting>
  <conditionalFormatting sqref="Z94">
    <cfRule type="cellIs" dxfId="269" priority="2651" operator="greaterThan">
      <formula>Z95</formula>
    </cfRule>
    <cfRule type="cellIs" dxfId="268" priority="2652" operator="lessThan">
      <formula>Z95</formula>
    </cfRule>
    <cfRule type="cellIs" dxfId="267" priority="2653" operator="equal">
      <formula>0</formula>
    </cfRule>
  </conditionalFormatting>
  <conditionalFormatting sqref="Z95">
    <cfRule type="cellIs" dxfId="266" priority="2650" operator="equal">
      <formula>0</formula>
    </cfRule>
  </conditionalFormatting>
  <conditionalFormatting sqref="Z96">
    <cfRule type="cellIs" dxfId="265" priority="3228" operator="lessThan">
      <formula>Z97</formula>
    </cfRule>
    <cfRule type="cellIs" dxfId="264" priority="3229" operator="greaterThan">
      <formula>Z97</formula>
    </cfRule>
    <cfRule type="cellIs" dxfId="263" priority="3232" operator="lessThan">
      <formula>Z97</formula>
    </cfRule>
    <cfRule type="cellIs" dxfId="262" priority="3233" operator="greaterThan">
      <formula>Z97</formula>
    </cfRule>
    <cfRule type="cellIs" dxfId="261" priority="3234" operator="lessThan">
      <formula>Z97</formula>
    </cfRule>
    <cfRule type="cellIs" dxfId="260" priority="3235" operator="greaterThan">
      <formula>Z97</formula>
    </cfRule>
  </conditionalFormatting>
  <conditionalFormatting sqref="Z96:Z99">
    <cfRule type="cellIs" dxfId="259" priority="3236" operator="equal">
      <formula>0</formula>
    </cfRule>
  </conditionalFormatting>
  <conditionalFormatting sqref="Z97">
    <cfRule type="cellIs" dxfId="258" priority="3225" operator="lessThan">
      <formula>Z96</formula>
    </cfRule>
  </conditionalFormatting>
  <conditionalFormatting sqref="Z98">
    <cfRule type="cellIs" dxfId="257" priority="3226" operator="lessThan">
      <formula>Z99</formula>
    </cfRule>
    <cfRule type="cellIs" dxfId="256" priority="3227" operator="greaterThan">
      <formula>Z99</formula>
    </cfRule>
    <cfRule type="cellIs" dxfId="255" priority="3230" operator="lessThan">
      <formula>Z99</formula>
    </cfRule>
    <cfRule type="cellIs" dxfId="254" priority="3231" operator="greaterThan">
      <formula>Z99</formula>
    </cfRule>
  </conditionalFormatting>
  <conditionalFormatting sqref="Z99">
    <cfRule type="cellIs" dxfId="253" priority="3224" operator="lessThan">
      <formula>Z98</formula>
    </cfRule>
  </conditionalFormatting>
  <conditionalFormatting sqref="Z100">
    <cfRule type="cellIs" dxfId="252" priority="2647" operator="greaterThan">
      <formula>Z101</formula>
    </cfRule>
    <cfRule type="cellIs" dxfId="251" priority="2648" operator="lessThan">
      <formula>Z101</formula>
    </cfRule>
    <cfRule type="cellIs" dxfId="250" priority="2649" operator="equal">
      <formula>0</formula>
    </cfRule>
  </conditionalFormatting>
  <conditionalFormatting sqref="Z101">
    <cfRule type="cellIs" dxfId="249" priority="2646" operator="equal">
      <formula>0</formula>
    </cfRule>
  </conditionalFormatting>
  <conditionalFormatting sqref="Z102">
    <cfRule type="cellIs" dxfId="248" priority="3212" operator="lessThan">
      <formula>Z103</formula>
    </cfRule>
    <cfRule type="cellIs" dxfId="247" priority="3213" operator="greaterThan">
      <formula>Z103</formula>
    </cfRule>
    <cfRule type="cellIs" dxfId="246" priority="3216" operator="lessThan">
      <formula>Z103</formula>
    </cfRule>
    <cfRule type="cellIs" dxfId="245" priority="3217" operator="greaterThan">
      <formula>Z103</formula>
    </cfRule>
    <cfRule type="cellIs" dxfId="244" priority="3218" operator="lessThan">
      <formula>Z103</formula>
    </cfRule>
    <cfRule type="cellIs" dxfId="243" priority="3219" operator="greaterThan">
      <formula>Z103</formula>
    </cfRule>
  </conditionalFormatting>
  <conditionalFormatting sqref="Z102:Z105">
    <cfRule type="cellIs" dxfId="242" priority="3220" operator="equal">
      <formula>0</formula>
    </cfRule>
  </conditionalFormatting>
  <conditionalFormatting sqref="Z103">
    <cfRule type="cellIs" dxfId="241" priority="3209" operator="lessThan">
      <formula>Z102</formula>
    </cfRule>
  </conditionalFormatting>
  <conditionalFormatting sqref="Z104">
    <cfRule type="cellIs" dxfId="240" priority="3210" operator="lessThan">
      <formula>Z105</formula>
    </cfRule>
    <cfRule type="cellIs" dxfId="239" priority="3211" operator="greaterThan">
      <formula>Z105</formula>
    </cfRule>
    <cfRule type="cellIs" dxfId="238" priority="3214" operator="lessThan">
      <formula>Z105</formula>
    </cfRule>
    <cfRule type="cellIs" dxfId="237" priority="3215" operator="greaterThan">
      <formula>Z105</formula>
    </cfRule>
  </conditionalFormatting>
  <conditionalFormatting sqref="Z105">
    <cfRule type="cellIs" dxfId="236" priority="3208" operator="lessThan">
      <formula>Z104</formula>
    </cfRule>
  </conditionalFormatting>
  <conditionalFormatting sqref="Z106">
    <cfRule type="cellIs" dxfId="235" priority="2643" operator="greaterThan">
      <formula>Z107</formula>
    </cfRule>
    <cfRule type="cellIs" dxfId="234" priority="2644" operator="lessThan">
      <formula>Z107</formula>
    </cfRule>
    <cfRule type="cellIs" dxfId="233" priority="2645" operator="equal">
      <formula>0</formula>
    </cfRule>
  </conditionalFormatting>
  <conditionalFormatting sqref="Z107">
    <cfRule type="cellIs" dxfId="232" priority="2642" operator="equal">
      <formula>0</formula>
    </cfRule>
  </conditionalFormatting>
  <conditionalFormatting sqref="Z108">
    <cfRule type="cellIs" dxfId="231" priority="3196" operator="lessThan">
      <formula>Z109</formula>
    </cfRule>
    <cfRule type="cellIs" dxfId="230" priority="3197" operator="greaterThan">
      <formula>Z109</formula>
    </cfRule>
    <cfRule type="cellIs" dxfId="229" priority="3200" operator="lessThan">
      <formula>Z109</formula>
    </cfRule>
    <cfRule type="cellIs" dxfId="228" priority="3201" operator="greaterThan">
      <formula>Z109</formula>
    </cfRule>
    <cfRule type="cellIs" dxfId="227" priority="3202" operator="lessThan">
      <formula>Z109</formula>
    </cfRule>
    <cfRule type="cellIs" dxfId="226" priority="3203" operator="greaterThan">
      <formula>Z109</formula>
    </cfRule>
  </conditionalFormatting>
  <conditionalFormatting sqref="Z108:Z111">
    <cfRule type="cellIs" dxfId="225" priority="3204" operator="equal">
      <formula>0</formula>
    </cfRule>
  </conditionalFormatting>
  <conditionalFormatting sqref="Z109">
    <cfRule type="cellIs" dxfId="224" priority="3193" operator="lessThan">
      <formula>Z108</formula>
    </cfRule>
  </conditionalFormatting>
  <conditionalFormatting sqref="Z110">
    <cfRule type="cellIs" dxfId="223" priority="3194" operator="lessThan">
      <formula>Z111</formula>
    </cfRule>
    <cfRule type="cellIs" dxfId="222" priority="3195" operator="greaterThan">
      <formula>Z111</formula>
    </cfRule>
    <cfRule type="cellIs" dxfId="221" priority="3198" operator="lessThan">
      <formula>Z111</formula>
    </cfRule>
    <cfRule type="cellIs" dxfId="220" priority="3199" operator="greaterThan">
      <formula>Z111</formula>
    </cfRule>
  </conditionalFormatting>
  <conditionalFormatting sqref="Z111">
    <cfRule type="cellIs" dxfId="219" priority="3192" operator="lessThan">
      <formula>Z110</formula>
    </cfRule>
  </conditionalFormatting>
  <conditionalFormatting sqref="Z112">
    <cfRule type="cellIs" dxfId="218" priority="2639" operator="greaterThan">
      <formula>Z113</formula>
    </cfRule>
    <cfRule type="cellIs" dxfId="217" priority="2640" operator="lessThan">
      <formula>Z113</formula>
    </cfRule>
    <cfRule type="cellIs" dxfId="216" priority="2641" operator="equal">
      <formula>0</formula>
    </cfRule>
  </conditionalFormatting>
  <conditionalFormatting sqref="Z113">
    <cfRule type="cellIs" dxfId="215" priority="2638" operator="equal">
      <formula>0</formula>
    </cfRule>
  </conditionalFormatting>
  <conditionalFormatting sqref="Z114">
    <cfRule type="cellIs" dxfId="214" priority="3180" operator="lessThan">
      <formula>Z115</formula>
    </cfRule>
    <cfRule type="cellIs" dxfId="213" priority="3181" operator="greaterThan">
      <formula>Z115</formula>
    </cfRule>
    <cfRule type="cellIs" dxfId="212" priority="3184" operator="lessThan">
      <formula>Z115</formula>
    </cfRule>
    <cfRule type="cellIs" dxfId="211" priority="3185" operator="greaterThan">
      <formula>Z115</formula>
    </cfRule>
    <cfRule type="cellIs" dxfId="210" priority="3186" operator="lessThan">
      <formula>Z115</formula>
    </cfRule>
    <cfRule type="cellIs" dxfId="209" priority="3187" operator="greaterThan">
      <formula>Z115</formula>
    </cfRule>
  </conditionalFormatting>
  <conditionalFormatting sqref="Z114:Z117">
    <cfRule type="cellIs" dxfId="208" priority="3188" operator="equal">
      <formula>0</formula>
    </cfRule>
  </conditionalFormatting>
  <conditionalFormatting sqref="Z115">
    <cfRule type="cellIs" dxfId="207" priority="3177" operator="lessThan">
      <formula>Z114</formula>
    </cfRule>
  </conditionalFormatting>
  <conditionalFormatting sqref="Z116">
    <cfRule type="cellIs" dxfId="206" priority="3178" operator="lessThan">
      <formula>Z117</formula>
    </cfRule>
    <cfRule type="cellIs" dxfId="205" priority="3179" operator="greaterThan">
      <formula>Z117</formula>
    </cfRule>
    <cfRule type="cellIs" dxfId="204" priority="3182" operator="lessThan">
      <formula>Z117</formula>
    </cfRule>
    <cfRule type="cellIs" dxfId="203" priority="3183" operator="greaterThan">
      <formula>Z117</formula>
    </cfRule>
  </conditionalFormatting>
  <conditionalFormatting sqref="Z117">
    <cfRule type="cellIs" dxfId="202" priority="3176" operator="lessThan">
      <formula>Z116</formula>
    </cfRule>
  </conditionalFormatting>
  <conditionalFormatting sqref="Z118">
    <cfRule type="cellIs" dxfId="201" priority="2635" operator="greaterThan">
      <formula>Z119</formula>
    </cfRule>
    <cfRule type="cellIs" dxfId="200" priority="2636" operator="lessThan">
      <formula>Z119</formula>
    </cfRule>
    <cfRule type="cellIs" dxfId="199" priority="2637" operator="equal">
      <formula>0</formula>
    </cfRule>
  </conditionalFormatting>
  <conditionalFormatting sqref="Z119">
    <cfRule type="cellIs" dxfId="198" priority="2634" operator="equal">
      <formula>0</formula>
    </cfRule>
  </conditionalFormatting>
  <conditionalFormatting sqref="Z120">
    <cfRule type="cellIs" dxfId="197" priority="3164" operator="lessThan">
      <formula>Z121</formula>
    </cfRule>
    <cfRule type="cellIs" dxfId="196" priority="3165" operator="greaterThan">
      <formula>Z121</formula>
    </cfRule>
    <cfRule type="cellIs" dxfId="195" priority="3168" operator="lessThan">
      <formula>Z121</formula>
    </cfRule>
    <cfRule type="cellIs" dxfId="194" priority="3169" operator="greaterThan">
      <formula>Z121</formula>
    </cfRule>
    <cfRule type="cellIs" dxfId="193" priority="3170" operator="lessThan">
      <formula>Z121</formula>
    </cfRule>
    <cfRule type="cellIs" dxfId="192" priority="3171" operator="greaterThan">
      <formula>Z121</formula>
    </cfRule>
  </conditionalFormatting>
  <conditionalFormatting sqref="Z120:Z123">
    <cfRule type="cellIs" dxfId="191" priority="3172" operator="equal">
      <formula>0</formula>
    </cfRule>
  </conditionalFormatting>
  <conditionalFormatting sqref="Z121">
    <cfRule type="cellIs" dxfId="190" priority="3161" operator="lessThan">
      <formula>Z120</formula>
    </cfRule>
  </conditionalFormatting>
  <conditionalFormatting sqref="Z122">
    <cfRule type="cellIs" dxfId="189" priority="3162" operator="lessThan">
      <formula>Z123</formula>
    </cfRule>
    <cfRule type="cellIs" dxfId="188" priority="3163" operator="greaterThan">
      <formula>Z123</formula>
    </cfRule>
    <cfRule type="cellIs" dxfId="187" priority="3166" operator="lessThan">
      <formula>Z123</formula>
    </cfRule>
    <cfRule type="cellIs" dxfId="186" priority="3167" operator="greaterThan">
      <formula>Z123</formula>
    </cfRule>
  </conditionalFormatting>
  <conditionalFormatting sqref="Z123">
    <cfRule type="cellIs" dxfId="185" priority="3160" operator="lessThan">
      <formula>Z122</formula>
    </cfRule>
  </conditionalFormatting>
  <conditionalFormatting sqref="Z124">
    <cfRule type="cellIs" dxfId="184" priority="2631" operator="greaterThan">
      <formula>Z125</formula>
    </cfRule>
    <cfRule type="cellIs" dxfId="183" priority="2632" operator="lessThan">
      <formula>Z125</formula>
    </cfRule>
    <cfRule type="cellIs" dxfId="182" priority="2633" operator="equal">
      <formula>0</formula>
    </cfRule>
  </conditionalFormatting>
  <conditionalFormatting sqref="Z125">
    <cfRule type="cellIs" dxfId="181" priority="2630" operator="equal">
      <formula>0</formula>
    </cfRule>
  </conditionalFormatting>
  <conditionalFormatting sqref="Z126">
    <cfRule type="cellIs" dxfId="180" priority="3148" operator="lessThan">
      <formula>Z127</formula>
    </cfRule>
    <cfRule type="cellIs" dxfId="179" priority="3149" operator="greaterThan">
      <formula>Z127</formula>
    </cfRule>
    <cfRule type="cellIs" dxfId="178" priority="3152" operator="lessThan">
      <formula>Z127</formula>
    </cfRule>
    <cfRule type="cellIs" dxfId="177" priority="3153" operator="greaterThan">
      <formula>Z127</formula>
    </cfRule>
    <cfRule type="cellIs" dxfId="176" priority="3154" operator="lessThan">
      <formula>Z127</formula>
    </cfRule>
    <cfRule type="cellIs" dxfId="175" priority="3155" operator="greaterThan">
      <formula>Z127</formula>
    </cfRule>
  </conditionalFormatting>
  <conditionalFormatting sqref="Z126:Z129">
    <cfRule type="cellIs" dxfId="174" priority="3156" operator="equal">
      <formula>0</formula>
    </cfRule>
  </conditionalFormatting>
  <conditionalFormatting sqref="Z127">
    <cfRule type="cellIs" dxfId="173" priority="3145" operator="lessThan">
      <formula>Z126</formula>
    </cfRule>
  </conditionalFormatting>
  <conditionalFormatting sqref="Z128">
    <cfRule type="cellIs" dxfId="172" priority="3146" operator="lessThan">
      <formula>Z129</formula>
    </cfRule>
    <cfRule type="cellIs" dxfId="171" priority="3147" operator="greaterThan">
      <formula>Z129</formula>
    </cfRule>
    <cfRule type="cellIs" dxfId="170" priority="3150" operator="lessThan">
      <formula>Z129</formula>
    </cfRule>
    <cfRule type="cellIs" dxfId="169" priority="3151" operator="greaterThan">
      <formula>Z129</formula>
    </cfRule>
  </conditionalFormatting>
  <conditionalFormatting sqref="Z129">
    <cfRule type="cellIs" dxfId="168" priority="3144" operator="lessThan">
      <formula>Z128</formula>
    </cfRule>
  </conditionalFormatting>
  <conditionalFormatting sqref="Z130">
    <cfRule type="cellIs" dxfId="167" priority="2627" operator="greaterThan">
      <formula>Z131</formula>
    </cfRule>
    <cfRule type="cellIs" dxfId="166" priority="2628" operator="lessThan">
      <formula>Z131</formula>
    </cfRule>
    <cfRule type="cellIs" dxfId="165" priority="2629" operator="equal">
      <formula>0</formula>
    </cfRule>
  </conditionalFormatting>
  <conditionalFormatting sqref="Z131">
    <cfRule type="cellIs" dxfId="164" priority="2626" operator="equal">
      <formula>0</formula>
    </cfRule>
  </conditionalFormatting>
  <conditionalFormatting sqref="Z132">
    <cfRule type="cellIs" dxfId="163" priority="3132" operator="lessThan">
      <formula>Z133</formula>
    </cfRule>
    <cfRule type="cellIs" dxfId="162" priority="3133" operator="greaterThan">
      <formula>Z133</formula>
    </cfRule>
    <cfRule type="cellIs" dxfId="161" priority="3136" operator="lessThan">
      <formula>Z133</formula>
    </cfRule>
    <cfRule type="cellIs" dxfId="160" priority="3137" operator="greaterThan">
      <formula>Z133</formula>
    </cfRule>
    <cfRule type="cellIs" dxfId="159" priority="3138" operator="lessThan">
      <formula>Z133</formula>
    </cfRule>
    <cfRule type="cellIs" dxfId="158" priority="3139" operator="greaterThan">
      <formula>Z133</formula>
    </cfRule>
  </conditionalFormatting>
  <conditionalFormatting sqref="Z132:Z135">
    <cfRule type="cellIs" dxfId="157" priority="3140" operator="equal">
      <formula>0</formula>
    </cfRule>
  </conditionalFormatting>
  <conditionalFormatting sqref="Z133">
    <cfRule type="cellIs" dxfId="156" priority="3129" operator="lessThan">
      <formula>Z132</formula>
    </cfRule>
  </conditionalFormatting>
  <conditionalFormatting sqref="Z134">
    <cfRule type="cellIs" dxfId="155" priority="3130" operator="lessThan">
      <formula>Z135</formula>
    </cfRule>
    <cfRule type="cellIs" dxfId="154" priority="3131" operator="greaterThan">
      <formula>Z135</formula>
    </cfRule>
    <cfRule type="cellIs" dxfId="153" priority="3134" operator="lessThan">
      <formula>Z135</formula>
    </cfRule>
    <cfRule type="cellIs" dxfId="152" priority="3135" operator="greaterThan">
      <formula>Z135</formula>
    </cfRule>
  </conditionalFormatting>
  <conditionalFormatting sqref="Z135">
    <cfRule type="cellIs" dxfId="151" priority="3128" operator="lessThan">
      <formula>Z134</formula>
    </cfRule>
  </conditionalFormatting>
  <conditionalFormatting sqref="Z136:Z137">
    <cfRule type="cellIs" dxfId="150" priority="3109" operator="greaterThan">
      <formula>0</formula>
    </cfRule>
    <cfRule type="cellIs" dxfId="149" priority="3110" operator="lessThan">
      <formula>0</formula>
    </cfRule>
    <cfRule type="cellIs" dxfId="148" priority="3111" operator="equal">
      <formula>0</formula>
    </cfRule>
  </conditionalFormatting>
  <conditionalFormatting sqref="Z138">
    <cfRule type="cellIs" dxfId="147" priority="3116" operator="lessThan">
      <formula>Z139</formula>
    </cfRule>
    <cfRule type="cellIs" dxfId="146" priority="3117" operator="greaterThan">
      <formula>Z139</formula>
    </cfRule>
    <cfRule type="cellIs" dxfId="145" priority="3120" operator="lessThan">
      <formula>Z139</formula>
    </cfRule>
    <cfRule type="cellIs" dxfId="144" priority="3121" operator="greaterThan">
      <formula>Z139</formula>
    </cfRule>
    <cfRule type="cellIs" dxfId="143" priority="3122" operator="lessThan">
      <formula>Z139</formula>
    </cfRule>
    <cfRule type="cellIs" dxfId="142" priority="3123" operator="greaterThan">
      <formula>Z139</formula>
    </cfRule>
  </conditionalFormatting>
  <conditionalFormatting sqref="Z138:Z141">
    <cfRule type="cellIs" dxfId="141" priority="3124" operator="equal">
      <formula>0</formula>
    </cfRule>
  </conditionalFormatting>
  <conditionalFormatting sqref="Z139">
    <cfRule type="cellIs" dxfId="140" priority="3113" operator="lessThan">
      <formula>Z138</formula>
    </cfRule>
  </conditionalFormatting>
  <conditionalFormatting sqref="Z140">
    <cfRule type="cellIs" dxfId="139" priority="3114" operator="lessThan">
      <formula>Z141</formula>
    </cfRule>
    <cfRule type="cellIs" dxfId="138" priority="3115" operator="greaterThan">
      <formula>Z141</formula>
    </cfRule>
    <cfRule type="cellIs" dxfId="137" priority="3118" operator="lessThan">
      <formula>Z141</formula>
    </cfRule>
    <cfRule type="cellIs" dxfId="136" priority="3119" operator="greaterThan">
      <formula>Z141</formula>
    </cfRule>
  </conditionalFormatting>
  <conditionalFormatting sqref="Z141">
    <cfRule type="cellIs" dxfId="135" priority="3112" operator="lessThan">
      <formula>Z140</formula>
    </cfRule>
  </conditionalFormatting>
  <conditionalFormatting sqref="Z142:Z157">
    <cfRule type="cellIs" dxfId="134" priority="4602" operator="greaterThan">
      <formula>0</formula>
    </cfRule>
    <cfRule type="cellIs" dxfId="133" priority="4603" operator="lessThan">
      <formula>0</formula>
    </cfRule>
    <cfRule type="cellIs" dxfId="132" priority="4604" operator="equal">
      <formula>0</formula>
    </cfRule>
  </conditionalFormatting>
  <conditionalFormatting sqref="AA16">
    <cfRule type="cellIs" dxfId="131" priority="409" operator="greaterThan">
      <formula>Z14</formula>
    </cfRule>
  </conditionalFormatting>
  <conditionalFormatting sqref="AA20">
    <cfRule type="cellIs" dxfId="130" priority="4037" operator="greaterThan">
      <formula>Z18</formula>
    </cfRule>
  </conditionalFormatting>
  <conditionalFormatting sqref="AA50 AA56 AA62 AA68 AA74 AA80 AA86 AA92 AA98 AA104 AA110 AA116 AA122 AA128 AA134 AA140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 AA57 AA63 AA69 AA75 AA81 AA87 AA93 AA99 AA105 AA111 AA117 AA123 AA129 AA135 AA141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25">
    <cfRule type="expression" dxfId="129" priority="185">
      <formula>V24&lt;&gt;0</formula>
    </cfRule>
  </conditionalFormatting>
  <conditionalFormatting sqref="A22:A23">
    <cfRule type="expression" dxfId="128" priority="184">
      <formula>V22&lt;&gt;0</formula>
    </cfRule>
  </conditionalFormatting>
  <conditionalFormatting sqref="W53">
    <cfRule type="cellIs" dxfId="127" priority="183" operator="lessThan">
      <formula>0</formula>
    </cfRule>
  </conditionalFormatting>
  <conditionalFormatting sqref="W52">
    <cfRule type="cellIs" dxfId="126" priority="182" operator="lessThan">
      <formula>0</formula>
    </cfRule>
  </conditionalFormatting>
  <conditionalFormatting sqref="W55">
    <cfRule type="cellIs" dxfId="125" priority="181" operator="lessThan">
      <formula>0</formula>
    </cfRule>
  </conditionalFormatting>
  <conditionalFormatting sqref="W54">
    <cfRule type="cellIs" dxfId="124" priority="180" operator="lessThan">
      <formula>0</formula>
    </cfRule>
  </conditionalFormatting>
  <conditionalFormatting sqref="W57">
    <cfRule type="cellIs" dxfId="123" priority="179" operator="lessThan">
      <formula>0</formula>
    </cfRule>
  </conditionalFormatting>
  <conditionalFormatting sqref="W56">
    <cfRule type="cellIs" dxfId="122" priority="178" operator="lessThan">
      <formula>0</formula>
    </cfRule>
  </conditionalFormatting>
  <conditionalFormatting sqref="W47">
    <cfRule type="cellIs" dxfId="121" priority="177" operator="lessThan">
      <formula>0</formula>
    </cfRule>
  </conditionalFormatting>
  <conditionalFormatting sqref="W46">
    <cfRule type="cellIs" dxfId="120" priority="176" operator="lessThan">
      <formula>0</formula>
    </cfRule>
  </conditionalFormatting>
  <conditionalFormatting sqref="W49">
    <cfRule type="cellIs" dxfId="119" priority="175" operator="lessThan">
      <formula>0</formula>
    </cfRule>
  </conditionalFormatting>
  <conditionalFormatting sqref="W48">
    <cfRule type="cellIs" dxfId="118" priority="174" operator="lessThan">
      <formula>0</formula>
    </cfRule>
  </conditionalFormatting>
  <conditionalFormatting sqref="W51">
    <cfRule type="cellIs" dxfId="117" priority="173" operator="lessThan">
      <formula>0</formula>
    </cfRule>
  </conditionalFormatting>
  <conditionalFormatting sqref="W50">
    <cfRule type="cellIs" dxfId="116" priority="172" operator="lessThan">
      <formula>0</formula>
    </cfRule>
  </conditionalFormatting>
  <conditionalFormatting sqref="W59">
    <cfRule type="cellIs" dxfId="115" priority="171" operator="lessThan">
      <formula>0</formula>
    </cfRule>
  </conditionalFormatting>
  <conditionalFormatting sqref="W58">
    <cfRule type="cellIs" dxfId="114" priority="170" operator="lessThan">
      <formula>0</formula>
    </cfRule>
  </conditionalFormatting>
  <conditionalFormatting sqref="W61">
    <cfRule type="cellIs" dxfId="113" priority="169" operator="lessThan">
      <formula>0</formula>
    </cfRule>
  </conditionalFormatting>
  <conditionalFormatting sqref="W60">
    <cfRule type="cellIs" dxfId="112" priority="168" operator="lessThan">
      <formula>0</formula>
    </cfRule>
  </conditionalFormatting>
  <conditionalFormatting sqref="W63">
    <cfRule type="cellIs" dxfId="111" priority="167" operator="lessThan">
      <formula>0</formula>
    </cfRule>
  </conditionalFormatting>
  <conditionalFormatting sqref="W62">
    <cfRule type="cellIs" dxfId="110" priority="166" operator="lessThan">
      <formula>0</formula>
    </cfRule>
  </conditionalFormatting>
  <conditionalFormatting sqref="W65">
    <cfRule type="cellIs" dxfId="109" priority="165" operator="lessThan">
      <formula>0</formula>
    </cfRule>
  </conditionalFormatting>
  <conditionalFormatting sqref="W64">
    <cfRule type="cellIs" dxfId="108" priority="164" operator="lessThan">
      <formula>0</formula>
    </cfRule>
  </conditionalFormatting>
  <conditionalFormatting sqref="W67">
    <cfRule type="cellIs" dxfId="107" priority="163" operator="lessThan">
      <formula>0</formula>
    </cfRule>
  </conditionalFormatting>
  <conditionalFormatting sqref="W66">
    <cfRule type="cellIs" dxfId="106" priority="162" operator="lessThan">
      <formula>0</formula>
    </cfRule>
  </conditionalFormatting>
  <conditionalFormatting sqref="W69">
    <cfRule type="cellIs" dxfId="105" priority="161" operator="lessThan">
      <formula>0</formula>
    </cfRule>
  </conditionalFormatting>
  <conditionalFormatting sqref="W68">
    <cfRule type="cellIs" dxfId="104" priority="160" operator="lessThan">
      <formula>0</formula>
    </cfRule>
  </conditionalFormatting>
  <conditionalFormatting sqref="W71">
    <cfRule type="cellIs" dxfId="103" priority="159" operator="lessThan">
      <formula>0</formula>
    </cfRule>
  </conditionalFormatting>
  <conditionalFormatting sqref="W70">
    <cfRule type="cellIs" dxfId="102" priority="158" operator="lessThan">
      <formula>0</formula>
    </cfRule>
  </conditionalFormatting>
  <conditionalFormatting sqref="W73">
    <cfRule type="cellIs" dxfId="101" priority="157" operator="lessThan">
      <formula>0</formula>
    </cfRule>
  </conditionalFormatting>
  <conditionalFormatting sqref="W72">
    <cfRule type="cellIs" dxfId="100" priority="156" operator="lessThan">
      <formula>0</formula>
    </cfRule>
  </conditionalFormatting>
  <conditionalFormatting sqref="W75">
    <cfRule type="cellIs" dxfId="99" priority="155" operator="lessThan">
      <formula>0</formula>
    </cfRule>
  </conditionalFormatting>
  <conditionalFormatting sqref="W74">
    <cfRule type="cellIs" dxfId="98" priority="154" operator="lessThan">
      <formula>0</formula>
    </cfRule>
  </conditionalFormatting>
  <conditionalFormatting sqref="W77">
    <cfRule type="cellIs" dxfId="97" priority="153" operator="lessThan">
      <formula>0</formula>
    </cfRule>
  </conditionalFormatting>
  <conditionalFormatting sqref="W76">
    <cfRule type="cellIs" dxfId="96" priority="152" operator="lessThan">
      <formula>0</formula>
    </cfRule>
  </conditionalFormatting>
  <conditionalFormatting sqref="W79">
    <cfRule type="cellIs" dxfId="95" priority="151" operator="lessThan">
      <formula>0</formula>
    </cfRule>
  </conditionalFormatting>
  <conditionalFormatting sqref="W78">
    <cfRule type="cellIs" dxfId="94" priority="150" operator="lessThan">
      <formula>0</formula>
    </cfRule>
  </conditionalFormatting>
  <conditionalFormatting sqref="W81">
    <cfRule type="cellIs" dxfId="93" priority="149" operator="lessThan">
      <formula>0</formula>
    </cfRule>
  </conditionalFormatting>
  <conditionalFormatting sqref="W80">
    <cfRule type="cellIs" dxfId="92" priority="148" operator="lessThan">
      <formula>0</formula>
    </cfRule>
  </conditionalFormatting>
  <conditionalFormatting sqref="W83">
    <cfRule type="cellIs" dxfId="91" priority="147" operator="lessThan">
      <formula>0</formula>
    </cfRule>
  </conditionalFormatting>
  <conditionalFormatting sqref="W82">
    <cfRule type="cellIs" dxfId="90" priority="146" operator="lessThan">
      <formula>0</formula>
    </cfRule>
  </conditionalFormatting>
  <conditionalFormatting sqref="W85">
    <cfRule type="cellIs" dxfId="89" priority="145" operator="lessThan">
      <formula>0</formula>
    </cfRule>
  </conditionalFormatting>
  <conditionalFormatting sqref="W84">
    <cfRule type="cellIs" dxfId="88" priority="144" operator="lessThan">
      <formula>0</formula>
    </cfRule>
  </conditionalFormatting>
  <conditionalFormatting sqref="W87">
    <cfRule type="cellIs" dxfId="87" priority="143" operator="lessThan">
      <formula>0</formula>
    </cfRule>
  </conditionalFormatting>
  <conditionalFormatting sqref="W86">
    <cfRule type="cellIs" dxfId="86" priority="142" operator="lessThan">
      <formula>0</formula>
    </cfRule>
  </conditionalFormatting>
  <conditionalFormatting sqref="W89">
    <cfRule type="cellIs" dxfId="85" priority="141" operator="lessThan">
      <formula>0</formula>
    </cfRule>
  </conditionalFormatting>
  <conditionalFormatting sqref="W88">
    <cfRule type="cellIs" dxfId="84" priority="140" operator="lessThan">
      <formula>0</formula>
    </cfRule>
  </conditionalFormatting>
  <conditionalFormatting sqref="W91">
    <cfRule type="cellIs" dxfId="83" priority="139" operator="lessThan">
      <formula>0</formula>
    </cfRule>
  </conditionalFormatting>
  <conditionalFormatting sqref="W90">
    <cfRule type="cellIs" dxfId="82" priority="138" operator="lessThan">
      <formula>0</formula>
    </cfRule>
  </conditionalFormatting>
  <conditionalFormatting sqref="W93">
    <cfRule type="cellIs" dxfId="81" priority="137" operator="lessThan">
      <formula>0</formula>
    </cfRule>
  </conditionalFormatting>
  <conditionalFormatting sqref="W92">
    <cfRule type="cellIs" dxfId="80" priority="136" operator="lessThan">
      <formula>0</formula>
    </cfRule>
  </conditionalFormatting>
  <conditionalFormatting sqref="W95">
    <cfRule type="cellIs" dxfId="79" priority="135" operator="lessThan">
      <formula>0</formula>
    </cfRule>
  </conditionalFormatting>
  <conditionalFormatting sqref="W94">
    <cfRule type="cellIs" dxfId="78" priority="134" operator="lessThan">
      <formula>0</formula>
    </cfRule>
  </conditionalFormatting>
  <conditionalFormatting sqref="W97">
    <cfRule type="cellIs" dxfId="77" priority="133" operator="lessThan">
      <formula>0</formula>
    </cfRule>
  </conditionalFormatting>
  <conditionalFormatting sqref="W96">
    <cfRule type="cellIs" dxfId="76" priority="132" operator="lessThan">
      <formula>0</formula>
    </cfRule>
  </conditionalFormatting>
  <conditionalFormatting sqref="W99">
    <cfRule type="cellIs" dxfId="75" priority="131" operator="lessThan">
      <formula>0</formula>
    </cfRule>
  </conditionalFormatting>
  <conditionalFormatting sqref="W98">
    <cfRule type="cellIs" dxfId="74" priority="130" operator="lessThan">
      <formula>0</formula>
    </cfRule>
  </conditionalFormatting>
  <conditionalFormatting sqref="W101">
    <cfRule type="cellIs" dxfId="73" priority="129" operator="lessThan">
      <formula>0</formula>
    </cfRule>
  </conditionalFormatting>
  <conditionalFormatting sqref="W100">
    <cfRule type="cellIs" dxfId="72" priority="128" operator="lessThan">
      <formula>0</formula>
    </cfRule>
  </conditionalFormatting>
  <conditionalFormatting sqref="W103">
    <cfRule type="cellIs" dxfId="71" priority="127" operator="lessThan">
      <formula>0</formula>
    </cfRule>
  </conditionalFormatting>
  <conditionalFormatting sqref="W102">
    <cfRule type="cellIs" dxfId="70" priority="126" operator="lessThan">
      <formula>0</formula>
    </cfRule>
  </conditionalFormatting>
  <conditionalFormatting sqref="W105">
    <cfRule type="cellIs" dxfId="69" priority="125" operator="lessThan">
      <formula>0</formula>
    </cfRule>
  </conditionalFormatting>
  <conditionalFormatting sqref="W104">
    <cfRule type="cellIs" dxfId="68" priority="124" operator="lessThan">
      <formula>0</formula>
    </cfRule>
  </conditionalFormatting>
  <conditionalFormatting sqref="W107">
    <cfRule type="cellIs" dxfId="67" priority="123" operator="lessThan">
      <formula>0</formula>
    </cfRule>
  </conditionalFormatting>
  <conditionalFormatting sqref="W106">
    <cfRule type="cellIs" dxfId="66" priority="122" operator="lessThan">
      <formula>0</formula>
    </cfRule>
  </conditionalFormatting>
  <conditionalFormatting sqref="W109">
    <cfRule type="cellIs" dxfId="65" priority="121" operator="lessThan">
      <formula>0</formula>
    </cfRule>
  </conditionalFormatting>
  <conditionalFormatting sqref="W108">
    <cfRule type="cellIs" dxfId="64" priority="120" operator="lessThan">
      <formula>0</formula>
    </cfRule>
  </conditionalFormatting>
  <conditionalFormatting sqref="W111">
    <cfRule type="cellIs" dxfId="63" priority="119" operator="lessThan">
      <formula>0</formula>
    </cfRule>
  </conditionalFormatting>
  <conditionalFormatting sqref="W110">
    <cfRule type="cellIs" dxfId="62" priority="118" operator="lessThan">
      <formula>0</formula>
    </cfRule>
  </conditionalFormatting>
  <conditionalFormatting sqref="W113">
    <cfRule type="cellIs" dxfId="61" priority="117" operator="lessThan">
      <formula>0</formula>
    </cfRule>
  </conditionalFormatting>
  <conditionalFormatting sqref="W112">
    <cfRule type="cellIs" dxfId="60" priority="116" operator="lessThan">
      <formula>0</formula>
    </cfRule>
  </conditionalFormatting>
  <conditionalFormatting sqref="W115">
    <cfRule type="cellIs" dxfId="59" priority="115" operator="lessThan">
      <formula>0</formula>
    </cfRule>
  </conditionalFormatting>
  <conditionalFormatting sqref="W114">
    <cfRule type="cellIs" dxfId="58" priority="114" operator="lessThan">
      <formula>0</formula>
    </cfRule>
  </conditionalFormatting>
  <conditionalFormatting sqref="W117">
    <cfRule type="cellIs" dxfId="57" priority="113" operator="lessThan">
      <formula>0</formula>
    </cfRule>
  </conditionalFormatting>
  <conditionalFormatting sqref="W116">
    <cfRule type="cellIs" dxfId="56" priority="112" operator="lessThan">
      <formula>0</formula>
    </cfRule>
  </conditionalFormatting>
  <conditionalFormatting sqref="W119">
    <cfRule type="cellIs" dxfId="55" priority="111" operator="lessThan">
      <formula>0</formula>
    </cfRule>
  </conditionalFormatting>
  <conditionalFormatting sqref="W118">
    <cfRule type="cellIs" dxfId="54" priority="110" operator="lessThan">
      <formula>0</formula>
    </cfRule>
  </conditionalFormatting>
  <conditionalFormatting sqref="W121">
    <cfRule type="cellIs" dxfId="53" priority="109" operator="lessThan">
      <formula>0</formula>
    </cfRule>
  </conditionalFormatting>
  <conditionalFormatting sqref="W120">
    <cfRule type="cellIs" dxfId="52" priority="108" operator="lessThan">
      <formula>0</formula>
    </cfRule>
  </conditionalFormatting>
  <conditionalFormatting sqref="W123">
    <cfRule type="cellIs" dxfId="51" priority="107" operator="lessThan">
      <formula>0</formula>
    </cfRule>
  </conditionalFormatting>
  <conditionalFormatting sqref="W122">
    <cfRule type="cellIs" dxfId="50" priority="106" operator="lessThan">
      <formula>0</formula>
    </cfRule>
  </conditionalFormatting>
  <conditionalFormatting sqref="W125">
    <cfRule type="cellIs" dxfId="49" priority="105" operator="lessThan">
      <formula>0</formula>
    </cfRule>
  </conditionalFormatting>
  <conditionalFormatting sqref="W124">
    <cfRule type="cellIs" dxfId="48" priority="104" operator="lessThan">
      <formula>0</formula>
    </cfRule>
  </conditionalFormatting>
  <conditionalFormatting sqref="W127">
    <cfRule type="cellIs" dxfId="47" priority="103" operator="lessThan">
      <formula>0</formula>
    </cfRule>
  </conditionalFormatting>
  <conditionalFormatting sqref="W126">
    <cfRule type="cellIs" dxfId="46" priority="102" operator="lessThan">
      <formula>0</formula>
    </cfRule>
  </conditionalFormatting>
  <conditionalFormatting sqref="W129">
    <cfRule type="cellIs" dxfId="45" priority="101" operator="lessThan">
      <formula>0</formula>
    </cfRule>
  </conditionalFormatting>
  <conditionalFormatting sqref="W128">
    <cfRule type="cellIs" dxfId="44" priority="100" operator="lessThan">
      <formula>0</formula>
    </cfRule>
  </conditionalFormatting>
  <conditionalFormatting sqref="W131">
    <cfRule type="cellIs" dxfId="43" priority="99" operator="lessThan">
      <formula>0</formula>
    </cfRule>
  </conditionalFormatting>
  <conditionalFormatting sqref="W130">
    <cfRule type="cellIs" dxfId="42" priority="98" operator="lessThan">
      <formula>0</formula>
    </cfRule>
  </conditionalFormatting>
  <conditionalFormatting sqref="W133">
    <cfRule type="cellIs" dxfId="41" priority="97" operator="lessThan">
      <formula>0</formula>
    </cfRule>
  </conditionalFormatting>
  <conditionalFormatting sqref="W132">
    <cfRule type="cellIs" dxfId="40" priority="96" operator="lessThan">
      <formula>0</formula>
    </cfRule>
  </conditionalFormatting>
  <conditionalFormatting sqref="W135">
    <cfRule type="cellIs" dxfId="39" priority="95" operator="lessThan">
      <formula>0</formula>
    </cfRule>
  </conditionalFormatting>
  <conditionalFormatting sqref="W134">
    <cfRule type="cellIs" dxfId="38" priority="94" operator="lessThan">
      <formula>0</formula>
    </cfRule>
  </conditionalFormatting>
  <conditionalFormatting sqref="W3">
    <cfRule type="cellIs" dxfId="37" priority="85" operator="lessThan">
      <formula>0</formula>
    </cfRule>
  </conditionalFormatting>
  <conditionalFormatting sqref="W2">
    <cfRule type="cellIs" dxfId="36" priority="84" operator="lessThan">
      <formula>0</formula>
    </cfRule>
  </conditionalFormatting>
  <conditionalFormatting sqref="W5">
    <cfRule type="cellIs" dxfId="35" priority="83" operator="lessThan">
      <formula>0</formula>
    </cfRule>
  </conditionalFormatting>
  <conditionalFormatting sqref="W4">
    <cfRule type="cellIs" dxfId="34" priority="82" operator="lessThan">
      <formula>0</formula>
    </cfRule>
  </conditionalFormatting>
  <conditionalFormatting sqref="W7">
    <cfRule type="cellIs" dxfId="33" priority="81" operator="lessThan">
      <formula>0</formula>
    </cfRule>
  </conditionalFormatting>
  <conditionalFormatting sqref="W6">
    <cfRule type="cellIs" dxfId="32" priority="80" operator="lessThan">
      <formula>0</formula>
    </cfRule>
  </conditionalFormatting>
  <conditionalFormatting sqref="W9">
    <cfRule type="cellIs" dxfId="31" priority="79" operator="lessThan">
      <formula>0</formula>
    </cfRule>
  </conditionalFormatting>
  <conditionalFormatting sqref="W8">
    <cfRule type="cellIs" dxfId="30" priority="78" operator="lessThan">
      <formula>0</formula>
    </cfRule>
  </conditionalFormatting>
  <conditionalFormatting sqref="W23">
    <cfRule type="cellIs" dxfId="29" priority="77" operator="lessThan">
      <formula>0</formula>
    </cfRule>
  </conditionalFormatting>
  <conditionalFormatting sqref="W22">
    <cfRule type="cellIs" dxfId="28" priority="76" operator="lessThan">
      <formula>0</formula>
    </cfRule>
  </conditionalFormatting>
  <conditionalFormatting sqref="W25">
    <cfRule type="cellIs" dxfId="27" priority="75" operator="lessThan">
      <formula>0</formula>
    </cfRule>
  </conditionalFormatting>
  <conditionalFormatting sqref="W24">
    <cfRule type="cellIs" dxfId="26" priority="74" operator="lessThan">
      <formula>0</formula>
    </cfRule>
  </conditionalFormatting>
  <conditionalFormatting sqref="A2">
    <cfRule type="expression" dxfId="14" priority="44">
      <formula>(Y3+1)&lt;AA2</formula>
    </cfRule>
  </conditionalFormatting>
  <conditionalFormatting sqref="A3">
    <cfRule type="expression" dxfId="25" priority="43">
      <formula>Y2+1&lt;AA3</formula>
    </cfRule>
  </conditionalFormatting>
  <conditionalFormatting sqref="A4">
    <cfRule type="expression" dxfId="13" priority="14">
      <formula>(Y5+1)&lt;AA4</formula>
    </cfRule>
  </conditionalFormatting>
  <conditionalFormatting sqref="A5">
    <cfRule type="expression" dxfId="12" priority="13">
      <formula>Y4+1&lt;AA5</formula>
    </cfRule>
  </conditionalFormatting>
  <conditionalFormatting sqref="A6">
    <cfRule type="expression" dxfId="11" priority="12">
      <formula>(Y7+1)&lt;AA6</formula>
    </cfRule>
  </conditionalFormatting>
  <conditionalFormatting sqref="A7">
    <cfRule type="expression" dxfId="10" priority="11">
      <formula>Y6+1&lt;AA7</formula>
    </cfRule>
  </conditionalFormatting>
  <conditionalFormatting sqref="A8">
    <cfRule type="expression" dxfId="9" priority="10">
      <formula>(Y9+1)&lt;AA8</formula>
    </cfRule>
  </conditionalFormatting>
  <conditionalFormatting sqref="A9">
    <cfRule type="expression" dxfId="8" priority="9">
      <formula>Y8+1&lt;AA9</formula>
    </cfRule>
  </conditionalFormatting>
  <conditionalFormatting sqref="A10">
    <cfRule type="expression" dxfId="7" priority="8">
      <formula>(Y11+1)&lt;AA10</formula>
    </cfRule>
  </conditionalFormatting>
  <conditionalFormatting sqref="A11">
    <cfRule type="expression" dxfId="6" priority="7">
      <formula>Y10+1&lt;AA11</formula>
    </cfRule>
  </conditionalFormatting>
  <conditionalFormatting sqref="A12">
    <cfRule type="expression" dxfId="5" priority="6">
      <formula>(Y13+1)&lt;AA12</formula>
    </cfRule>
  </conditionalFormatting>
  <conditionalFormatting sqref="A13">
    <cfRule type="expression" dxfId="4" priority="5">
      <formula>Y12+1&lt;AA13</formula>
    </cfRule>
  </conditionalFormatting>
  <conditionalFormatting sqref="C18">
    <cfRule type="expression" dxfId="3" priority="3">
      <formula>C18/100&lt;X18</formula>
    </cfRule>
  </conditionalFormatting>
  <conditionalFormatting sqref="C20">
    <cfRule type="expression" dxfId="2" priority="4">
      <formula>C20/100&lt;X20</formula>
    </cfRule>
  </conditionalFormatting>
  <conditionalFormatting sqref="C22">
    <cfRule type="expression" dxfId="1" priority="1">
      <formula>C22/100&lt;X22</formula>
    </cfRule>
  </conditionalFormatting>
  <conditionalFormatting sqref="C24">
    <cfRule type="expression" dxfId="0" priority="2">
      <formula>C24/100&lt;X24</formula>
    </cfRule>
  </conditionalFormatting>
  <pageMargins left="0.7" right="0.7" top="0.75" bottom="0.75" header="0.3" footer="0.3"/>
  <pageSetup paperSize="9" orientation="portrait" r:id="rId1"/>
  <ignoredErrors>
    <ignoredError sqref="Y55 Y50 Y23:Z23 Z7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06">
        <f>I76</f>
        <v>1136.8976000000002</v>
      </c>
      <c r="M2" s="707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9" t="s">
        <v>340</v>
      </c>
      <c r="U2" s="319" t="s">
        <v>341</v>
      </c>
      <c r="V2" s="319" t="s">
        <v>355</v>
      </c>
      <c r="W2" s="319"/>
      <c r="X2" s="319" t="s">
        <v>356</v>
      </c>
      <c r="Y2" s="400" t="s">
        <v>357</v>
      </c>
      <c r="Z2" s="400" t="s">
        <v>358</v>
      </c>
      <c r="AA2" s="400" t="s">
        <v>359</v>
      </c>
      <c r="AB2" s="400" t="s">
        <v>360</v>
      </c>
      <c r="AC2" s="400" t="s">
        <v>361</v>
      </c>
      <c r="AD2" s="401" t="s">
        <v>362</v>
      </c>
      <c r="AE2" s="241" t="s">
        <v>363</v>
      </c>
      <c r="AF2" s="320" t="s">
        <v>340</v>
      </c>
      <c r="AG2" s="321" t="s">
        <v>341</v>
      </c>
      <c r="AH2" s="320" t="s">
        <v>364</v>
      </c>
      <c r="AI2" s="320"/>
      <c r="AJ2" s="320" t="s">
        <v>356</v>
      </c>
      <c r="AK2" s="400" t="s">
        <v>357</v>
      </c>
      <c r="AL2" s="400" t="s">
        <v>358</v>
      </c>
      <c r="AM2" s="400" t="s">
        <v>359</v>
      </c>
      <c r="AN2" s="400" t="s">
        <v>360</v>
      </c>
      <c r="AO2" s="400" t="s">
        <v>361</v>
      </c>
      <c r="AP2" s="400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300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IFERROR(VLOOKUP($X3,HomeBroker!$A$14:$F$103,2,0),0)</f>
        <v>0</v>
      </c>
      <c r="Z3" s="242">
        <f>IFERROR(VLOOKUP($X3,HomeBroker!$A$14:$F$103,3,0),0)</f>
        <v>0</v>
      </c>
      <c r="AA3" s="243">
        <f>IFERROR(VLOOKUP($X3,HomeBroker!$A$14:$F$103,6,0),0)</f>
        <v>0</v>
      </c>
      <c r="AB3" s="242">
        <f>IFERROR(VLOOKUP($X3,HomeBroker!$A$14:$F$103,4,0),0)</f>
        <v>0</v>
      </c>
      <c r="AC3" s="242">
        <f>IFERROR(VLOOKUP($X3,HomeBroker!$A$14:$F$103,5,0),0)</f>
        <v>0</v>
      </c>
      <c r="AD3" s="311">
        <f>IFERROR(VLOOKUP($X3,HomeBroker!$A$14:$N$103,14,0),0)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IFERROR(VLOOKUP($AJ3,HomeBroker!$A$14:$F$103,2,0),0)</f>
        <v>0</v>
      </c>
      <c r="AL3" s="242">
        <f>IFERROR(VLOOKUP($AJ3,HomeBroker!$A$14:$F$103,3,0),0)</f>
        <v>0</v>
      </c>
      <c r="AM3" s="243">
        <f>IFERROR(VLOOKUP($AJ3,HomeBroker!$A$14:$F$103,6,0),0)</f>
        <v>0</v>
      </c>
      <c r="AN3" s="242">
        <f>IFERROR(VLOOKUP($AJ3,HomeBroker!$A$14:$F$103,4,0),0)</f>
        <v>0</v>
      </c>
      <c r="AO3" s="237">
        <f>IFERROR(VLOOKUP($AJ3,HomeBroker!$A$14:$F$103,5,0),0)</f>
        <v>0</v>
      </c>
      <c r="AP3" s="115">
        <f>IFERROR(VLOOKUP($AJ3,HomeBroker!$A$14:$N$103,14,0),0)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7">
        <f t="shared" ref="BA3:BA76" si="10">+AX3*AZ3*-100</f>
        <v>0</v>
      </c>
      <c r="BB3" s="308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2">
        <f t="shared" ref="BG3:BG76" si="12">+BD3*BF3*-100</f>
        <v>0</v>
      </c>
      <c r="BH3" s="313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5">
        <f t="shared" ref="BL3:BL76" si="14">-BK3*BJ3</f>
        <v>0</v>
      </c>
      <c r="BM3" s="316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301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IFERROR(VLOOKUP($X4,HomeBroker!$A$14:$F$103,2,0),0)</f>
        <v>0</v>
      </c>
      <c r="Z4" s="242">
        <f>IFERROR(VLOOKUP($X4,HomeBroker!$A$14:$F$103,3,0),0)</f>
        <v>0</v>
      </c>
      <c r="AA4" s="243">
        <f>IFERROR(VLOOKUP($X4,HomeBroker!$A$14:$F$103,6,0),0)</f>
        <v>0</v>
      </c>
      <c r="AB4" s="242">
        <f>IFERROR(VLOOKUP($X4,HomeBroker!$A$14:$F$103,4,0),0)</f>
        <v>0</v>
      </c>
      <c r="AC4" s="242">
        <f>IFERROR(VLOOKUP($X4,HomeBroker!$A$14:$F$103,5,0),0)</f>
        <v>0</v>
      </c>
      <c r="AD4" s="311">
        <f>IFERROR(VLOOKUP($X4,HomeBroker!$A$14:$N$103,14,0),0)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IFERROR(VLOOKUP($AJ4,HomeBroker!$A$14:$F$103,2,0),0)</f>
        <v>0</v>
      </c>
      <c r="AL4" s="242">
        <f>IFERROR(VLOOKUP($AJ4,HomeBroker!$A$14:$F$103,3,0),0)</f>
        <v>0</v>
      </c>
      <c r="AM4" s="243">
        <f>IFERROR(VLOOKUP($AJ4,HomeBroker!$A$14:$F$103,6,0),0)</f>
        <v>0</v>
      </c>
      <c r="AN4" s="242">
        <f>IFERROR(VLOOKUP($AJ4,HomeBroker!$A$14:$F$103,4,0),0)</f>
        <v>0</v>
      </c>
      <c r="AO4" s="237">
        <f>IFERROR(VLOOKUP($AJ4,HomeBroker!$A$14:$F$103,5,0),0)</f>
        <v>0</v>
      </c>
      <c r="AP4" s="115">
        <f>IFERROR(VLOOKUP($AJ4,HomeBroker!$A$14:$N$103,14,0),0)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9">
        <f t="shared" si="10"/>
        <v>0</v>
      </c>
      <c r="BB4" s="310">
        <f t="shared" si="11"/>
        <v>0</v>
      </c>
      <c r="BC4" s="120" t="s">
        <v>408</v>
      </c>
      <c r="BD4" s="118"/>
      <c r="BE4" s="106"/>
      <c r="BF4" s="121"/>
      <c r="BG4" s="312">
        <f t="shared" si="12"/>
        <v>0</v>
      </c>
      <c r="BH4" s="314">
        <f t="shared" si="13"/>
        <v>0</v>
      </c>
      <c r="BI4" s="122" t="s">
        <v>409</v>
      </c>
      <c r="BJ4" s="118"/>
      <c r="BK4" s="121"/>
      <c r="BL4" s="315">
        <f t="shared" si="14"/>
        <v>0</v>
      </c>
      <c r="BM4" s="316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301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IFERROR(VLOOKUP($X5,HomeBroker!$A$14:$F$103,2,0),0)</f>
        <v>0</v>
      </c>
      <c r="Z5" s="242">
        <f>IFERROR(VLOOKUP($X5,HomeBroker!$A$14:$F$103,3,0),0)</f>
        <v>0</v>
      </c>
      <c r="AA5" s="243">
        <f>IFERROR(VLOOKUP($X5,HomeBroker!$A$14:$F$103,6,0),0)</f>
        <v>0</v>
      </c>
      <c r="AB5" s="242">
        <f>IFERROR(VLOOKUP($X5,HomeBroker!$A$14:$F$103,4,0),0)</f>
        <v>0</v>
      </c>
      <c r="AC5" s="242">
        <f>IFERROR(VLOOKUP($X5,HomeBroker!$A$14:$F$103,5,0),0)</f>
        <v>0</v>
      </c>
      <c r="AD5" s="311">
        <f>IFERROR(VLOOKUP($X5,HomeBroker!$A$14:$N$103,14,0),0)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IFERROR(VLOOKUP($AJ5,HomeBroker!$A$14:$F$103,2,0),0)</f>
        <v>0</v>
      </c>
      <c r="AL5" s="242">
        <f>IFERROR(VLOOKUP($AJ5,HomeBroker!$A$14:$F$103,3,0),0)</f>
        <v>0</v>
      </c>
      <c r="AM5" s="243">
        <f>IFERROR(VLOOKUP($AJ5,HomeBroker!$A$14:$F$103,6,0),0)</f>
        <v>0</v>
      </c>
      <c r="AN5" s="242">
        <f>IFERROR(VLOOKUP($AJ5,HomeBroker!$A$14:$F$103,4,0),0)</f>
        <v>0</v>
      </c>
      <c r="AO5" s="237">
        <f>IFERROR(VLOOKUP($AJ5,HomeBroker!$A$14:$F$103,5,0),0)</f>
        <v>0</v>
      </c>
      <c r="AP5" s="115">
        <f>IFERROR(VLOOKUP($AJ5,HomeBroker!$A$14:$N$103,14,0),0)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9">
        <f t="shared" si="10"/>
        <v>0</v>
      </c>
      <c r="BB5" s="310">
        <f t="shared" si="11"/>
        <v>0</v>
      </c>
      <c r="BC5" s="120" t="s">
        <v>408</v>
      </c>
      <c r="BD5" s="118"/>
      <c r="BE5" s="106"/>
      <c r="BF5" s="121"/>
      <c r="BG5" s="312">
        <f t="shared" si="12"/>
        <v>0</v>
      </c>
      <c r="BH5" s="314">
        <f t="shared" si="13"/>
        <v>0</v>
      </c>
      <c r="BI5" s="122" t="s">
        <v>409</v>
      </c>
      <c r="BJ5" s="118"/>
      <c r="BK5" s="121"/>
      <c r="BL5" s="315">
        <f t="shared" si="14"/>
        <v>0</v>
      </c>
      <c r="BM5" s="316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301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IFERROR(VLOOKUP($X6,HomeBroker!$A$14:$F$103,2,0),0)</f>
        <v>0</v>
      </c>
      <c r="Z6" s="242">
        <f>IFERROR(VLOOKUP($X6,HomeBroker!$A$14:$F$103,3,0),0)</f>
        <v>0</v>
      </c>
      <c r="AA6" s="243">
        <f>IFERROR(VLOOKUP($X6,HomeBroker!$A$14:$F$103,6,0),0)</f>
        <v>0</v>
      </c>
      <c r="AB6" s="242">
        <f>IFERROR(VLOOKUP($X6,HomeBroker!$A$14:$F$103,4,0),0)</f>
        <v>0</v>
      </c>
      <c r="AC6" s="242">
        <f>IFERROR(VLOOKUP($X6,HomeBroker!$A$14:$F$103,5,0),0)</f>
        <v>0</v>
      </c>
      <c r="AD6" s="311">
        <f>IFERROR(VLOOKUP($X6,HomeBroker!$A$14:$N$103,14,0),0)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IFERROR(VLOOKUP($AJ6,HomeBroker!$A$14:$F$103,2,0),0)</f>
        <v>0</v>
      </c>
      <c r="AL6" s="242">
        <f>IFERROR(VLOOKUP($AJ6,HomeBroker!$A$14:$F$103,3,0),0)</f>
        <v>0</v>
      </c>
      <c r="AM6" s="243">
        <f>IFERROR(VLOOKUP($AJ6,HomeBroker!$A$14:$F$103,6,0),0)</f>
        <v>0</v>
      </c>
      <c r="AN6" s="242">
        <f>IFERROR(VLOOKUP($AJ6,HomeBroker!$A$14:$F$103,4,0),0)</f>
        <v>0</v>
      </c>
      <c r="AO6" s="237">
        <f>IFERROR(VLOOKUP($AJ6,HomeBroker!$A$14:$F$103,5,0),0)</f>
        <v>0</v>
      </c>
      <c r="AP6" s="115">
        <f>IFERROR(VLOOKUP($AJ6,HomeBroker!$A$14:$N$103,14,0),0)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9">
        <f t="shared" si="10"/>
        <v>0</v>
      </c>
      <c r="BB6" s="310">
        <f t="shared" si="11"/>
        <v>0</v>
      </c>
      <c r="BC6" s="120" t="s">
        <v>408</v>
      </c>
      <c r="BD6" s="118"/>
      <c r="BE6" s="143"/>
      <c r="BF6" s="121"/>
      <c r="BG6" s="312">
        <f t="shared" si="12"/>
        <v>0</v>
      </c>
      <c r="BH6" s="314">
        <f t="shared" si="13"/>
        <v>0</v>
      </c>
      <c r="BI6" s="122" t="s">
        <v>409</v>
      </c>
      <c r="BJ6" s="118"/>
      <c r="BK6" s="121"/>
      <c r="BL6" s="315">
        <f t="shared" si="14"/>
        <v>0</v>
      </c>
      <c r="BM6" s="316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301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IFERROR(VLOOKUP($X7,HomeBroker!$A$14:$F$103,2,0),0)</f>
        <v>0</v>
      </c>
      <c r="Z7" s="242">
        <f>IFERROR(VLOOKUP($X7,HomeBroker!$A$14:$F$103,3,0),0)</f>
        <v>0</v>
      </c>
      <c r="AA7" s="243">
        <f>IFERROR(VLOOKUP($X7,HomeBroker!$A$14:$F$103,6,0),0)</f>
        <v>0</v>
      </c>
      <c r="AB7" s="242">
        <f>IFERROR(VLOOKUP($X7,HomeBroker!$A$14:$F$103,4,0),0)</f>
        <v>0</v>
      </c>
      <c r="AC7" s="242">
        <f>IFERROR(VLOOKUP($X7,HomeBroker!$A$14:$F$103,5,0),0)</f>
        <v>0</v>
      </c>
      <c r="AD7" s="311">
        <f>IFERROR(VLOOKUP($X7,HomeBroker!$A$14:$N$103,14,0),0)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IFERROR(VLOOKUP($AJ7,HomeBroker!$A$14:$F$103,2,0),0)</f>
        <v>0</v>
      </c>
      <c r="AL7" s="242">
        <f>IFERROR(VLOOKUP($AJ7,HomeBroker!$A$14:$F$103,3,0),0)</f>
        <v>0</v>
      </c>
      <c r="AM7" s="243">
        <f>IFERROR(VLOOKUP($AJ7,HomeBroker!$A$14:$F$103,6,0),0)</f>
        <v>0</v>
      </c>
      <c r="AN7" s="242">
        <f>IFERROR(VLOOKUP($AJ7,HomeBroker!$A$14:$F$103,4,0),0)</f>
        <v>0</v>
      </c>
      <c r="AO7" s="237">
        <f>IFERROR(VLOOKUP($AJ7,HomeBroker!$A$14:$F$103,5,0),0)</f>
        <v>0</v>
      </c>
      <c r="AP7" s="115">
        <f>IFERROR(VLOOKUP($AJ7,HomeBroker!$A$14:$N$103,14,0),0)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9">
        <f t="shared" si="10"/>
        <v>0</v>
      </c>
      <c r="BB7" s="310">
        <f t="shared" si="11"/>
        <v>0</v>
      </c>
      <c r="BC7" s="120" t="s">
        <v>408</v>
      </c>
      <c r="BD7" s="118"/>
      <c r="BE7" s="143"/>
      <c r="BF7" s="121"/>
      <c r="BG7" s="312">
        <f t="shared" si="12"/>
        <v>0</v>
      </c>
      <c r="BH7" s="314">
        <f t="shared" si="13"/>
        <v>0</v>
      </c>
      <c r="BI7" s="122" t="s">
        <v>409</v>
      </c>
      <c r="BJ7" s="118"/>
      <c r="BK7" s="121"/>
      <c r="BL7" s="315">
        <f t="shared" si="14"/>
        <v>0</v>
      </c>
      <c r="BM7" s="316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2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IFERROR(VLOOKUP($X8,HomeBroker!$A$14:$F$103,2,0),0)</f>
        <v>0</v>
      </c>
      <c r="Z8" s="242">
        <f>IFERROR(VLOOKUP($X8,HomeBroker!$A$14:$F$103,3,0),0)</f>
        <v>0</v>
      </c>
      <c r="AA8" s="243">
        <f>IFERROR(VLOOKUP($X8,HomeBroker!$A$14:$F$103,6,0),0)</f>
        <v>0</v>
      </c>
      <c r="AB8" s="242">
        <f>IFERROR(VLOOKUP($X8,HomeBroker!$A$14:$F$103,4,0),0)</f>
        <v>0</v>
      </c>
      <c r="AC8" s="242">
        <f>IFERROR(VLOOKUP($X8,HomeBroker!$A$14:$F$103,5,0),0)</f>
        <v>0</v>
      </c>
      <c r="AD8" s="311">
        <f>IFERROR(VLOOKUP($X8,HomeBroker!$A$14:$N$103,14,0),0)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IFERROR(VLOOKUP($AJ8,HomeBroker!$A$14:$F$103,2,0),0)</f>
        <v>0</v>
      </c>
      <c r="AL8" s="242">
        <f>IFERROR(VLOOKUP($AJ8,HomeBroker!$A$14:$F$103,3,0),0)</f>
        <v>0</v>
      </c>
      <c r="AM8" s="243">
        <f>IFERROR(VLOOKUP($AJ8,HomeBroker!$A$14:$F$103,6,0),0)</f>
        <v>0</v>
      </c>
      <c r="AN8" s="242">
        <f>IFERROR(VLOOKUP($AJ8,HomeBroker!$A$14:$F$103,4,0),0)</f>
        <v>0</v>
      </c>
      <c r="AO8" s="237">
        <f>IFERROR(VLOOKUP($AJ8,HomeBroker!$A$14:$F$103,5,0),0)</f>
        <v>0</v>
      </c>
      <c r="AP8" s="115">
        <f>IFERROR(VLOOKUP($AJ8,HomeBroker!$A$14:$N$103,14,0),0)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9">
        <f t="shared" si="10"/>
        <v>0</v>
      </c>
      <c r="BB8" s="310">
        <f t="shared" si="11"/>
        <v>0</v>
      </c>
      <c r="BC8" s="120" t="s">
        <v>408</v>
      </c>
      <c r="BD8" s="118"/>
      <c r="BE8" s="143"/>
      <c r="BF8" s="121"/>
      <c r="BG8" s="312">
        <f t="shared" si="12"/>
        <v>0</v>
      </c>
      <c r="BH8" s="314">
        <f t="shared" si="13"/>
        <v>0</v>
      </c>
      <c r="BI8" s="122" t="s">
        <v>409</v>
      </c>
      <c r="BJ8" s="118"/>
      <c r="BK8" s="121"/>
      <c r="BL8" s="315">
        <f t="shared" si="14"/>
        <v>0</v>
      </c>
      <c r="BM8" s="316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2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IFERROR(VLOOKUP($X9,HomeBroker!$A$14:$F$103,2,0),0)</f>
        <v>0</v>
      </c>
      <c r="Z9" s="242">
        <f>IFERROR(VLOOKUP($X9,HomeBroker!$A$14:$F$103,3,0),0)</f>
        <v>0</v>
      </c>
      <c r="AA9" s="243">
        <f>IFERROR(VLOOKUP($X9,HomeBroker!$A$14:$F$103,6,0),0)</f>
        <v>0</v>
      </c>
      <c r="AB9" s="242">
        <f>IFERROR(VLOOKUP($X9,HomeBroker!$A$14:$F$103,4,0),0)</f>
        <v>0</v>
      </c>
      <c r="AC9" s="242">
        <f>IFERROR(VLOOKUP($X9,HomeBroker!$A$14:$F$103,5,0),0)</f>
        <v>0</v>
      </c>
      <c r="AD9" s="311">
        <f>IFERROR(VLOOKUP($X9,HomeBroker!$A$14:$N$103,14,0),0)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IFERROR(VLOOKUP($AJ9,HomeBroker!$A$14:$F$103,2,0),0)</f>
        <v>0</v>
      </c>
      <c r="AL9" s="242">
        <f>IFERROR(VLOOKUP($AJ9,HomeBroker!$A$14:$F$103,3,0),0)</f>
        <v>0</v>
      </c>
      <c r="AM9" s="243">
        <f>IFERROR(VLOOKUP($AJ9,HomeBroker!$A$14:$F$103,6,0),0)</f>
        <v>0</v>
      </c>
      <c r="AN9" s="242">
        <f>IFERROR(VLOOKUP($AJ9,HomeBroker!$A$14:$F$103,4,0),0)</f>
        <v>0</v>
      </c>
      <c r="AO9" s="237">
        <f>IFERROR(VLOOKUP($AJ9,HomeBroker!$A$14:$F$103,5,0),0)</f>
        <v>0</v>
      </c>
      <c r="AP9" s="115">
        <f>IFERROR(VLOOKUP($AJ9,HomeBroker!$A$14:$N$103,14,0),0)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9">
        <f t="shared" si="10"/>
        <v>0</v>
      </c>
      <c r="BB9" s="310">
        <f t="shared" si="11"/>
        <v>0</v>
      </c>
      <c r="BC9" s="120" t="s">
        <v>408</v>
      </c>
      <c r="BD9" s="118"/>
      <c r="BE9" s="143"/>
      <c r="BF9" s="121"/>
      <c r="BG9" s="312">
        <f t="shared" si="12"/>
        <v>0</v>
      </c>
      <c r="BH9" s="314">
        <f t="shared" si="13"/>
        <v>0</v>
      </c>
      <c r="BI9" s="122" t="s">
        <v>409</v>
      </c>
      <c r="BJ9" s="118"/>
      <c r="BK9" s="121"/>
      <c r="BL9" s="315">
        <f t="shared" si="14"/>
        <v>0</v>
      </c>
      <c r="BM9" s="316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2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IFERROR(VLOOKUP($X10,HomeBroker!$A$14:$F$103,2,0),0)</f>
        <v>0</v>
      </c>
      <c r="Z10" s="242">
        <f>IFERROR(VLOOKUP($X10,HomeBroker!$A$14:$F$103,3,0),0)</f>
        <v>0</v>
      </c>
      <c r="AA10" s="243">
        <f>IFERROR(VLOOKUP($X10,HomeBroker!$A$14:$F$103,6,0),0)</f>
        <v>0</v>
      </c>
      <c r="AB10" s="242">
        <f>IFERROR(VLOOKUP($X10,HomeBroker!$A$14:$F$103,4,0),0)</f>
        <v>0</v>
      </c>
      <c r="AC10" s="242">
        <f>IFERROR(VLOOKUP($X10,HomeBroker!$A$14:$F$103,5,0),0)</f>
        <v>0</v>
      </c>
      <c r="AD10" s="311">
        <f>IFERROR(VLOOKUP($X10,HomeBroker!$A$14:$N$103,14,0),0)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IFERROR(VLOOKUP($AJ10,HomeBroker!$A$14:$F$103,2,0),0)</f>
        <v>0</v>
      </c>
      <c r="AL10" s="242">
        <f>IFERROR(VLOOKUP($AJ10,HomeBroker!$A$14:$F$103,3,0),0)</f>
        <v>0</v>
      </c>
      <c r="AM10" s="243">
        <f>IFERROR(VLOOKUP($AJ10,HomeBroker!$A$14:$F$103,6,0),0)</f>
        <v>0</v>
      </c>
      <c r="AN10" s="242">
        <f>IFERROR(VLOOKUP($AJ10,HomeBroker!$A$14:$F$103,4,0),0)</f>
        <v>0</v>
      </c>
      <c r="AO10" s="237">
        <f>IFERROR(VLOOKUP($AJ10,HomeBroker!$A$14:$F$103,5,0),0)</f>
        <v>0</v>
      </c>
      <c r="AP10" s="115">
        <f>IFERROR(VLOOKUP($AJ10,HomeBroker!$A$14:$N$103,14,0),0)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9">
        <f t="shared" si="10"/>
        <v>0</v>
      </c>
      <c r="BB10" s="310">
        <f t="shared" si="11"/>
        <v>0</v>
      </c>
      <c r="BC10" s="120" t="s">
        <v>408</v>
      </c>
      <c r="BD10" s="118"/>
      <c r="BE10" s="143"/>
      <c r="BF10" s="121"/>
      <c r="BG10" s="312">
        <f t="shared" si="12"/>
        <v>0</v>
      </c>
      <c r="BH10" s="314">
        <f t="shared" si="13"/>
        <v>0</v>
      </c>
      <c r="BI10" s="122" t="s">
        <v>409</v>
      </c>
      <c r="BJ10" s="118"/>
      <c r="BK10" s="121"/>
      <c r="BL10" s="315">
        <f t="shared" si="14"/>
        <v>0</v>
      </c>
      <c r="BM10" s="316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2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IFERROR(VLOOKUP($X11,HomeBroker!$A$14:$F$103,2,0),0)</f>
        <v>0</v>
      </c>
      <c r="Z11" s="242">
        <f>IFERROR(VLOOKUP($X11,HomeBroker!$A$14:$F$103,3,0),0)</f>
        <v>0</v>
      </c>
      <c r="AA11" s="243">
        <f>IFERROR(VLOOKUP($X11,HomeBroker!$A$14:$F$103,6,0),0)</f>
        <v>0</v>
      </c>
      <c r="AB11" s="242">
        <f>IFERROR(VLOOKUP($X11,HomeBroker!$A$14:$F$103,4,0),0)</f>
        <v>0</v>
      </c>
      <c r="AC11" s="242">
        <f>IFERROR(VLOOKUP($X11,HomeBroker!$A$14:$F$103,5,0),0)</f>
        <v>0</v>
      </c>
      <c r="AD11" s="311">
        <f>IFERROR(VLOOKUP($X11,HomeBroker!$A$14:$N$103,14,0),0)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IFERROR(VLOOKUP($AJ11,HomeBroker!$A$14:$F$103,2,0),0)</f>
        <v>0</v>
      </c>
      <c r="AL11" s="242">
        <f>IFERROR(VLOOKUP($AJ11,HomeBroker!$A$14:$F$103,3,0),0)</f>
        <v>0</v>
      </c>
      <c r="AM11" s="243">
        <f>IFERROR(VLOOKUP($AJ11,HomeBroker!$A$14:$F$103,6,0),0)</f>
        <v>0</v>
      </c>
      <c r="AN11" s="242">
        <f>IFERROR(VLOOKUP($AJ11,HomeBroker!$A$14:$F$103,4,0),0)</f>
        <v>0</v>
      </c>
      <c r="AO11" s="237">
        <f>IFERROR(VLOOKUP($AJ11,HomeBroker!$A$14:$F$103,5,0),0)</f>
        <v>0</v>
      </c>
      <c r="AP11" s="115">
        <f>IFERROR(VLOOKUP($AJ11,HomeBroker!$A$14:$N$103,14,0),0)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9">
        <f t="shared" si="10"/>
        <v>0</v>
      </c>
      <c r="BB11" s="310">
        <f t="shared" si="11"/>
        <v>0</v>
      </c>
      <c r="BC11" s="120" t="s">
        <v>408</v>
      </c>
      <c r="BD11" s="118"/>
      <c r="BE11" s="143"/>
      <c r="BF11" s="121"/>
      <c r="BG11" s="312">
        <f t="shared" si="12"/>
        <v>0</v>
      </c>
      <c r="BH11" s="314">
        <f t="shared" si="13"/>
        <v>0</v>
      </c>
      <c r="BI11" s="122" t="s">
        <v>409</v>
      </c>
      <c r="BJ11" s="118"/>
      <c r="BK11" s="121"/>
      <c r="BL11" s="315">
        <f t="shared" si="14"/>
        <v>0</v>
      </c>
      <c r="BM11" s="316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2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IFERROR(VLOOKUP($X12,HomeBroker!$A$14:$F$103,2,0),0)</f>
        <v>0</v>
      </c>
      <c r="Z12" s="242">
        <f>IFERROR(VLOOKUP($X12,HomeBroker!$A$14:$F$103,3,0),0)</f>
        <v>0</v>
      </c>
      <c r="AA12" s="243">
        <f>IFERROR(VLOOKUP($X12,HomeBroker!$A$14:$F$103,6,0),0)</f>
        <v>0</v>
      </c>
      <c r="AB12" s="242">
        <f>IFERROR(VLOOKUP($X12,HomeBroker!$A$14:$F$103,4,0),0)</f>
        <v>0</v>
      </c>
      <c r="AC12" s="242">
        <f>IFERROR(VLOOKUP($X12,HomeBroker!$A$14:$F$103,5,0),0)</f>
        <v>0</v>
      </c>
      <c r="AD12" s="311">
        <f>IFERROR(VLOOKUP($X12,HomeBroker!$A$14:$N$103,14,0),0)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IFERROR(VLOOKUP($AJ12,HomeBroker!$A$14:$F$103,2,0),0)</f>
        <v>0</v>
      </c>
      <c r="AL12" s="242">
        <f>IFERROR(VLOOKUP($AJ12,HomeBroker!$A$14:$F$103,3,0),0)</f>
        <v>0</v>
      </c>
      <c r="AM12" s="243">
        <f>IFERROR(VLOOKUP($AJ12,HomeBroker!$A$14:$F$103,6,0),0)</f>
        <v>0</v>
      </c>
      <c r="AN12" s="242">
        <f>IFERROR(VLOOKUP($AJ12,HomeBroker!$A$14:$F$103,4,0),0)</f>
        <v>0</v>
      </c>
      <c r="AO12" s="237">
        <f>IFERROR(VLOOKUP($AJ12,HomeBroker!$A$14:$F$103,5,0),0)</f>
        <v>0</v>
      </c>
      <c r="AP12" s="115">
        <f>IFERROR(VLOOKUP($AJ12,HomeBroker!$A$14:$N$103,14,0),0)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9">
        <f t="shared" si="10"/>
        <v>0</v>
      </c>
      <c r="BB12" s="310">
        <f t="shared" si="11"/>
        <v>0</v>
      </c>
      <c r="BC12" s="120" t="s">
        <v>408</v>
      </c>
      <c r="BD12" s="118"/>
      <c r="BE12" s="143"/>
      <c r="BF12" s="121"/>
      <c r="BG12" s="312">
        <f t="shared" si="12"/>
        <v>0</v>
      </c>
      <c r="BH12" s="314">
        <f t="shared" si="13"/>
        <v>0</v>
      </c>
      <c r="BI12" s="122" t="s">
        <v>409</v>
      </c>
      <c r="BJ12" s="118"/>
      <c r="BK12" s="121"/>
      <c r="BL12" s="315">
        <f t="shared" si="14"/>
        <v>0</v>
      </c>
      <c r="BM12" s="316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3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IFERROR(VLOOKUP($X13,HomeBroker!$A$14:$F$103,2,0),0)</f>
        <v>0</v>
      </c>
      <c r="Z13" s="242">
        <f>IFERROR(VLOOKUP($X13,HomeBroker!$A$14:$F$103,3,0),0)</f>
        <v>0</v>
      </c>
      <c r="AA13" s="243">
        <f>IFERROR(VLOOKUP($X13,HomeBroker!$A$14:$F$103,6,0),0)</f>
        <v>0</v>
      </c>
      <c r="AB13" s="242">
        <f>IFERROR(VLOOKUP($X13,HomeBroker!$A$14:$F$103,4,0),0)</f>
        <v>0</v>
      </c>
      <c r="AC13" s="242">
        <f>IFERROR(VLOOKUP($X13,HomeBroker!$A$14:$F$103,5,0),0)</f>
        <v>0</v>
      </c>
      <c r="AD13" s="311">
        <f>IFERROR(VLOOKUP($X13,HomeBroker!$A$14:$N$103,14,0),0)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IFERROR(VLOOKUP($AJ13,HomeBroker!$A$14:$F$103,2,0),0)</f>
        <v>0</v>
      </c>
      <c r="AL13" s="242">
        <f>IFERROR(VLOOKUP($AJ13,HomeBroker!$A$14:$F$103,3,0),0)</f>
        <v>0</v>
      </c>
      <c r="AM13" s="243">
        <f>IFERROR(VLOOKUP($AJ13,HomeBroker!$A$14:$F$103,6,0),0)</f>
        <v>0</v>
      </c>
      <c r="AN13" s="242">
        <f>IFERROR(VLOOKUP($AJ13,HomeBroker!$A$14:$F$103,4,0),0)</f>
        <v>0</v>
      </c>
      <c r="AO13" s="237">
        <f>IFERROR(VLOOKUP($AJ13,HomeBroker!$A$14:$F$103,5,0),0)</f>
        <v>0</v>
      </c>
      <c r="AP13" s="115">
        <f>IFERROR(VLOOKUP($AJ13,HomeBroker!$A$14:$N$103,14,0),0)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9">
        <f t="shared" si="10"/>
        <v>0</v>
      </c>
      <c r="BB13" s="310">
        <f t="shared" si="11"/>
        <v>0</v>
      </c>
      <c r="BC13" s="120" t="s">
        <v>408</v>
      </c>
      <c r="BD13" s="118"/>
      <c r="BE13" s="143"/>
      <c r="BF13" s="121"/>
      <c r="BG13" s="312">
        <f t="shared" si="12"/>
        <v>0</v>
      </c>
      <c r="BH13" s="314">
        <f t="shared" si="13"/>
        <v>0</v>
      </c>
      <c r="BI13" s="122" t="s">
        <v>409</v>
      </c>
      <c r="BJ13" s="118"/>
      <c r="BK13" s="121"/>
      <c r="BL13" s="315">
        <f t="shared" si="14"/>
        <v>0</v>
      </c>
      <c r="BM13" s="316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3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IFERROR(VLOOKUP($X14,HomeBroker!$A$14:$F$103,2,0),0)</f>
        <v>0</v>
      </c>
      <c r="Z14" s="242">
        <f>IFERROR(VLOOKUP($X14,HomeBroker!$A$14:$F$103,3,0),0)</f>
        <v>0</v>
      </c>
      <c r="AA14" s="243">
        <f>IFERROR(VLOOKUP($X14,HomeBroker!$A$14:$F$103,6,0),0)</f>
        <v>0</v>
      </c>
      <c r="AB14" s="242">
        <f>IFERROR(VLOOKUP($X14,HomeBroker!$A$14:$F$103,4,0),0)</f>
        <v>0</v>
      </c>
      <c r="AC14" s="242">
        <f>IFERROR(VLOOKUP($X14,HomeBroker!$A$14:$F$88,5,0),0)</f>
        <v>0</v>
      </c>
      <c r="AD14" s="311">
        <f>IFERROR(VLOOKUP($X14,HomeBroker!$A$14:$N$103,14,0),0)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IFERROR(VLOOKUP($AJ14,HomeBroker!$A$14:$F$103,2,0),0)</f>
        <v>0</v>
      </c>
      <c r="AL14" s="242">
        <f>IFERROR(VLOOKUP($AJ14,HomeBroker!$A$14:$F$103,3,0),0)</f>
        <v>0</v>
      </c>
      <c r="AM14" s="243">
        <f>IFERROR(VLOOKUP($AJ14,HomeBroker!$A$14:$F$103,6,0),0)</f>
        <v>0</v>
      </c>
      <c r="AN14" s="242">
        <f>IFERROR(VLOOKUP($AJ14,HomeBroker!$A$14:$F$103,4,0),0)</f>
        <v>0</v>
      </c>
      <c r="AO14" s="237">
        <f>IFERROR(VLOOKUP($AJ14,HomeBroker!$A$14:$F$103,5,0),0)</f>
        <v>0</v>
      </c>
      <c r="AP14" s="115">
        <f>IFERROR(VLOOKUP($AJ14,HomeBroker!$A$14:$N$103,14,0),0)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9">
        <f t="shared" si="10"/>
        <v>0</v>
      </c>
      <c r="BB14" s="310">
        <f t="shared" si="11"/>
        <v>0</v>
      </c>
      <c r="BC14" s="120" t="s">
        <v>408</v>
      </c>
      <c r="BD14" s="118"/>
      <c r="BE14" s="143"/>
      <c r="BF14" s="121"/>
      <c r="BG14" s="312">
        <f t="shared" si="12"/>
        <v>0</v>
      </c>
      <c r="BH14" s="314">
        <f t="shared" si="13"/>
        <v>0</v>
      </c>
      <c r="BI14" s="122" t="s">
        <v>409</v>
      </c>
      <c r="BJ14" s="118"/>
      <c r="BK14" s="121"/>
      <c r="BL14" s="315">
        <f t="shared" si="14"/>
        <v>0</v>
      </c>
      <c r="BM14" s="316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3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IFERROR(VLOOKUP($X15,HomeBroker!$A$14:$F$88,2,0),0)</f>
        <v>0</v>
      </c>
      <c r="Z15" s="242">
        <f>IFERROR(VLOOKUP($X15,HomeBroker!$A$14:$F$88,3,0),0)</f>
        <v>0</v>
      </c>
      <c r="AA15" s="243">
        <f>IFERROR(VLOOKUP($X15,HomeBroker!$A$14:$F$88,6,0),0)</f>
        <v>0</v>
      </c>
      <c r="AB15" s="242">
        <f>IFERROR(VLOOKUP($X15,HomeBroker!$A$14:$F$88,4,0),0)</f>
        <v>0</v>
      </c>
      <c r="AC15" s="242">
        <f>IFERROR(VLOOKUP($X15,HomeBroker!$A$14:$F$88,5,0),0)</f>
        <v>0</v>
      </c>
      <c r="AD15" s="311">
        <f>IFERROR(VLOOKUP($X15,HomeBroker!$A$14:$N$88,14,0),0)</f>
        <v>0</v>
      </c>
      <c r="AE15" s="247" t="str">
        <f t="shared" si="61"/>
        <v/>
      </c>
      <c r="AF15" s="110">
        <f t="shared" si="62"/>
        <v>0</v>
      </c>
      <c r="AG15" s="318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IFERROR(VLOOKUP($AJ15,HomeBroker!$A$14:$F$88,2,0),0)</f>
        <v>0</v>
      </c>
      <c r="AL15" s="242">
        <f>IFERROR(VLOOKUP($AJ15,HomeBroker!$A$14:$F$88,3,0),0)</f>
        <v>0</v>
      </c>
      <c r="AM15" s="243">
        <f>IFERROR(VLOOKUP($AJ15,HomeBroker!$A$14:$F$88,6,0),0)</f>
        <v>0</v>
      </c>
      <c r="AN15" s="242">
        <f>IFERROR(VLOOKUP($AJ15,HomeBroker!$A$14:$F$88,4,0),0)</f>
        <v>0</v>
      </c>
      <c r="AO15" s="237">
        <f>IFERROR(VLOOKUP($AJ15,HomeBroker!$A$14:$F$88,5,0),0)</f>
        <v>0</v>
      </c>
      <c r="AP15" s="115">
        <f>IFERROR(VLOOKUP($AJ15,HomeBroker!$A$14:$N$88,14,0),0)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9">
        <f t="shared" si="10"/>
        <v>0</v>
      </c>
      <c r="BB15" s="310">
        <f t="shared" si="11"/>
        <v>0</v>
      </c>
      <c r="BC15" s="120" t="s">
        <v>408</v>
      </c>
      <c r="BD15" s="118"/>
      <c r="BE15" s="143"/>
      <c r="BF15" s="121"/>
      <c r="BG15" s="312">
        <f t="shared" si="12"/>
        <v>0</v>
      </c>
      <c r="BH15" s="314">
        <f t="shared" si="13"/>
        <v>0</v>
      </c>
      <c r="BI15" s="122" t="s">
        <v>409</v>
      </c>
      <c r="BJ15" s="118"/>
      <c r="BK15" s="121"/>
      <c r="BL15" s="315">
        <f t="shared" si="14"/>
        <v>0</v>
      </c>
      <c r="BM15" s="316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3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IFERROR(VLOOKUP($X16,HomeBroker!$A$14:$F$88,2,0),0)</f>
        <v>0</v>
      </c>
      <c r="Z16" s="242">
        <f>IFERROR(VLOOKUP($X16,HomeBroker!$A$14:$F$88,3,0),0)</f>
        <v>0</v>
      </c>
      <c r="AA16" s="243">
        <f>IFERROR(VLOOKUP($X16,HomeBroker!$A$14:$F$88,6,0),0)</f>
        <v>0</v>
      </c>
      <c r="AB16" s="242">
        <f>IFERROR(VLOOKUP($X16,HomeBroker!$A$14:$F$88,4,0),0)</f>
        <v>0</v>
      </c>
      <c r="AC16" s="242">
        <f>IFERROR(VLOOKUP($X16,HomeBroker!$A$14:$F$88,5,0),0)</f>
        <v>0</v>
      </c>
      <c r="AD16" s="311">
        <f>IFERROR(VLOOKUP($X16,HomeBroker!$A$14:$N$88,14,0),0)</f>
        <v>0</v>
      </c>
      <c r="AE16" s="247" t="str">
        <f t="shared" si="61"/>
        <v/>
      </c>
      <c r="AF16" s="110">
        <f t="shared" si="62"/>
        <v>0</v>
      </c>
      <c r="AG16" s="318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IFERROR(VLOOKUP($AJ16,HomeBroker!$A$14:$F$88,2,0),0)</f>
        <v>0</v>
      </c>
      <c r="AL16" s="242">
        <f>IFERROR(VLOOKUP($AJ16,HomeBroker!$A$14:$F$88,3,0),0)</f>
        <v>0</v>
      </c>
      <c r="AM16" s="243">
        <f>IFERROR(VLOOKUP($AJ16,HomeBroker!$A$14:$F$88,6,0),0)</f>
        <v>0</v>
      </c>
      <c r="AN16" s="242">
        <f>IFERROR(VLOOKUP($AJ16,HomeBroker!$A$14:$F$88,4,0),0)</f>
        <v>0</v>
      </c>
      <c r="AO16" s="237">
        <f>IFERROR(VLOOKUP($AJ16,HomeBroker!$A$14:$F$88,5,0),0)</f>
        <v>0</v>
      </c>
      <c r="AP16" s="115">
        <f>IFERROR(VLOOKUP($AJ16,HomeBroker!$A$14:$N$88,14,0),0)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9">
        <f t="shared" si="10"/>
        <v>0</v>
      </c>
      <c r="BB16" s="310">
        <f t="shared" si="11"/>
        <v>0</v>
      </c>
      <c r="BC16" s="120" t="s">
        <v>408</v>
      </c>
      <c r="BD16" s="118"/>
      <c r="BE16" s="143"/>
      <c r="BF16" s="121"/>
      <c r="BG16" s="312">
        <f t="shared" si="12"/>
        <v>0</v>
      </c>
      <c r="BH16" s="314">
        <f t="shared" si="13"/>
        <v>0</v>
      </c>
      <c r="BI16" s="122" t="s">
        <v>409</v>
      </c>
      <c r="BJ16" s="118"/>
      <c r="BK16" s="121"/>
      <c r="BL16" s="315">
        <f t="shared" si="14"/>
        <v>0</v>
      </c>
      <c r="BM16" s="316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3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IFERROR(VLOOKUP($X17,HomeBroker!$A$14:$F$88,2,0),0)</f>
        <v>0</v>
      </c>
      <c r="Z17" s="242">
        <f>IFERROR(VLOOKUP($X17,HomeBroker!$A$14:$F$88,3,0),0)</f>
        <v>0</v>
      </c>
      <c r="AA17" s="243">
        <f>IFERROR(VLOOKUP($X17,HomeBroker!$A$14:$F$88,6,0),0)</f>
        <v>0</v>
      </c>
      <c r="AB17" s="242">
        <f>IFERROR(VLOOKUP($X17,HomeBroker!$A$14:$F$88,4,0),0)</f>
        <v>0</v>
      </c>
      <c r="AC17" s="242">
        <f>IFERROR(VLOOKUP($X17,HomeBroker!$A$14:$F$88,5,0),0)</f>
        <v>0</v>
      </c>
      <c r="AD17" s="311">
        <f>IFERROR(VLOOKUP($X17,HomeBroker!$A$14:$N$88,14,0),0)</f>
        <v>0</v>
      </c>
      <c r="AE17" s="247" t="str">
        <f t="shared" si="61"/>
        <v/>
      </c>
      <c r="AF17" s="110">
        <f t="shared" si="62"/>
        <v>0</v>
      </c>
      <c r="AG17" s="318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IFERROR(VLOOKUP($AJ17,HomeBroker!$A$14:$F$88,2,0),0)</f>
        <v>0</v>
      </c>
      <c r="AL17" s="242">
        <f>IFERROR(VLOOKUP($AJ17,HomeBroker!$A$14:$F$88,3,0),0)</f>
        <v>0</v>
      </c>
      <c r="AM17" s="243">
        <f>IFERROR(VLOOKUP($AJ17,HomeBroker!$A$14:$F$88,6,0),0)</f>
        <v>0</v>
      </c>
      <c r="AN17" s="242">
        <f>IFERROR(VLOOKUP($AJ17,HomeBroker!$A$14:$F$88,4,0),0)</f>
        <v>0</v>
      </c>
      <c r="AO17" s="237">
        <f>IFERROR(VLOOKUP($AJ17,HomeBroker!$A$14:$F$88,5,0),0)</f>
        <v>0</v>
      </c>
      <c r="AP17" s="115">
        <f>IFERROR(VLOOKUP($AJ17,HomeBroker!$A$14:$N$88,14,0),0)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9">
        <f t="shared" si="10"/>
        <v>0</v>
      </c>
      <c r="BB17" s="310">
        <f t="shared" si="11"/>
        <v>0</v>
      </c>
      <c r="BC17" s="120" t="s">
        <v>408</v>
      </c>
      <c r="BD17" s="118"/>
      <c r="BE17" s="143"/>
      <c r="BF17" s="121"/>
      <c r="BG17" s="312">
        <f t="shared" si="12"/>
        <v>0</v>
      </c>
      <c r="BH17" s="314">
        <f t="shared" si="13"/>
        <v>0</v>
      </c>
      <c r="BI17" s="122" t="s">
        <v>409</v>
      </c>
      <c r="BJ17" s="118"/>
      <c r="BK17" s="121"/>
      <c r="BL17" s="315">
        <f t="shared" si="14"/>
        <v>0</v>
      </c>
      <c r="BM17" s="316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4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IFERROR(VLOOKUP($X18,HomeBroker!$A$14:$F$88,2,0),0)</f>
        <v>0</v>
      </c>
      <c r="Z18" s="242">
        <f>IFERROR(VLOOKUP($X18,HomeBroker!$A$14:$F$88,3,0),0)</f>
        <v>0</v>
      </c>
      <c r="AA18" s="243">
        <f>IFERROR(VLOOKUP($X18,HomeBroker!$A$14:$F$88,6,0),0)</f>
        <v>0</v>
      </c>
      <c r="AB18" s="242">
        <f>IFERROR(VLOOKUP($X18,HomeBroker!$A$14:$F$88,4,0),0)</f>
        <v>0</v>
      </c>
      <c r="AC18" s="242">
        <f>IFERROR(VLOOKUP($X18,HomeBroker!$A$14:$F$88,5,0),0)</f>
        <v>0</v>
      </c>
      <c r="AD18" s="311">
        <f>IFERROR(VLOOKUP($X18,HomeBroker!$A$14:$N$88,14,0),0)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IFERROR(VLOOKUP($AJ18,HomeBroker!$A$14:$F$88,2,0),0)</f>
        <v>0</v>
      </c>
      <c r="AL18" s="242">
        <f>IFERROR(VLOOKUP($AJ18,HomeBroker!$A$14:$F$88,3,0),0)</f>
        <v>0</v>
      </c>
      <c r="AM18" s="243">
        <f>IFERROR(VLOOKUP($AJ18,HomeBroker!$A$14:$F$88,6,0),0)</f>
        <v>0</v>
      </c>
      <c r="AN18" s="242">
        <f>IFERROR(VLOOKUP($AJ18,HomeBroker!$A$14:$F$88,4,0),0)</f>
        <v>0</v>
      </c>
      <c r="AO18" s="114">
        <f>IFERROR(VLOOKUP($AJ18,HomeBroker!$A$14:$F$88,5,0),0)</f>
        <v>0</v>
      </c>
      <c r="AP18" s="115">
        <f>IFERROR(VLOOKUP($AJ18,HomeBroker!$A$14:$N$88,14,0),0)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9">
        <f t="shared" si="10"/>
        <v>0</v>
      </c>
      <c r="BB18" s="310">
        <f t="shared" si="11"/>
        <v>0</v>
      </c>
      <c r="BC18" s="120" t="s">
        <v>408</v>
      </c>
      <c r="BD18" s="118"/>
      <c r="BE18" s="143"/>
      <c r="BF18" s="121"/>
      <c r="BG18" s="312">
        <f t="shared" si="12"/>
        <v>0</v>
      </c>
      <c r="BH18" s="314">
        <f t="shared" si="13"/>
        <v>0</v>
      </c>
      <c r="BI18" s="122" t="s">
        <v>409</v>
      </c>
      <c r="BJ18" s="118"/>
      <c r="BK18" s="121"/>
      <c r="BL18" s="315">
        <f t="shared" si="14"/>
        <v>0</v>
      </c>
      <c r="BM18" s="316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3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IFERROR(VLOOKUP($X19,HomeBroker!$A$14:$F$88,2,0),0)</f>
        <v>0</v>
      </c>
      <c r="Z19" s="242">
        <f>IFERROR(VLOOKUP($X19,HomeBroker!$A$14:$F$88,3,0),0)</f>
        <v>0</v>
      </c>
      <c r="AA19" s="243">
        <f>IFERROR(VLOOKUP($X19,HomeBroker!$A$14:$F$88,6,0),0)</f>
        <v>0</v>
      </c>
      <c r="AB19" s="242">
        <f>IFERROR(VLOOKUP($X19,HomeBroker!$A$14:$F$88,4,0),0)</f>
        <v>0</v>
      </c>
      <c r="AC19" s="242">
        <f>IFERROR(VLOOKUP($X19,HomeBroker!$A$14:$F$88,5,0),0)</f>
        <v>0</v>
      </c>
      <c r="AD19" s="311">
        <f>IFERROR(VLOOKUP($X19,HomeBroker!$A$14:$N$88,14,0),0)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IFERROR(VLOOKUP($AJ19,HomeBroker!$A$14:$F$88,2,0),0)</f>
        <v>0</v>
      </c>
      <c r="AL19" s="242">
        <f>IFERROR(VLOOKUP($AJ19,HomeBroker!$A$14:$F$88,3,0),0)</f>
        <v>0</v>
      </c>
      <c r="AM19" s="243">
        <f>IFERROR(VLOOKUP($AJ19,HomeBroker!$A$14:$F$88,6,0),0)</f>
        <v>0</v>
      </c>
      <c r="AN19" s="242">
        <f>IFERROR(VLOOKUP($AJ19,HomeBroker!$A$14:$F$88,4,0),0)</f>
        <v>0</v>
      </c>
      <c r="AO19" s="114">
        <f>IFERROR(VLOOKUP($AJ19,HomeBroker!$A$14:$F$88,5,0),0)</f>
        <v>0</v>
      </c>
      <c r="AP19" s="115">
        <f>IFERROR(VLOOKUP($AJ19,HomeBroker!$A$14:$N$88,14,0),0)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9">
        <f t="shared" si="10"/>
        <v>0</v>
      </c>
      <c r="BB19" s="310">
        <f t="shared" si="11"/>
        <v>0</v>
      </c>
      <c r="BC19" s="120" t="s">
        <v>408</v>
      </c>
      <c r="BD19" s="118"/>
      <c r="BE19" s="143"/>
      <c r="BF19" s="121"/>
      <c r="BG19" s="312">
        <f t="shared" si="12"/>
        <v>0</v>
      </c>
      <c r="BH19" s="314">
        <f t="shared" si="13"/>
        <v>0</v>
      </c>
      <c r="BI19" s="122" t="s">
        <v>409</v>
      </c>
      <c r="BJ19" s="118"/>
      <c r="BK19" s="121"/>
      <c r="BL19" s="315">
        <f t="shared" si="14"/>
        <v>0</v>
      </c>
      <c r="BM19" s="316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3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IFERROR(VLOOKUP($X20,HomeBroker!$A$14:$F$88,2,0),0)</f>
        <v>0</v>
      </c>
      <c r="Z20" s="242">
        <f>IFERROR(VLOOKUP($X20,HomeBroker!$A$14:$F$88,3,0),0)</f>
        <v>0</v>
      </c>
      <c r="AA20" s="243">
        <f>IFERROR(VLOOKUP($X20,HomeBroker!$A$14:$F$88,6,0),0)</f>
        <v>0</v>
      </c>
      <c r="AB20" s="242">
        <f>IFERROR(VLOOKUP($X20,HomeBroker!$A$14:$F$88,4,0),0)</f>
        <v>0</v>
      </c>
      <c r="AC20" s="242">
        <f>IFERROR(VLOOKUP($X20,HomeBroker!$A$14:$F$88,5,0),0)</f>
        <v>0</v>
      </c>
      <c r="AD20" s="311">
        <f>IFERROR(VLOOKUP($X20,HomeBroker!$A$14:$N$88,14,0),0)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IFERROR(VLOOKUP($AJ20,HomeBroker!$A$14:$F$88,2,0),0)</f>
        <v>0</v>
      </c>
      <c r="AL20" s="242">
        <f>IFERROR(VLOOKUP($AJ20,HomeBroker!$A$14:$F$88,3,0),0)</f>
        <v>0</v>
      </c>
      <c r="AM20" s="243">
        <f>IFERROR(VLOOKUP($AJ20,HomeBroker!$A$14:$F$88,6,0),0)</f>
        <v>0</v>
      </c>
      <c r="AN20" s="242">
        <f>IFERROR(VLOOKUP($AJ20,HomeBroker!$A$14:$F$88,4,0),0)</f>
        <v>0</v>
      </c>
      <c r="AO20" s="114">
        <f>IFERROR(VLOOKUP($AJ20,HomeBroker!$A$14:$F$88,5,0),0)</f>
        <v>0</v>
      </c>
      <c r="AP20" s="115">
        <f>IFERROR(VLOOKUP($AJ20,HomeBroker!$A$14:$N$88,14,0),0)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9">
        <f t="shared" si="10"/>
        <v>0</v>
      </c>
      <c r="BB20" s="310">
        <f t="shared" si="11"/>
        <v>0</v>
      </c>
      <c r="BC20" s="120" t="s">
        <v>408</v>
      </c>
      <c r="BD20" s="118"/>
      <c r="BE20" s="143"/>
      <c r="BF20" s="121"/>
      <c r="BG20" s="312">
        <f t="shared" si="12"/>
        <v>0</v>
      </c>
      <c r="BH20" s="314">
        <f t="shared" si="13"/>
        <v>0</v>
      </c>
      <c r="BI20" s="122" t="s">
        <v>409</v>
      </c>
      <c r="BJ20" s="118"/>
      <c r="BK20" s="121"/>
      <c r="BL20" s="315">
        <f t="shared" si="14"/>
        <v>0</v>
      </c>
      <c r="BM20" s="316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3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IFERROR(VLOOKUP($X21,HomeBroker!$A$14:$F$88,2,0),0)</f>
        <v>0</v>
      </c>
      <c r="Z21" s="242">
        <f>IFERROR(VLOOKUP($X21,HomeBroker!$A$14:$F$88,3,0),0)</f>
        <v>0</v>
      </c>
      <c r="AA21" s="243">
        <f>IFERROR(VLOOKUP($X21,HomeBroker!$A$14:$F$88,6,0),0)</f>
        <v>0</v>
      </c>
      <c r="AB21" s="242">
        <f>IFERROR(VLOOKUP($X21,HomeBroker!$A$14:$F$88,4,0),0)</f>
        <v>0</v>
      </c>
      <c r="AC21" s="242">
        <f>IFERROR(VLOOKUP($X21,HomeBroker!$A$14:$F$88,5,0),0)</f>
        <v>0</v>
      </c>
      <c r="AD21" s="311">
        <f>IFERROR(VLOOKUP($X21,HomeBroker!$A$14:$N$88,14,0),0)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IFERROR(VLOOKUP($AJ21,HomeBroker!$A$14:$F$88,2,0),0)</f>
        <v>0</v>
      </c>
      <c r="AL21" s="242">
        <f>IFERROR(VLOOKUP($AJ21,HomeBroker!$A$14:$F$88,3,0),0)</f>
        <v>0</v>
      </c>
      <c r="AM21" s="243">
        <f>IFERROR(VLOOKUP($AJ21,HomeBroker!$A$14:$F$88,6,0),0)</f>
        <v>0</v>
      </c>
      <c r="AN21" s="242">
        <f>IFERROR(VLOOKUP($AJ21,HomeBroker!$A$14:$F$88,4,0),0)</f>
        <v>0</v>
      </c>
      <c r="AO21" s="114">
        <f>IFERROR(VLOOKUP($AJ21,HomeBroker!$A$14:$F$88,5,0),0)</f>
        <v>0</v>
      </c>
      <c r="AP21" s="115">
        <f>IFERROR(VLOOKUP($AJ21,HomeBroker!$A$14:$N$88,14,0),0)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9">
        <f t="shared" si="10"/>
        <v>0</v>
      </c>
      <c r="BB21" s="310">
        <f t="shared" si="11"/>
        <v>0</v>
      </c>
      <c r="BC21" s="120" t="s">
        <v>408</v>
      </c>
      <c r="BD21" s="118"/>
      <c r="BE21" s="143"/>
      <c r="BF21" s="121"/>
      <c r="BG21" s="312">
        <f t="shared" si="12"/>
        <v>0</v>
      </c>
      <c r="BH21" s="314">
        <f t="shared" si="13"/>
        <v>0</v>
      </c>
      <c r="BI21" s="122" t="s">
        <v>409</v>
      </c>
      <c r="BJ21" s="118"/>
      <c r="BK21" s="121"/>
      <c r="BL21" s="315">
        <f t="shared" si="14"/>
        <v>0</v>
      </c>
      <c r="BM21" s="316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3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IFERROR(VLOOKUP($X22,HomeBroker!$A$14:$F$88,2,0),0)</f>
        <v>0</v>
      </c>
      <c r="Z22" s="242">
        <f>IFERROR(VLOOKUP($X22,HomeBroker!$A$14:$F$88,3,0),0)</f>
        <v>0</v>
      </c>
      <c r="AA22" s="243">
        <f>IFERROR(VLOOKUP($X22,HomeBroker!$A$14:$F$88,6,0),0)</f>
        <v>0</v>
      </c>
      <c r="AB22" s="242">
        <f>IFERROR(VLOOKUP($X22,HomeBroker!$A$14:$F$88,4,0),0)</f>
        <v>0</v>
      </c>
      <c r="AC22" s="242">
        <f>IFERROR(VLOOKUP($X22,HomeBroker!$A$14:$F$88,5,0),0)</f>
        <v>0</v>
      </c>
      <c r="AD22" s="311">
        <f>IFERROR(VLOOKUP($X22,HomeBroker!$A$14:$N$88,14,0),0)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IFERROR(VLOOKUP($AJ22,HomeBroker!$A$14:$F$88,2,0),0)</f>
        <v>0</v>
      </c>
      <c r="AL22" s="242">
        <f>IFERROR(VLOOKUP($AJ22,HomeBroker!$A$14:$F$88,3,0),0)</f>
        <v>0</v>
      </c>
      <c r="AM22" s="243">
        <f>IFERROR(VLOOKUP($AJ22,HomeBroker!$A$14:$F$88,6,0),0)</f>
        <v>0</v>
      </c>
      <c r="AN22" s="242">
        <f>IFERROR(VLOOKUP($AJ22,HomeBroker!$A$14:$F$88,4,0),0)</f>
        <v>0</v>
      </c>
      <c r="AO22" s="114">
        <f>IFERROR(VLOOKUP($AJ22,HomeBroker!$A$14:$F$88,5,0),0)</f>
        <v>0</v>
      </c>
      <c r="AP22" s="115">
        <f>IFERROR(VLOOKUP($AJ22,HomeBroker!$A$14:$N$88,14,0),0)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9">
        <f t="shared" si="10"/>
        <v>0</v>
      </c>
      <c r="BB22" s="310">
        <f t="shared" si="11"/>
        <v>0</v>
      </c>
      <c r="BC22" s="120" t="s">
        <v>408</v>
      </c>
      <c r="BD22" s="118"/>
      <c r="BE22" s="143"/>
      <c r="BF22" s="121"/>
      <c r="BG22" s="312">
        <f t="shared" si="12"/>
        <v>0</v>
      </c>
      <c r="BH22" s="314">
        <f t="shared" si="13"/>
        <v>0</v>
      </c>
      <c r="BI22" s="122" t="s">
        <v>409</v>
      </c>
      <c r="BJ22" s="118"/>
      <c r="BK22" s="121"/>
      <c r="BL22" s="315">
        <f t="shared" si="14"/>
        <v>0</v>
      </c>
      <c r="BM22" s="316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3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IFERROR(VLOOKUP($X23,HomeBroker!$A$14:$F$88,2,0),0)</f>
        <v>0</v>
      </c>
      <c r="Z23" s="242">
        <f>IFERROR(VLOOKUP($X23,HomeBroker!$A$14:$F$88,3,0),0)</f>
        <v>0</v>
      </c>
      <c r="AA23" s="243">
        <f>IFERROR(VLOOKUP($X23,HomeBroker!$A$14:$F$88,6,0),0)</f>
        <v>0</v>
      </c>
      <c r="AB23" s="242">
        <f>IFERROR(VLOOKUP($X23,HomeBroker!$A$14:$F$88,4,0),0)</f>
        <v>0</v>
      </c>
      <c r="AC23" s="242">
        <f>IFERROR(VLOOKUP($X23,HomeBroker!$A$14:$F$88,5,0),0)</f>
        <v>0</v>
      </c>
      <c r="AD23" s="311">
        <f>IFERROR(VLOOKUP($X23,HomeBroker!$A$14:$N$88,14,0),0)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IFERROR(VLOOKUP($AJ23,HomeBroker!$A$14:$F$88,2,0),0)</f>
        <v>0</v>
      </c>
      <c r="AL23" s="242">
        <f>IFERROR(VLOOKUP($AJ23,HomeBroker!$A$14:$F$88,3,0),0)</f>
        <v>0</v>
      </c>
      <c r="AM23" s="243">
        <f>IFERROR(VLOOKUP($AJ23,HomeBroker!$A$14:$F$88,6,0),0)</f>
        <v>0</v>
      </c>
      <c r="AN23" s="242">
        <f>IFERROR(VLOOKUP($AJ23,HomeBroker!$A$14:$F$88,4,0),0)</f>
        <v>0</v>
      </c>
      <c r="AO23" s="114">
        <f>IFERROR(VLOOKUP($AJ23,HomeBroker!$A$14:$F$88,5,0),0)</f>
        <v>0</v>
      </c>
      <c r="AP23" s="115">
        <f>IFERROR(VLOOKUP($AJ23,HomeBroker!$A$14:$N$88,14,0),0)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9">
        <f t="shared" si="10"/>
        <v>0</v>
      </c>
      <c r="BB23" s="310">
        <f t="shared" si="11"/>
        <v>0</v>
      </c>
      <c r="BC23" s="120" t="s">
        <v>408</v>
      </c>
      <c r="BD23" s="118"/>
      <c r="BE23" s="143"/>
      <c r="BF23" s="121"/>
      <c r="BG23" s="312">
        <f t="shared" si="12"/>
        <v>0</v>
      </c>
      <c r="BH23" s="314">
        <f t="shared" si="13"/>
        <v>0</v>
      </c>
      <c r="BI23" s="122" t="s">
        <v>409</v>
      </c>
      <c r="BJ23" s="118"/>
      <c r="BK23" s="121"/>
      <c r="BL23" s="315">
        <f t="shared" si="14"/>
        <v>0</v>
      </c>
      <c r="BM23" s="316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2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IFERROR(VLOOKUP($X24,HomeBroker!$A$14:$F$88,2,0),0)</f>
        <v>0</v>
      </c>
      <c r="Z24" s="242">
        <f>IFERROR(VLOOKUP($X24,HomeBroker!$A$14:$F$88,3,0),0)</f>
        <v>0</v>
      </c>
      <c r="AA24" s="243">
        <f>IFERROR(VLOOKUP($X24,HomeBroker!$A$14:$F$88,6,0),0)</f>
        <v>0</v>
      </c>
      <c r="AB24" s="242">
        <f>IFERROR(VLOOKUP($X24,HomeBroker!$A$14:$F$88,4,0),0)</f>
        <v>0</v>
      </c>
      <c r="AC24" s="242">
        <f>IFERROR(VLOOKUP($X24,HomeBroker!$A$14:$F$88,5,0),0)</f>
        <v>0</v>
      </c>
      <c r="AD24" s="311">
        <f>IFERROR(VLOOKUP($X24,HomeBroker!$A$14:$N$88,14,0),0)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IFERROR(VLOOKUP($AJ24,HomeBroker!$A$14:$F$88,2,0),0)</f>
        <v>0</v>
      </c>
      <c r="AL24" s="242">
        <f>IFERROR(VLOOKUP($AJ24,HomeBroker!$A$14:$F$88,3,0),0)</f>
        <v>0</v>
      </c>
      <c r="AM24" s="243">
        <f>IFERROR(VLOOKUP($AJ24,HomeBroker!$A$14:$F$88,6,0),0)</f>
        <v>0</v>
      </c>
      <c r="AN24" s="242">
        <f>IFERROR(VLOOKUP($AJ24,HomeBroker!$A$14:$F$88,4,0),0)</f>
        <v>0</v>
      </c>
      <c r="AO24" s="114">
        <f>IFERROR(VLOOKUP($AJ24,HomeBroker!$A$14:$F$88,5,0),0)</f>
        <v>0</v>
      </c>
      <c r="AP24" s="115">
        <f>IFERROR(VLOOKUP($AJ24,HomeBroker!$A$14:$N$88,14,0),0)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9">
        <f t="shared" si="10"/>
        <v>0</v>
      </c>
      <c r="BB24" s="310">
        <f t="shared" si="11"/>
        <v>0</v>
      </c>
      <c r="BC24" s="120" t="s">
        <v>408</v>
      </c>
      <c r="BD24" s="118"/>
      <c r="BE24" s="143"/>
      <c r="BF24" s="121"/>
      <c r="BG24" s="312">
        <f t="shared" si="12"/>
        <v>0</v>
      </c>
      <c r="BH24" s="314">
        <f t="shared" si="13"/>
        <v>0</v>
      </c>
      <c r="BI24" s="122" t="s">
        <v>409</v>
      </c>
      <c r="BJ24" s="118"/>
      <c r="BK24" s="121"/>
      <c r="BL24" s="315">
        <f t="shared" si="14"/>
        <v>0</v>
      </c>
      <c r="BM24" s="316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2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IFERROR(VLOOKUP($X25,HomeBroker!$A$14:$F$88,2,0),0)</f>
        <v>0</v>
      </c>
      <c r="Z25" s="242">
        <f>IFERROR(VLOOKUP($X25,HomeBroker!$A$14:$F$88,3,0),0)</f>
        <v>0</v>
      </c>
      <c r="AA25" s="243">
        <f>IFERROR(VLOOKUP($X25,HomeBroker!$A$14:$F$88,6,0),0)</f>
        <v>0</v>
      </c>
      <c r="AB25" s="242">
        <f>IFERROR(VLOOKUP($X25,HomeBroker!$A$14:$F$88,4,0),0)</f>
        <v>0</v>
      </c>
      <c r="AC25" s="242">
        <f>IFERROR(VLOOKUP($X25,HomeBroker!$A$14:$F$88,5,0),0)</f>
        <v>0</v>
      </c>
      <c r="AD25" s="311">
        <f>IFERROR(VLOOKUP($X25,HomeBroker!$A$14:$N$88,14,0),0)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IFERROR(VLOOKUP($AJ25,HomeBroker!$A$14:$F$88,2,0),0)</f>
        <v>0</v>
      </c>
      <c r="AL25" s="242">
        <f>IFERROR(VLOOKUP($AJ25,HomeBroker!$A$14:$F$88,3,0),0)</f>
        <v>0</v>
      </c>
      <c r="AM25" s="243">
        <f>IFERROR(VLOOKUP($AJ25,HomeBroker!$A$14:$F$88,6,0),0)</f>
        <v>0</v>
      </c>
      <c r="AN25" s="242">
        <f>IFERROR(VLOOKUP($AJ25,HomeBroker!$A$14:$F$88,4,0),0)</f>
        <v>0</v>
      </c>
      <c r="AO25" s="114">
        <f>IFERROR(VLOOKUP($AJ25,HomeBroker!$A$14:$F$88,5,0),0)</f>
        <v>0</v>
      </c>
      <c r="AP25" s="115">
        <f>IFERROR(VLOOKUP($AJ25,HomeBroker!$A$14:$N$88,14,0),0)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9">
        <f t="shared" si="10"/>
        <v>0</v>
      </c>
      <c r="BB25" s="310">
        <f t="shared" si="11"/>
        <v>0</v>
      </c>
      <c r="BC25" s="120" t="s">
        <v>408</v>
      </c>
      <c r="BD25" s="118"/>
      <c r="BE25" s="143"/>
      <c r="BF25" s="121"/>
      <c r="BG25" s="312">
        <f t="shared" si="12"/>
        <v>0</v>
      </c>
      <c r="BH25" s="314">
        <f t="shared" si="13"/>
        <v>0</v>
      </c>
      <c r="BI25" s="122" t="s">
        <v>409</v>
      </c>
      <c r="BJ25" s="118"/>
      <c r="BK25" s="121"/>
      <c r="BL25" s="315">
        <f t="shared" si="14"/>
        <v>0</v>
      </c>
      <c r="BM25" s="316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2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IFERROR(VLOOKUP($X26,HomeBroker!$A$14:$F$88,2,0),0)</f>
        <v>0</v>
      </c>
      <c r="Z26" s="242">
        <f>IFERROR(VLOOKUP($X26,HomeBroker!$A$14:$F$88,3,0),0)</f>
        <v>0</v>
      </c>
      <c r="AA26" s="243">
        <f>IFERROR(VLOOKUP($X26,HomeBroker!$A$14:$F$88,6,0),0)</f>
        <v>0</v>
      </c>
      <c r="AB26" s="242">
        <f>IFERROR(VLOOKUP($X26,HomeBroker!$A$14:$F$88,4,0),0)</f>
        <v>0</v>
      </c>
      <c r="AC26" s="242">
        <f>IFERROR(VLOOKUP($X26,HomeBroker!$A$14:$F$88,5,0),0)</f>
        <v>0</v>
      </c>
      <c r="AD26" s="311">
        <f>IFERROR(VLOOKUP($X26,HomeBroker!$A$14:$N$88,14,0),0)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IFERROR(VLOOKUP($AJ26,HomeBroker!$A$14:$F$88,2,0),0)</f>
        <v>0</v>
      </c>
      <c r="AL26" s="242">
        <f>IFERROR(VLOOKUP($AJ26,HomeBroker!$A$14:$F$88,3,0),0)</f>
        <v>0</v>
      </c>
      <c r="AM26" s="243">
        <f>IFERROR(VLOOKUP($AJ26,HomeBroker!$A$14:$F$88,6,0),0)</f>
        <v>0</v>
      </c>
      <c r="AN26" s="242">
        <f>IFERROR(VLOOKUP($AJ26,HomeBroker!$A$14:$F$88,4,0),0)</f>
        <v>0</v>
      </c>
      <c r="AO26" s="114">
        <f>IFERROR(VLOOKUP($AJ26,HomeBroker!$A$14:$F$88,5,0),0)</f>
        <v>0</v>
      </c>
      <c r="AP26" s="115">
        <f>IFERROR(VLOOKUP($AJ26,HomeBroker!$A$14:$N$88,14,0),0)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9">
        <f t="shared" si="10"/>
        <v>0</v>
      </c>
      <c r="BB26" s="310">
        <f t="shared" si="11"/>
        <v>0</v>
      </c>
      <c r="BC26" s="120" t="s">
        <v>408</v>
      </c>
      <c r="BD26" s="118"/>
      <c r="BE26" s="143"/>
      <c r="BF26" s="121"/>
      <c r="BG26" s="312">
        <f t="shared" si="12"/>
        <v>0</v>
      </c>
      <c r="BH26" s="314">
        <f t="shared" si="13"/>
        <v>0</v>
      </c>
      <c r="BI26" s="122" t="s">
        <v>409</v>
      </c>
      <c r="BJ26" s="118"/>
      <c r="BK26" s="121"/>
      <c r="BL26" s="315">
        <f t="shared" si="14"/>
        <v>0</v>
      </c>
      <c r="BM26" s="316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2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IFERROR(VLOOKUP($X27,HomeBroker!$A$14:$F$88,2,0),0)</f>
        <v>0</v>
      </c>
      <c r="Z27" s="242">
        <f>IFERROR(VLOOKUP($X27,HomeBroker!$A$14:$F$88,3,0),0)</f>
        <v>0</v>
      </c>
      <c r="AA27" s="243">
        <f>IFERROR(VLOOKUP($X27,HomeBroker!$A$14:$F$88,6,0),0)</f>
        <v>0</v>
      </c>
      <c r="AB27" s="242">
        <f>IFERROR(VLOOKUP($X27,HomeBroker!$A$14:$F$88,4,0),0)</f>
        <v>0</v>
      </c>
      <c r="AC27" s="242">
        <f>IFERROR(VLOOKUP($X27,HomeBroker!$A$14:$F$88,5,0),0)</f>
        <v>0</v>
      </c>
      <c r="AD27" s="311">
        <f>IFERROR(VLOOKUP($X27,HomeBroker!$A$14:$N$88,14,0),0)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IFERROR(VLOOKUP($AJ27,HomeBroker!$A$14:$F$88,2,0),0)</f>
        <v>0</v>
      </c>
      <c r="AL27" s="242">
        <f>IFERROR(VLOOKUP($AJ27,HomeBroker!$A$14:$F$88,3,0),0)</f>
        <v>0</v>
      </c>
      <c r="AM27" s="243">
        <f>IFERROR(VLOOKUP($AJ27,HomeBroker!$A$14:$F$88,6,0),0)</f>
        <v>0</v>
      </c>
      <c r="AN27" s="242">
        <f>IFERROR(VLOOKUP($AJ27,HomeBroker!$A$14:$F$88,4,0),0)</f>
        <v>0</v>
      </c>
      <c r="AO27" s="114">
        <f>IFERROR(VLOOKUP($AJ27,HomeBroker!$A$14:$F$88,5,0),0)</f>
        <v>0</v>
      </c>
      <c r="AP27" s="115">
        <f>IFERROR(VLOOKUP($AJ27,HomeBroker!$A$14:$N$88,14,0),0)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9">
        <f t="shared" si="10"/>
        <v>0</v>
      </c>
      <c r="BB27" s="310">
        <f t="shared" si="11"/>
        <v>0</v>
      </c>
      <c r="BC27" s="120" t="s">
        <v>408</v>
      </c>
      <c r="BD27" s="118"/>
      <c r="BE27" s="143"/>
      <c r="BF27" s="121"/>
      <c r="BG27" s="312">
        <f t="shared" si="12"/>
        <v>0</v>
      </c>
      <c r="BH27" s="314">
        <f t="shared" si="13"/>
        <v>0</v>
      </c>
      <c r="BI27" s="122" t="s">
        <v>409</v>
      </c>
      <c r="BJ27" s="118"/>
      <c r="BK27" s="121"/>
      <c r="BL27" s="315">
        <f t="shared" si="14"/>
        <v>0</v>
      </c>
      <c r="BM27" s="316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2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IFERROR(VLOOKUP($X28,HomeBroker!$A$14:$F$88,2,0),0)</f>
        <v>0</v>
      </c>
      <c r="Z28" s="242">
        <f>IFERROR(VLOOKUP($X28,HomeBroker!$A$14:$F$88,3,0),0)</f>
        <v>0</v>
      </c>
      <c r="AA28" s="243">
        <f>IFERROR(VLOOKUP($X28,HomeBroker!$A$14:$F$88,6,0),0)</f>
        <v>0</v>
      </c>
      <c r="AB28" s="242">
        <f>IFERROR(VLOOKUP($X28,HomeBroker!$A$14:$F$88,4,0),0)</f>
        <v>0</v>
      </c>
      <c r="AC28" s="242">
        <f>IFERROR(VLOOKUP($X28,HomeBroker!$A$14:$F$88,5,0),0)</f>
        <v>0</v>
      </c>
      <c r="AD28" s="311">
        <f>IFERROR(VLOOKUP($X28,HomeBroker!$A$14:$N$88,14,0),0)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IFERROR(VLOOKUP($AJ28,HomeBroker!$A$14:$F$88,2,0),0)</f>
        <v>0</v>
      </c>
      <c r="AL28" s="242">
        <f>IFERROR(VLOOKUP($AJ28,HomeBroker!$A$14:$F$88,3,0),0)</f>
        <v>0</v>
      </c>
      <c r="AM28" s="243">
        <f>IFERROR(VLOOKUP($AJ28,HomeBroker!$A$14:$F$88,6,0),0)</f>
        <v>0</v>
      </c>
      <c r="AN28" s="242">
        <f>IFERROR(VLOOKUP($AJ28,HomeBroker!$A$14:$F$88,4,0),0)</f>
        <v>0</v>
      </c>
      <c r="AO28" s="114">
        <f>IFERROR(VLOOKUP($AJ28,HomeBroker!$A$14:$F$88,5,0),0)</f>
        <v>0</v>
      </c>
      <c r="AP28" s="115">
        <f>IFERROR(VLOOKUP($AJ28,HomeBroker!$A$14:$N$88,14,0),0)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9">
        <f t="shared" si="10"/>
        <v>0</v>
      </c>
      <c r="BB28" s="310">
        <f t="shared" si="11"/>
        <v>0</v>
      </c>
      <c r="BC28" s="120" t="s">
        <v>408</v>
      </c>
      <c r="BD28" s="118"/>
      <c r="BE28" s="143"/>
      <c r="BF28" s="121"/>
      <c r="BG28" s="312">
        <f t="shared" si="12"/>
        <v>0</v>
      </c>
      <c r="BH28" s="314">
        <f t="shared" si="13"/>
        <v>0</v>
      </c>
      <c r="BI28" s="122" t="s">
        <v>409</v>
      </c>
      <c r="BJ28" s="118"/>
      <c r="BK28" s="121"/>
      <c r="BL28" s="315">
        <f t="shared" si="14"/>
        <v>0</v>
      </c>
      <c r="BM28" s="316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5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IFERROR(VLOOKUP($X29,HomeBroker!$A$14:$F$88,2,0),0)</f>
        <v>0</v>
      </c>
      <c r="Z29" s="242">
        <f>IFERROR(VLOOKUP($X29,HomeBroker!$A$14:$F$88,3,0),0)</f>
        <v>0</v>
      </c>
      <c r="AA29" s="243">
        <f>IFERROR(VLOOKUP($X29,HomeBroker!$A$14:$F$88,6,0),0)</f>
        <v>0</v>
      </c>
      <c r="AB29" s="242">
        <f>IFERROR(VLOOKUP($X29,HomeBroker!$A$14:$F$88,4,0),0)</f>
        <v>0</v>
      </c>
      <c r="AC29" s="242">
        <f>IFERROR(VLOOKUP($X29,HomeBroker!$A$14:$F$88,5,0),0)</f>
        <v>0</v>
      </c>
      <c r="AD29" s="311">
        <f>IFERROR(VLOOKUP($X29,HomeBroker!$A$14:$N$88,14,0),0)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IFERROR(VLOOKUP($AJ29,HomeBroker!$A$14:$F$88,2,0),0)</f>
        <v>0</v>
      </c>
      <c r="AL29" s="242">
        <f>IFERROR(VLOOKUP($AJ29,HomeBroker!$A$14:$F$88,3,0),0)</f>
        <v>0</v>
      </c>
      <c r="AM29" s="243">
        <f>IFERROR(VLOOKUP($AJ29,HomeBroker!$A$14:$F$88,6,0),0)</f>
        <v>0</v>
      </c>
      <c r="AN29" s="242">
        <f>IFERROR(VLOOKUP($AJ29,HomeBroker!$A$14:$F$88,4,0),0)</f>
        <v>0</v>
      </c>
      <c r="AO29" s="114">
        <f>IFERROR(VLOOKUP($AJ29,HomeBroker!$A$14:$F$88,5,0),0)</f>
        <v>0</v>
      </c>
      <c r="AP29" s="115">
        <f>IFERROR(VLOOKUP($AJ29,HomeBroker!$A$14:$N$88,14,0),0)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9">
        <f t="shared" si="10"/>
        <v>0</v>
      </c>
      <c r="BB29" s="310">
        <f t="shared" si="11"/>
        <v>0</v>
      </c>
      <c r="BC29" s="120" t="s">
        <v>408</v>
      </c>
      <c r="BD29" s="118"/>
      <c r="BE29" s="143"/>
      <c r="BF29" s="121"/>
      <c r="BG29" s="312">
        <f t="shared" si="12"/>
        <v>0</v>
      </c>
      <c r="BH29" s="314">
        <f t="shared" si="13"/>
        <v>0</v>
      </c>
      <c r="BI29" s="122" t="s">
        <v>409</v>
      </c>
      <c r="BJ29" s="118"/>
      <c r="BK29" s="121"/>
      <c r="BL29" s="315">
        <f t="shared" si="14"/>
        <v>0</v>
      </c>
      <c r="BM29" s="316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5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IFERROR(VLOOKUP($X30,HomeBroker!$A$14:$F$88,2,0),0)</f>
        <v>0</v>
      </c>
      <c r="Z30" s="242">
        <f>IFERROR(VLOOKUP($X30,HomeBroker!$A$14:$F$88,3,0),0)</f>
        <v>0</v>
      </c>
      <c r="AA30" s="243">
        <f>IFERROR(VLOOKUP($X30,HomeBroker!$A$14:$F$88,6,0),0)</f>
        <v>0</v>
      </c>
      <c r="AB30" s="242">
        <f>IFERROR(VLOOKUP($X30,HomeBroker!$A$14:$F$88,4,0),0)</f>
        <v>0</v>
      </c>
      <c r="AC30" s="242">
        <f>IFERROR(VLOOKUP($X30,HomeBroker!$A$14:$F$88,5,0),0)</f>
        <v>0</v>
      </c>
      <c r="AD30" s="311">
        <f>IFERROR(VLOOKUP($X30,HomeBroker!$A$14:$N$88,14,0),0)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IFERROR(VLOOKUP($AJ30,HomeBroker!$A$14:$F$88,2,0),0)</f>
        <v>0</v>
      </c>
      <c r="AL30" s="242">
        <f>IFERROR(VLOOKUP($AJ30,HomeBroker!$A$14:$F$88,3,0),0)</f>
        <v>0</v>
      </c>
      <c r="AM30" s="243">
        <f>IFERROR(VLOOKUP($AJ30,HomeBroker!$A$14:$F$88,6,0),0)</f>
        <v>0</v>
      </c>
      <c r="AN30" s="242">
        <f>IFERROR(VLOOKUP($AJ30,HomeBroker!$A$14:$F$88,4,0),0)</f>
        <v>0</v>
      </c>
      <c r="AO30" s="114">
        <f>IFERROR(VLOOKUP($AJ30,HomeBroker!$A$14:$F$88,5,0),0)</f>
        <v>0</v>
      </c>
      <c r="AP30" s="115">
        <f>IFERROR(VLOOKUP($AJ30,HomeBroker!$A$14:$N$88,14,0),0)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9">
        <f t="shared" si="10"/>
        <v>0</v>
      </c>
      <c r="BB30" s="310">
        <f t="shared" si="11"/>
        <v>0</v>
      </c>
      <c r="BC30" s="120" t="s">
        <v>408</v>
      </c>
      <c r="BD30" s="118"/>
      <c r="BE30" s="143"/>
      <c r="BF30" s="121"/>
      <c r="BG30" s="312">
        <f t="shared" si="12"/>
        <v>0</v>
      </c>
      <c r="BH30" s="314">
        <f t="shared" si="13"/>
        <v>0</v>
      </c>
      <c r="BI30" s="122" t="s">
        <v>409</v>
      </c>
      <c r="BJ30" s="118"/>
      <c r="BK30" s="121"/>
      <c r="BL30" s="315">
        <f t="shared" si="14"/>
        <v>0</v>
      </c>
      <c r="BM30" s="316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5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IFERROR(VLOOKUP($X31,HomeBroker!$A$14:$F$88,2,0),0)</f>
        <v>0</v>
      </c>
      <c r="Z31" s="242">
        <f>IFERROR(VLOOKUP($X31,HomeBroker!$A$14:$F$88,3,0),0)</f>
        <v>0</v>
      </c>
      <c r="AA31" s="243">
        <f>IFERROR(VLOOKUP($X31,HomeBroker!$A$14:$F$88,6,0),0)</f>
        <v>0</v>
      </c>
      <c r="AB31" s="242">
        <f>IFERROR(VLOOKUP($X31,HomeBroker!$A$14:$F$88,4,0),0)</f>
        <v>0</v>
      </c>
      <c r="AC31" s="242">
        <f>IFERROR(VLOOKUP($X31,HomeBroker!$A$14:$F$88,5,0),0)</f>
        <v>0</v>
      </c>
      <c r="AD31" s="311">
        <f>IFERROR(VLOOKUP($X31,HomeBroker!$A$14:$N$88,14,0),0)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IFERROR(VLOOKUP($AJ31,HomeBroker!$A$14:$F$88,2,0),0)</f>
        <v>0</v>
      </c>
      <c r="AL31" s="242">
        <f>IFERROR(VLOOKUP($AJ31,HomeBroker!$A$14:$F$88,3,0),0)</f>
        <v>0</v>
      </c>
      <c r="AM31" s="243">
        <f>IFERROR(VLOOKUP($AJ31,HomeBroker!$A$14:$F$88,6,0),0)</f>
        <v>0</v>
      </c>
      <c r="AN31" s="242">
        <f>IFERROR(VLOOKUP($AJ31,HomeBroker!$A$14:$F$88,4,0),0)</f>
        <v>0</v>
      </c>
      <c r="AO31" s="114">
        <f>IFERROR(VLOOKUP($AJ31,HomeBroker!$A$14:$F$88,5,0),0)</f>
        <v>0</v>
      </c>
      <c r="AP31" s="115">
        <f>IFERROR(VLOOKUP($AJ31,HomeBroker!$A$14:$N$88,14,0),0)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9">
        <f t="shared" si="10"/>
        <v>0</v>
      </c>
      <c r="BB31" s="310">
        <f t="shared" si="11"/>
        <v>0</v>
      </c>
      <c r="BC31" s="120" t="s">
        <v>408</v>
      </c>
      <c r="BD31" s="118"/>
      <c r="BE31" s="143"/>
      <c r="BF31" s="121"/>
      <c r="BG31" s="312">
        <f t="shared" si="12"/>
        <v>0</v>
      </c>
      <c r="BH31" s="314">
        <f t="shared" si="13"/>
        <v>0</v>
      </c>
      <c r="BI31" s="122" t="s">
        <v>409</v>
      </c>
      <c r="BJ31" s="118"/>
      <c r="BK31" s="121"/>
      <c r="BL31" s="315">
        <f t="shared" si="14"/>
        <v>0</v>
      </c>
      <c r="BM31" s="316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5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IFERROR(VLOOKUP($X32,HomeBroker!$A$14:$F$88,2,0),0)</f>
        <v>0</v>
      </c>
      <c r="Z32" s="242">
        <f>IFERROR(VLOOKUP($X32,HomeBroker!$A$14:$F$88,3,0),0)</f>
        <v>0</v>
      </c>
      <c r="AA32" s="243">
        <f>IFERROR(VLOOKUP($X32,HomeBroker!$A$14:$F$88,6,0),0)</f>
        <v>0</v>
      </c>
      <c r="AB32" s="242">
        <f>IFERROR(VLOOKUP($X32,HomeBroker!$A$14:$F$88,4,0),0)</f>
        <v>0</v>
      </c>
      <c r="AC32" s="242">
        <f>IFERROR(VLOOKUP($X32,HomeBroker!$A$14:$F$88,5,0),0)</f>
        <v>0</v>
      </c>
      <c r="AD32" s="311">
        <f>IFERROR(VLOOKUP($X32,HomeBroker!$A$14:$N$88,14,0),0)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IFERROR(VLOOKUP($AJ32,HomeBroker!$A$14:$F$88,2,0),0)</f>
        <v>0</v>
      </c>
      <c r="AL32" s="242">
        <f>IFERROR(VLOOKUP($AJ32,HomeBroker!$A$14:$F$88,3,0),0)</f>
        <v>0</v>
      </c>
      <c r="AM32" s="243">
        <f>IFERROR(VLOOKUP($AJ32,HomeBroker!$A$14:$F$88,6,0),0)</f>
        <v>0</v>
      </c>
      <c r="AN32" s="242">
        <f>IFERROR(VLOOKUP($AJ32,HomeBroker!$A$14:$F$88,4,0),0)</f>
        <v>0</v>
      </c>
      <c r="AO32" s="114">
        <f>IFERROR(VLOOKUP($AJ32,HomeBroker!$A$14:$F$88,5,0),0)</f>
        <v>0</v>
      </c>
      <c r="AP32" s="115">
        <f>IFERROR(VLOOKUP($AJ32,HomeBroker!$A$14:$N$88,14,0),0)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9">
        <f t="shared" si="10"/>
        <v>0</v>
      </c>
      <c r="BB32" s="310">
        <f t="shared" si="11"/>
        <v>0</v>
      </c>
      <c r="BC32" s="120" t="s">
        <v>408</v>
      </c>
      <c r="BD32" s="118"/>
      <c r="BE32" s="143"/>
      <c r="BF32" s="121"/>
      <c r="BG32" s="312">
        <f t="shared" si="12"/>
        <v>0</v>
      </c>
      <c r="BH32" s="314">
        <f t="shared" si="13"/>
        <v>0</v>
      </c>
      <c r="BI32" s="122" t="s">
        <v>409</v>
      </c>
      <c r="BJ32" s="118"/>
      <c r="BK32" s="121"/>
      <c r="BL32" s="315">
        <f t="shared" si="14"/>
        <v>0</v>
      </c>
      <c r="BM32" s="316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5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IFERROR(VLOOKUP($X33,HomeBroker!$A$14:$F$88,2,0),0)</f>
        <v>0</v>
      </c>
      <c r="Z33" s="242">
        <f>IFERROR(VLOOKUP($X33,HomeBroker!$A$14:$F$88,3,0),0)</f>
        <v>0</v>
      </c>
      <c r="AA33" s="243">
        <f>IFERROR(VLOOKUP($X33,HomeBroker!$A$14:$F$88,6,0),0)</f>
        <v>0</v>
      </c>
      <c r="AB33" s="242">
        <f>IFERROR(VLOOKUP($X33,HomeBroker!$A$14:$F$88,4,0),0)</f>
        <v>0</v>
      </c>
      <c r="AC33" s="242">
        <f>IFERROR(VLOOKUP($X33,HomeBroker!$A$14:$F$88,5,0),0)</f>
        <v>0</v>
      </c>
      <c r="AD33" s="311">
        <f>IFERROR(VLOOKUP($X33,HomeBroker!$A$14:$N$88,14,0),0)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IFERROR(VLOOKUP($AJ33,HomeBroker!$A$14:$F$88,2,0),0)</f>
        <v>0</v>
      </c>
      <c r="AL33" s="242">
        <f>IFERROR(VLOOKUP($AJ33,HomeBroker!$A$14:$F$88,3,0),0)</f>
        <v>0</v>
      </c>
      <c r="AM33" s="243">
        <f>IFERROR(VLOOKUP($AJ33,HomeBroker!$A$14:$F$88,6,0),0)</f>
        <v>0</v>
      </c>
      <c r="AN33" s="242">
        <f>IFERROR(VLOOKUP($AJ33,HomeBroker!$A$14:$F$88,4,0),0)</f>
        <v>0</v>
      </c>
      <c r="AO33" s="114">
        <f>IFERROR(VLOOKUP($AJ33,HomeBroker!$A$14:$F$88,5,0),0)</f>
        <v>0</v>
      </c>
      <c r="AP33" s="115">
        <f>IFERROR(VLOOKUP($AJ33,HomeBroker!$A$14:$N$88,14,0),0)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9">
        <f t="shared" si="10"/>
        <v>0</v>
      </c>
      <c r="BB33" s="310">
        <f t="shared" si="11"/>
        <v>0</v>
      </c>
      <c r="BC33" s="120" t="s">
        <v>408</v>
      </c>
      <c r="BD33" s="118"/>
      <c r="BE33" s="143"/>
      <c r="BF33" s="121"/>
      <c r="BG33" s="312">
        <f t="shared" si="12"/>
        <v>0</v>
      </c>
      <c r="BH33" s="314">
        <f t="shared" si="13"/>
        <v>0</v>
      </c>
      <c r="BI33" s="122" t="s">
        <v>409</v>
      </c>
      <c r="BJ33" s="118"/>
      <c r="BK33" s="121"/>
      <c r="BL33" s="315">
        <f t="shared" si="14"/>
        <v>0</v>
      </c>
      <c r="BM33" s="316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6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IFERROR(VLOOKUP($X34,HomeBroker!$A$14:$F$88,2,0),0)</f>
        <v>0</v>
      </c>
      <c r="Z34" s="242">
        <f>IFERROR(VLOOKUP($X34,HomeBroker!$A$14:$F$88,3,0),0)</f>
        <v>0</v>
      </c>
      <c r="AA34" s="243">
        <f>IFERROR(VLOOKUP($X34,HomeBroker!$A$14:$F$88,6,0),0)</f>
        <v>0</v>
      </c>
      <c r="AB34" s="242">
        <f>IFERROR(VLOOKUP($X34,HomeBroker!$A$14:$F$88,4,0),0)</f>
        <v>0</v>
      </c>
      <c r="AC34" s="242">
        <f>IFERROR(VLOOKUP($X34,HomeBroker!$A$14:$F$88,5,0),0)</f>
        <v>0</v>
      </c>
      <c r="AD34" s="311">
        <f>IFERROR(VLOOKUP($X34,HomeBroker!$A$14:$N$88,14,0),0)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IFERROR(VLOOKUP($AJ34,HomeBroker!$A$14:$F$88,2,0),0)</f>
        <v>0</v>
      </c>
      <c r="AL34" s="242">
        <f>IFERROR(VLOOKUP($AJ34,HomeBroker!$A$14:$F$88,3,0),0)</f>
        <v>0</v>
      </c>
      <c r="AM34" s="243">
        <f>IFERROR(VLOOKUP($AJ34,HomeBroker!$A$14:$F$88,6,0),0)</f>
        <v>0</v>
      </c>
      <c r="AN34" s="242">
        <f>IFERROR(VLOOKUP($AJ34,HomeBroker!$A$14:$F$88,4,0),0)</f>
        <v>0</v>
      </c>
      <c r="AO34" s="114">
        <f>IFERROR(VLOOKUP($AJ34,HomeBroker!$A$14:$F$88,5,0),0)</f>
        <v>0</v>
      </c>
      <c r="AP34" s="115">
        <f>IFERROR(VLOOKUP($AJ34,HomeBroker!$A$14:$N$88,14,0),0)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9">
        <f t="shared" si="10"/>
        <v>0</v>
      </c>
      <c r="BB34" s="310">
        <f t="shared" si="11"/>
        <v>0</v>
      </c>
      <c r="BC34" s="120" t="s">
        <v>408</v>
      </c>
      <c r="BD34" s="118"/>
      <c r="BE34" s="143"/>
      <c r="BF34" s="121"/>
      <c r="BG34" s="312">
        <f t="shared" si="12"/>
        <v>0</v>
      </c>
      <c r="BH34" s="314">
        <f t="shared" si="13"/>
        <v>0</v>
      </c>
      <c r="BI34" s="122" t="s">
        <v>409</v>
      </c>
      <c r="BJ34" s="118"/>
      <c r="BK34" s="121"/>
      <c r="BL34" s="315">
        <f t="shared" si="14"/>
        <v>0</v>
      </c>
      <c r="BM34" s="316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IFERROR(VLOOKUP($X35,HomeBroker!$A$14:$F$88,2,0),0)</f>
        <v>0</v>
      </c>
      <c r="Z35" s="242">
        <f>IFERROR(VLOOKUP($X35,HomeBroker!$A$14:$F$88,3,0),0)</f>
        <v>0</v>
      </c>
      <c r="AA35" s="243">
        <f>IFERROR(VLOOKUP($X35,HomeBroker!$A$14:$F$88,6,0),0)</f>
        <v>0</v>
      </c>
      <c r="AB35" s="242">
        <f>IFERROR(VLOOKUP($X35,HomeBroker!$A$14:$F$88,4,0),0)</f>
        <v>0</v>
      </c>
      <c r="AC35" s="242">
        <f>IFERROR(VLOOKUP($X35,HomeBroker!$A$14:$F$88,5,0),0)</f>
        <v>0</v>
      </c>
      <c r="AD35" s="311">
        <f>IFERROR(VLOOKUP($X35,HomeBroker!$A$14:$N$88,14,0),0)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IFERROR(VLOOKUP($AJ35,HomeBroker!$A$14:$F$88,2,0),0)</f>
        <v>0</v>
      </c>
      <c r="AL35" s="242">
        <f>IFERROR(VLOOKUP($AJ35,HomeBroker!$A$14:$F$88,3,0),0)</f>
        <v>0</v>
      </c>
      <c r="AM35" s="243">
        <f>IFERROR(VLOOKUP($AJ35,HomeBroker!$A$14:$F$88,6,0),0)</f>
        <v>0</v>
      </c>
      <c r="AN35" s="242">
        <f>IFERROR(VLOOKUP($AJ35,HomeBroker!$A$14:$F$88,4,0),0)</f>
        <v>0</v>
      </c>
      <c r="AO35" s="114">
        <f>IFERROR(VLOOKUP($AJ35,HomeBroker!$A$14:$F$88,5,0),0)</f>
        <v>0</v>
      </c>
      <c r="AP35" s="115">
        <f>IFERROR(VLOOKUP($AJ35,HomeBroker!$A$14:$N$88,14,0),0)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9">
        <f t="shared" si="10"/>
        <v>0</v>
      </c>
      <c r="BB35" s="310">
        <f t="shared" si="11"/>
        <v>0</v>
      </c>
      <c r="BC35" s="120" t="s">
        <v>408</v>
      </c>
      <c r="BD35" s="118"/>
      <c r="BE35" s="143"/>
      <c r="BF35" s="121"/>
      <c r="BG35" s="312">
        <f t="shared" si="12"/>
        <v>0</v>
      </c>
      <c r="BH35" s="314">
        <f t="shared" si="13"/>
        <v>0</v>
      </c>
      <c r="BI35" s="122" t="s">
        <v>409</v>
      </c>
      <c r="BJ35" s="118"/>
      <c r="BK35" s="121"/>
      <c r="BL35" s="315">
        <f t="shared" si="14"/>
        <v>0</v>
      </c>
      <c r="BM35" s="316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708" t="s">
        <v>450</v>
      </c>
      <c r="O36" s="703"/>
      <c r="P36" s="704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IFERROR(VLOOKUP($X36,HomeBroker!$A$14:$F$88,2,0),0)</f>
        <v>0</v>
      </c>
      <c r="Z36" s="242">
        <f>IFERROR(VLOOKUP($X36,HomeBroker!$A$14:$F$88,3,0),0)</f>
        <v>0</v>
      </c>
      <c r="AA36" s="243">
        <f>IFERROR(VLOOKUP($X36,HomeBroker!$A$14:$F$88,6,0),0)</f>
        <v>0</v>
      </c>
      <c r="AB36" s="242">
        <f>IFERROR(VLOOKUP($X36,HomeBroker!$A$14:$F$88,4,0),0)</f>
        <v>0</v>
      </c>
      <c r="AC36" s="242">
        <f>IFERROR(VLOOKUP($X36,HomeBroker!$A$14:$F$88,5,0),0)</f>
        <v>0</v>
      </c>
      <c r="AD36" s="311">
        <f>IFERROR(VLOOKUP($X36,HomeBroker!$A$14:$N$88,14,0),0)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IFERROR(VLOOKUP($AJ36,HomeBroker!$A$14:$F$88,2,0),0)</f>
        <v>0</v>
      </c>
      <c r="AL36" s="242">
        <f>IFERROR(VLOOKUP($AJ36,HomeBroker!$A$14:$F$88,3,0),0)</f>
        <v>0</v>
      </c>
      <c r="AM36" s="243">
        <f>IFERROR(VLOOKUP($AJ36,HomeBroker!$A$14:$F$88,6,0),0)</f>
        <v>0</v>
      </c>
      <c r="AN36" s="242">
        <f>IFERROR(VLOOKUP($AJ36,HomeBroker!$A$14:$F$88,4,0),0)</f>
        <v>0</v>
      </c>
      <c r="AO36" s="114">
        <f>IFERROR(VLOOKUP($AJ36,HomeBroker!$A$14:$F$88,5,0),0)</f>
        <v>0</v>
      </c>
      <c r="AP36" s="115">
        <f>IFERROR(VLOOKUP($AJ36,HomeBroker!$A$14:$N$88,14,0),0)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9">
        <f t="shared" si="10"/>
        <v>0</v>
      </c>
      <c r="BB36" s="310">
        <f t="shared" si="11"/>
        <v>0</v>
      </c>
      <c r="BC36" s="120" t="s">
        <v>408</v>
      </c>
      <c r="BD36" s="118"/>
      <c r="BE36" s="143"/>
      <c r="BF36" s="121"/>
      <c r="BG36" s="312">
        <f t="shared" si="12"/>
        <v>0</v>
      </c>
      <c r="BH36" s="314">
        <f t="shared" si="13"/>
        <v>0</v>
      </c>
      <c r="BI36" s="122" t="s">
        <v>409</v>
      </c>
      <c r="BJ36" s="118"/>
      <c r="BK36" s="121"/>
      <c r="BL36" s="315">
        <f t="shared" si="14"/>
        <v>0</v>
      </c>
      <c r="BM36" s="316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708" t="s">
        <v>451</v>
      </c>
      <c r="O37" s="703"/>
      <c r="P37" s="704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IFERROR(VLOOKUP($X37,HomeBroker!$A$14:$F$88,2,0),0)</f>
        <v>0</v>
      </c>
      <c r="Z37" s="242">
        <f>IFERROR(VLOOKUP($X37,HomeBroker!$A$14:$F$88,3,0),0)</f>
        <v>0</v>
      </c>
      <c r="AA37" s="243">
        <f>IFERROR(VLOOKUP($X37,HomeBroker!$A$14:$F$88,6,0),0)</f>
        <v>0</v>
      </c>
      <c r="AB37" s="242">
        <f>IFERROR(VLOOKUP($X37,HomeBroker!$A$14:$F$88,4,0),0)</f>
        <v>0</v>
      </c>
      <c r="AC37" s="242">
        <f>IFERROR(VLOOKUP($X37,HomeBroker!$A$14:$F$88,5,0),0)</f>
        <v>0</v>
      </c>
      <c r="AD37" s="311">
        <f>IFERROR(VLOOKUP($X37,HomeBroker!$A$14:$N$88,14,0),0)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IFERROR(VLOOKUP($AJ37,HomeBroker!$A$14:$F$88,2,0),0)</f>
        <v>0</v>
      </c>
      <c r="AL37" s="242">
        <f>IFERROR(VLOOKUP($AJ37,HomeBroker!$A$14:$F$88,3,0),0)</f>
        <v>0</v>
      </c>
      <c r="AM37" s="243">
        <f>IFERROR(VLOOKUP($AJ37,HomeBroker!$A$14:$F$88,6,0),0)</f>
        <v>0</v>
      </c>
      <c r="AN37" s="242">
        <f>IFERROR(VLOOKUP($AJ37,HomeBroker!$A$14:$F$88,4,0),0)</f>
        <v>0</v>
      </c>
      <c r="AO37" s="114">
        <f>IFERROR(VLOOKUP($AJ37,HomeBroker!$A$14:$F$88,5,0),0)</f>
        <v>0</v>
      </c>
      <c r="AP37" s="115">
        <f>IFERROR(VLOOKUP($AJ37,HomeBroker!$A$14:$N$88,14,0),0)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9">
        <f t="shared" si="10"/>
        <v>0</v>
      </c>
      <c r="BB37" s="310">
        <f t="shared" si="11"/>
        <v>0</v>
      </c>
      <c r="BC37" s="120" t="s">
        <v>408</v>
      </c>
      <c r="BD37" s="118"/>
      <c r="BE37" s="143"/>
      <c r="BF37" s="121"/>
      <c r="BG37" s="312">
        <f t="shared" si="12"/>
        <v>0</v>
      </c>
      <c r="BH37" s="314">
        <f t="shared" si="13"/>
        <v>0</v>
      </c>
      <c r="BI37" s="122" t="s">
        <v>409</v>
      </c>
      <c r="BJ37" s="118"/>
      <c r="BK37" s="121"/>
      <c r="BL37" s="315">
        <f t="shared" si="14"/>
        <v>0</v>
      </c>
      <c r="BM37" s="316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709" t="s">
        <v>452</v>
      </c>
      <c r="O38" s="703"/>
      <c r="P38" s="704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IFERROR(VLOOKUP($X38,HomeBroker!$A$14:$F$88,2,0),0)</f>
        <v>0</v>
      </c>
      <c r="Z38" s="242">
        <f>IFERROR(VLOOKUP($X38,HomeBroker!$A$14:$F$88,3,0),0)</f>
        <v>0</v>
      </c>
      <c r="AA38" s="243">
        <f>IFERROR(VLOOKUP($X38,HomeBroker!$A$14:$F$88,6,0),0)</f>
        <v>0</v>
      </c>
      <c r="AB38" s="242">
        <f>IFERROR(VLOOKUP($X38,HomeBroker!$A$14:$F$88,4,0),0)</f>
        <v>0</v>
      </c>
      <c r="AC38" s="242">
        <f>IFERROR(VLOOKUP($X38,HomeBroker!$A$14:$F$88,5,0),0)</f>
        <v>0</v>
      </c>
      <c r="AD38" s="311">
        <f>IFERROR(VLOOKUP($X38,HomeBroker!$A$14:$N$88,14,0),0)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IFERROR(VLOOKUP($AJ38,HomeBroker!$A$14:$F$88,2,0),0)</f>
        <v>0</v>
      </c>
      <c r="AL38" s="242">
        <f>IFERROR(VLOOKUP($AJ38,HomeBroker!$A$14:$F$88,3,0),0)</f>
        <v>0</v>
      </c>
      <c r="AM38" s="243">
        <f>IFERROR(VLOOKUP($AJ38,HomeBroker!$A$14:$F$88,6,0),0)</f>
        <v>0</v>
      </c>
      <c r="AN38" s="242">
        <f>IFERROR(VLOOKUP($AJ38,HomeBroker!$A$14:$F$88,4,0),0)</f>
        <v>0</v>
      </c>
      <c r="AO38" s="114">
        <f>IFERROR(VLOOKUP($AJ38,HomeBroker!$A$14:$F$88,5,0),0)</f>
        <v>0</v>
      </c>
      <c r="AP38" s="115">
        <f>IFERROR(VLOOKUP($AJ38,HomeBroker!$A$14:$N$88,14,0),0)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9">
        <f t="shared" si="10"/>
        <v>0</v>
      </c>
      <c r="BB38" s="310">
        <f t="shared" si="11"/>
        <v>0</v>
      </c>
      <c r="BC38" s="177" t="s">
        <v>408</v>
      </c>
      <c r="BD38" s="118"/>
      <c r="BE38" s="143"/>
      <c r="BF38" s="121"/>
      <c r="BG38" s="312">
        <f t="shared" si="12"/>
        <v>0</v>
      </c>
      <c r="BH38" s="314">
        <f t="shared" si="13"/>
        <v>0</v>
      </c>
      <c r="BI38" s="178" t="s">
        <v>409</v>
      </c>
      <c r="BJ38" s="118"/>
      <c r="BK38" s="121"/>
      <c r="BL38" s="315">
        <f t="shared" si="14"/>
        <v>0</v>
      </c>
      <c r="BM38" s="316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710" t="s">
        <v>453</v>
      </c>
      <c r="O39" s="703"/>
      <c r="P39" s="704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IFERROR(VLOOKUP($X39,HomeBroker!$A$14:$F$88,2,0),0)</f>
        <v>0</v>
      </c>
      <c r="Z39" s="242">
        <f>IFERROR(VLOOKUP($X39,HomeBroker!$A$14:$F$88,3,0),0)</f>
        <v>0</v>
      </c>
      <c r="AA39" s="243">
        <f>IFERROR(VLOOKUP($X39,HomeBroker!$A$14:$F$88,6,0),0)</f>
        <v>0</v>
      </c>
      <c r="AB39" s="242">
        <f>IFERROR(VLOOKUP($X39,HomeBroker!$A$14:$F$88,4,0),0)</f>
        <v>0</v>
      </c>
      <c r="AC39" s="242">
        <f>IFERROR(VLOOKUP($X39,HomeBroker!$A$14:$F$88,5,0),0)</f>
        <v>0</v>
      </c>
      <c r="AD39" s="311">
        <f>IFERROR(VLOOKUP($X39,HomeBroker!$A$14:$N$88,14,0),0)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IFERROR(VLOOKUP($AJ39,HomeBroker!$A$14:$F$88,2,0),0)</f>
        <v>0</v>
      </c>
      <c r="AL39" s="242">
        <f>IFERROR(VLOOKUP($AJ39,HomeBroker!$A$14:$F$88,3,0),0)</f>
        <v>0</v>
      </c>
      <c r="AM39" s="243">
        <f>IFERROR(VLOOKUP($AJ39,HomeBroker!$A$14:$F$88,6,0),0)</f>
        <v>0</v>
      </c>
      <c r="AN39" s="242">
        <f>IFERROR(VLOOKUP($AJ39,HomeBroker!$A$14:$F$88,4,0),0)</f>
        <v>0</v>
      </c>
      <c r="AO39" s="114">
        <f>IFERROR(VLOOKUP($AJ39,HomeBroker!$A$14:$F$88,5,0),0)</f>
        <v>0</v>
      </c>
      <c r="AP39" s="115">
        <f>IFERROR(VLOOKUP($AJ39,HomeBroker!$A$14:$N$88,14,0),0)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9">
        <f t="shared" si="10"/>
        <v>0</v>
      </c>
      <c r="BB39" s="310">
        <f t="shared" si="11"/>
        <v>0</v>
      </c>
      <c r="BC39" s="177" t="s">
        <v>408</v>
      </c>
      <c r="BD39" s="118"/>
      <c r="BE39" s="143"/>
      <c r="BF39" s="121"/>
      <c r="BG39" s="312">
        <f t="shared" si="12"/>
        <v>0</v>
      </c>
      <c r="BH39" s="314">
        <f t="shared" si="13"/>
        <v>0</v>
      </c>
      <c r="BI39" s="178" t="s">
        <v>409</v>
      </c>
      <c r="BJ39" s="118"/>
      <c r="BK39" s="121"/>
      <c r="BL39" s="315">
        <f t="shared" si="14"/>
        <v>0</v>
      </c>
      <c r="BM39" s="316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702" t="s">
        <v>0</v>
      </c>
      <c r="O40" s="703"/>
      <c r="P40" s="704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IFERROR(VLOOKUP($X40,HomeBroker!$A$14:$F$88,2,0),0)</f>
        <v>0</v>
      </c>
      <c r="Z40" s="242">
        <f>IFERROR(VLOOKUP($X40,HomeBroker!$A$14:$F$88,3,0),0)</f>
        <v>0</v>
      </c>
      <c r="AA40" s="243">
        <f>IFERROR(VLOOKUP($X40,HomeBroker!$A$14:$F$88,6,0),0)</f>
        <v>0</v>
      </c>
      <c r="AB40" s="242">
        <f>IFERROR(VLOOKUP($X40,HomeBroker!$A$14:$F$88,4,0),0)</f>
        <v>0</v>
      </c>
      <c r="AC40" s="242">
        <f>IFERROR(VLOOKUP($X40,HomeBroker!$A$14:$F$88,5,0),0)</f>
        <v>0</v>
      </c>
      <c r="AD40" s="311">
        <f>IFERROR(VLOOKUP($X40,HomeBroker!$A$14:$N$88,14,0),0)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IFERROR(VLOOKUP($AJ40,HomeBroker!$A$14:$F$88,2,0),0)</f>
        <v>0</v>
      </c>
      <c r="AL40" s="242">
        <f>IFERROR(VLOOKUP($AJ40,HomeBroker!$A$14:$F$88,3,0),0)</f>
        <v>0</v>
      </c>
      <c r="AM40" s="243">
        <f>IFERROR(VLOOKUP($AJ40,HomeBroker!$A$14:$F$88,6,0),0)</f>
        <v>0</v>
      </c>
      <c r="AN40" s="242">
        <f>IFERROR(VLOOKUP($AJ40,HomeBroker!$A$14:$F$88,4,0),0)</f>
        <v>0</v>
      </c>
      <c r="AO40" s="114">
        <f>IFERROR(VLOOKUP($AJ40,HomeBroker!$A$14:$F$88,5,0),0)</f>
        <v>0</v>
      </c>
      <c r="AP40" s="115">
        <f>IFERROR(VLOOKUP($AJ40,HomeBroker!$A$14:$N$88,14,0),0)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9">
        <f t="shared" si="10"/>
        <v>0</v>
      </c>
      <c r="BB40" s="310">
        <f t="shared" si="11"/>
        <v>0</v>
      </c>
      <c r="BC40" s="177" t="s">
        <v>408</v>
      </c>
      <c r="BD40" s="118"/>
      <c r="BE40" s="143"/>
      <c r="BF40" s="121"/>
      <c r="BG40" s="312">
        <f t="shared" si="12"/>
        <v>0</v>
      </c>
      <c r="BH40" s="314">
        <f t="shared" si="13"/>
        <v>0</v>
      </c>
      <c r="BI40" s="178" t="s">
        <v>409</v>
      </c>
      <c r="BJ40" s="118"/>
      <c r="BK40" s="121"/>
      <c r="BL40" s="315">
        <f t="shared" si="14"/>
        <v>0</v>
      </c>
      <c r="BM40" s="316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IFERROR(VLOOKUP($X41,HomeBroker!$A$14:$F$88,2,0),0)</f>
        <v>0</v>
      </c>
      <c r="Z41" s="242">
        <f>IFERROR(VLOOKUP($X41,HomeBroker!$A$14:$F$88,3,0),0)</f>
        <v>0</v>
      </c>
      <c r="AA41" s="243">
        <f>IFERROR(VLOOKUP($X41,HomeBroker!$A$14:$F$88,6,0),0)</f>
        <v>0</v>
      </c>
      <c r="AB41" s="242">
        <f>IFERROR(VLOOKUP($X41,HomeBroker!$A$14:$F$88,4,0),0)</f>
        <v>0</v>
      </c>
      <c r="AC41" s="242">
        <f>IFERROR(VLOOKUP($X41,HomeBroker!$A$14:$F$88,5,0),0)</f>
        <v>0</v>
      </c>
      <c r="AD41" s="311">
        <f>IFERROR(VLOOKUP($X41,HomeBroker!$A$14:$N$88,14,0),0)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IFERROR(VLOOKUP($AJ41,HomeBroker!$A$14:$F$88,2,0),0)</f>
        <v>0</v>
      </c>
      <c r="AL41" s="242">
        <f>IFERROR(VLOOKUP($AJ41,HomeBroker!$A$14:$F$88,3,0),0)</f>
        <v>0</v>
      </c>
      <c r="AM41" s="243">
        <f>IFERROR(VLOOKUP($AJ41,HomeBroker!$A$14:$F$88,6,0),0)</f>
        <v>0</v>
      </c>
      <c r="AN41" s="242">
        <f>IFERROR(VLOOKUP($AJ41,HomeBroker!$A$14:$F$88,4,0),0)</f>
        <v>0</v>
      </c>
      <c r="AO41" s="114">
        <f>IFERROR(VLOOKUP($AJ41,HomeBroker!$A$14:$F$88,5,0),0)</f>
        <v>0</v>
      </c>
      <c r="AP41" s="115">
        <f>IFERROR(VLOOKUP($AJ41,HomeBroker!$A$14:$N$88,14,0),0)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9">
        <f t="shared" si="10"/>
        <v>0</v>
      </c>
      <c r="BB41" s="310">
        <f t="shared" si="11"/>
        <v>0</v>
      </c>
      <c r="BC41" s="177" t="s">
        <v>408</v>
      </c>
      <c r="BD41" s="118"/>
      <c r="BE41" s="143"/>
      <c r="BF41" s="121"/>
      <c r="BG41" s="312">
        <f t="shared" si="12"/>
        <v>0</v>
      </c>
      <c r="BH41" s="314">
        <f t="shared" si="13"/>
        <v>0</v>
      </c>
      <c r="BI41" s="178" t="s">
        <v>409</v>
      </c>
      <c r="BJ41" s="118"/>
      <c r="BK41" s="121"/>
      <c r="BL41" s="315">
        <f t="shared" si="14"/>
        <v>0</v>
      </c>
      <c r="BM41" s="316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705" t="s">
        <v>454</v>
      </c>
      <c r="O42" s="703"/>
      <c r="P42" s="704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IFERROR(VLOOKUP($X42,HomeBroker!$A$14:$F$88,2,0),0)</f>
        <v>0</v>
      </c>
      <c r="Z42" s="242">
        <f>IFERROR(VLOOKUP($X42,HomeBroker!$A$14:$F$88,3,0),0)</f>
        <v>0</v>
      </c>
      <c r="AA42" s="243">
        <f>IFERROR(VLOOKUP($X42,HomeBroker!$A$14:$F$88,6,0),0)</f>
        <v>0</v>
      </c>
      <c r="AB42" s="242">
        <f>IFERROR(VLOOKUP($X42,HomeBroker!$A$14:$F$88,4,0),0)</f>
        <v>0</v>
      </c>
      <c r="AC42" s="242">
        <f>IFERROR(VLOOKUP($X42,HomeBroker!$A$14:$F$88,5,0),0)</f>
        <v>0</v>
      </c>
      <c r="AD42" s="311">
        <f>IFERROR(VLOOKUP($X42,HomeBroker!$A$14:$N$88,14,0),0)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IFERROR(VLOOKUP($AJ42,HomeBroker!$A$14:$F$88,2,0),0)</f>
        <v>0</v>
      </c>
      <c r="AL42" s="242">
        <f>IFERROR(VLOOKUP($AJ42,HomeBroker!$A$14:$F$88,3,0),0)</f>
        <v>0</v>
      </c>
      <c r="AM42" s="243">
        <f>IFERROR(VLOOKUP($AJ42,HomeBroker!$A$14:$F$88,6,0),0)</f>
        <v>0</v>
      </c>
      <c r="AN42" s="242">
        <f>IFERROR(VLOOKUP($AJ42,HomeBroker!$A$14:$F$88,4,0),0)</f>
        <v>0</v>
      </c>
      <c r="AO42" s="114">
        <f>IFERROR(VLOOKUP($AJ42,HomeBroker!$A$14:$F$88,5,0),0)</f>
        <v>0</v>
      </c>
      <c r="AP42" s="115">
        <f>IFERROR(VLOOKUP($AJ42,HomeBroker!$A$14:$N$88,14,0),0)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9">
        <f t="shared" si="10"/>
        <v>0</v>
      </c>
      <c r="BB42" s="310">
        <f t="shared" si="11"/>
        <v>0</v>
      </c>
      <c r="BC42" s="177" t="s">
        <v>408</v>
      </c>
      <c r="BD42" s="118"/>
      <c r="BE42" s="143"/>
      <c r="BF42" s="121"/>
      <c r="BG42" s="312">
        <f t="shared" si="12"/>
        <v>0</v>
      </c>
      <c r="BH42" s="314">
        <f t="shared" si="13"/>
        <v>0</v>
      </c>
      <c r="BI42" s="178" t="s">
        <v>409</v>
      </c>
      <c r="BJ42" s="118"/>
      <c r="BK42" s="121"/>
      <c r="BL42" s="315">
        <f t="shared" si="14"/>
        <v>0</v>
      </c>
      <c r="BM42" s="316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711" t="s">
        <v>409</v>
      </c>
      <c r="T43" s="712"/>
      <c r="U43" s="712"/>
      <c r="V43" s="712"/>
      <c r="W43" s="712"/>
      <c r="X43" s="712"/>
      <c r="Y43" s="712"/>
      <c r="Z43" s="712"/>
      <c r="AA43" s="712"/>
      <c r="AB43" s="712"/>
      <c r="AC43" s="712"/>
      <c r="AD43" s="713"/>
      <c r="AE43" s="717">
        <f>SUMIFS(BJ:BJ,BI:BI,S43)</f>
        <v>0</v>
      </c>
      <c r="AF43" s="717"/>
      <c r="AG43" s="717"/>
      <c r="AH43" s="717"/>
      <c r="AI43" s="717"/>
      <c r="AJ43" s="717"/>
      <c r="AK43" s="717"/>
      <c r="AL43" s="717"/>
      <c r="AM43" s="717"/>
      <c r="AN43" s="717"/>
      <c r="AO43" s="717"/>
      <c r="AP43" s="718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9">
        <f t="shared" si="10"/>
        <v>0</v>
      </c>
      <c r="BB43" s="310">
        <f t="shared" si="11"/>
        <v>0</v>
      </c>
      <c r="BC43" s="177" t="s">
        <v>408</v>
      </c>
      <c r="BD43" s="118"/>
      <c r="BE43" s="143"/>
      <c r="BF43" s="121"/>
      <c r="BG43" s="312">
        <f t="shared" si="12"/>
        <v>0</v>
      </c>
      <c r="BH43" s="314">
        <f t="shared" si="13"/>
        <v>0</v>
      </c>
      <c r="BI43" s="178" t="s">
        <v>409</v>
      </c>
      <c r="BJ43" s="118"/>
      <c r="BK43" s="121"/>
      <c r="BL43" s="315">
        <f t="shared" si="14"/>
        <v>0</v>
      </c>
      <c r="BM43" s="316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721" t="s">
        <v>458</v>
      </c>
      <c r="O44" s="703"/>
      <c r="P44" s="704"/>
      <c r="Q44" s="188"/>
      <c r="R44" s="62"/>
      <c r="S44" s="714"/>
      <c r="T44" s="715"/>
      <c r="U44" s="715"/>
      <c r="V44" s="715"/>
      <c r="W44" s="715"/>
      <c r="X44" s="715"/>
      <c r="Y44" s="715"/>
      <c r="Z44" s="715"/>
      <c r="AA44" s="715"/>
      <c r="AB44" s="715"/>
      <c r="AC44" s="715"/>
      <c r="AD44" s="716"/>
      <c r="AE44" s="719"/>
      <c r="AF44" s="719"/>
      <c r="AG44" s="719"/>
      <c r="AH44" s="719"/>
      <c r="AI44" s="719"/>
      <c r="AJ44" s="719"/>
      <c r="AK44" s="719"/>
      <c r="AL44" s="719"/>
      <c r="AM44" s="719"/>
      <c r="AN44" s="719"/>
      <c r="AO44" s="719"/>
      <c r="AP44" s="720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9">
        <f t="shared" si="10"/>
        <v>0</v>
      </c>
      <c r="BB44" s="310">
        <f t="shared" si="11"/>
        <v>0</v>
      </c>
      <c r="BC44" s="177" t="s">
        <v>408</v>
      </c>
      <c r="BD44" s="118"/>
      <c r="BE44" s="143"/>
      <c r="BF44" s="121"/>
      <c r="BG44" s="312">
        <f t="shared" si="12"/>
        <v>0</v>
      </c>
      <c r="BH44" s="314">
        <f t="shared" si="13"/>
        <v>0</v>
      </c>
      <c r="BI44" s="178" t="s">
        <v>409</v>
      </c>
      <c r="BJ44" s="118"/>
      <c r="BK44" s="121"/>
      <c r="BL44" s="315">
        <f t="shared" si="14"/>
        <v>0</v>
      </c>
      <c r="BM44" s="316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722" t="s">
        <v>459</v>
      </c>
      <c r="O45" s="703"/>
      <c r="P45" s="704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9">
        <f t="shared" si="10"/>
        <v>0</v>
      </c>
      <c r="BB45" s="310">
        <f t="shared" si="11"/>
        <v>0</v>
      </c>
      <c r="BC45" s="177" t="s">
        <v>408</v>
      </c>
      <c r="BD45" s="118"/>
      <c r="BE45" s="143"/>
      <c r="BF45" s="121"/>
      <c r="BG45" s="312">
        <f t="shared" si="12"/>
        <v>0</v>
      </c>
      <c r="BH45" s="314">
        <f t="shared" si="13"/>
        <v>0</v>
      </c>
      <c r="BI45" s="178" t="s">
        <v>409</v>
      </c>
      <c r="BJ45" s="118"/>
      <c r="BK45" s="121"/>
      <c r="BL45" s="315">
        <f t="shared" si="14"/>
        <v>0</v>
      </c>
      <c r="BM45" s="316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726" t="s">
        <v>460</v>
      </c>
      <c r="O46" s="703"/>
      <c r="P46" s="704"/>
      <c r="Q46" s="193">
        <f>Q48</f>
        <v>0.93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9">
        <f t="shared" si="10"/>
        <v>0</v>
      </c>
      <c r="BB46" s="310">
        <f t="shared" si="11"/>
        <v>0</v>
      </c>
      <c r="BC46" s="177" t="s">
        <v>408</v>
      </c>
      <c r="BD46" s="118"/>
      <c r="BE46" s="143"/>
      <c r="BF46" s="121"/>
      <c r="BG46" s="312">
        <f t="shared" si="12"/>
        <v>0</v>
      </c>
      <c r="BH46" s="314">
        <f t="shared" si="13"/>
        <v>0</v>
      </c>
      <c r="BI46" s="178" t="s">
        <v>409</v>
      </c>
      <c r="BJ46" s="118"/>
      <c r="BK46" s="121"/>
      <c r="BL46" s="315">
        <f t="shared" si="14"/>
        <v>0</v>
      </c>
      <c r="BM46" s="316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730" t="s">
        <v>461</v>
      </c>
      <c r="O47" s="703"/>
      <c r="P47" s="704"/>
      <c r="Q47" s="193">
        <f>Q46</f>
        <v>0.93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9">
        <f t="shared" si="10"/>
        <v>0</v>
      </c>
      <c r="BB47" s="310">
        <f t="shared" si="11"/>
        <v>0</v>
      </c>
      <c r="BC47" s="177" t="s">
        <v>408</v>
      </c>
      <c r="BD47" s="118"/>
      <c r="BE47" s="143"/>
      <c r="BF47" s="121"/>
      <c r="BG47" s="312">
        <f t="shared" si="12"/>
        <v>0</v>
      </c>
      <c r="BH47" s="314">
        <f t="shared" si="13"/>
        <v>0</v>
      </c>
      <c r="BI47" s="178" t="s">
        <v>409</v>
      </c>
      <c r="BJ47" s="118"/>
      <c r="BK47" s="121"/>
      <c r="BL47" s="315">
        <f t="shared" si="14"/>
        <v>0</v>
      </c>
      <c r="BM47" s="316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721" t="s">
        <v>462</v>
      </c>
      <c r="O48" s="703"/>
      <c r="P48" s="704"/>
      <c r="Q48" s="193">
        <f>HomeBroker!AE1*365</f>
        <v>0.93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9">
        <f t="shared" si="10"/>
        <v>0</v>
      </c>
      <c r="BB48" s="310">
        <f t="shared" si="11"/>
        <v>0</v>
      </c>
      <c r="BC48" s="177" t="s">
        <v>408</v>
      </c>
      <c r="BD48" s="118"/>
      <c r="BE48" s="143"/>
      <c r="BF48" s="121"/>
      <c r="BG48" s="312">
        <f t="shared" si="12"/>
        <v>0</v>
      </c>
      <c r="BH48" s="314">
        <f t="shared" si="13"/>
        <v>0</v>
      </c>
      <c r="BI48" s="178" t="s">
        <v>409</v>
      </c>
      <c r="BJ48" s="118"/>
      <c r="BK48" s="121"/>
      <c r="BL48" s="315">
        <f t="shared" si="14"/>
        <v>0</v>
      </c>
      <c r="BM48" s="316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731" t="s">
        <v>463</v>
      </c>
      <c r="O49" s="703"/>
      <c r="P49" s="704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9">
        <f t="shared" si="10"/>
        <v>0</v>
      </c>
      <c r="BB49" s="310">
        <f t="shared" si="11"/>
        <v>0</v>
      </c>
      <c r="BC49" s="177" t="s">
        <v>408</v>
      </c>
      <c r="BD49" s="118"/>
      <c r="BE49" s="143"/>
      <c r="BF49" s="121"/>
      <c r="BG49" s="312">
        <f t="shared" si="12"/>
        <v>0</v>
      </c>
      <c r="BH49" s="314">
        <f t="shared" si="13"/>
        <v>0</v>
      </c>
      <c r="BI49" s="178" t="s">
        <v>409</v>
      </c>
      <c r="BJ49" s="118"/>
      <c r="BK49" s="121"/>
      <c r="BL49" s="315">
        <f t="shared" si="14"/>
        <v>0</v>
      </c>
      <c r="BM49" s="316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731" t="s">
        <v>464</v>
      </c>
      <c r="O50" s="703"/>
      <c r="P50" s="704"/>
      <c r="Q50" s="195">
        <f ca="1">Q49-TODAY()-Q44</f>
        <v>16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9">
        <f t="shared" si="10"/>
        <v>0</v>
      </c>
      <c r="BB50" s="310">
        <f t="shared" si="11"/>
        <v>0</v>
      </c>
      <c r="BC50" s="177" t="s">
        <v>408</v>
      </c>
      <c r="BD50" s="118"/>
      <c r="BE50" s="143"/>
      <c r="BF50" s="121"/>
      <c r="BG50" s="312">
        <f t="shared" si="12"/>
        <v>0</v>
      </c>
      <c r="BH50" s="314">
        <f t="shared" si="13"/>
        <v>0</v>
      </c>
      <c r="BI50" s="178" t="s">
        <v>409</v>
      </c>
      <c r="BJ50" s="118"/>
      <c r="BK50" s="121"/>
      <c r="BL50" s="315">
        <f t="shared" si="14"/>
        <v>0</v>
      </c>
      <c r="BM50" s="316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731" t="s">
        <v>465</v>
      </c>
      <c r="O51" s="703"/>
      <c r="P51" s="704"/>
      <c r="Q51" s="196">
        <f ca="1">Q50/365</f>
        <v>4.3835616438356165E-2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9">
        <f t="shared" si="10"/>
        <v>0</v>
      </c>
      <c r="BB51" s="310">
        <f t="shared" si="11"/>
        <v>0</v>
      </c>
      <c r="BC51" s="177" t="s">
        <v>408</v>
      </c>
      <c r="BD51" s="118"/>
      <c r="BE51" s="143"/>
      <c r="BF51" s="121"/>
      <c r="BG51" s="312">
        <f t="shared" si="12"/>
        <v>0</v>
      </c>
      <c r="BH51" s="314">
        <f t="shared" si="13"/>
        <v>0</v>
      </c>
      <c r="BI51" s="178" t="s">
        <v>409</v>
      </c>
      <c r="BJ51" s="118"/>
      <c r="BK51" s="121"/>
      <c r="BL51" s="315">
        <f t="shared" si="14"/>
        <v>0</v>
      </c>
      <c r="BM51" s="316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705" t="s">
        <v>0</v>
      </c>
      <c r="O52" s="703"/>
      <c r="P52" s="704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9">
        <f t="shared" si="10"/>
        <v>0</v>
      </c>
      <c r="BB52" s="310">
        <f t="shared" si="11"/>
        <v>0</v>
      </c>
      <c r="BC52" s="177" t="s">
        <v>408</v>
      </c>
      <c r="BD52" s="118"/>
      <c r="BE52" s="143"/>
      <c r="BF52" s="121"/>
      <c r="BG52" s="312">
        <f t="shared" si="12"/>
        <v>0</v>
      </c>
      <c r="BH52" s="314">
        <f t="shared" si="13"/>
        <v>0</v>
      </c>
      <c r="BI52" s="178" t="s">
        <v>409</v>
      </c>
      <c r="BJ52" s="118"/>
      <c r="BK52" s="121"/>
      <c r="BL52" s="315">
        <f t="shared" si="14"/>
        <v>0</v>
      </c>
      <c r="BM52" s="316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723" t="s">
        <v>1</v>
      </c>
      <c r="O53" s="724"/>
      <c r="P53" s="725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9">
        <f t="shared" si="10"/>
        <v>0</v>
      </c>
      <c r="BB53" s="310">
        <f t="shared" si="11"/>
        <v>0</v>
      </c>
      <c r="BC53" s="177" t="s">
        <v>408</v>
      </c>
      <c r="BD53" s="118"/>
      <c r="BE53" s="143"/>
      <c r="BF53" s="121"/>
      <c r="BG53" s="312">
        <f t="shared" si="12"/>
        <v>0</v>
      </c>
      <c r="BH53" s="314">
        <f t="shared" si="13"/>
        <v>0</v>
      </c>
      <c r="BI53" s="178" t="s">
        <v>409</v>
      </c>
      <c r="BJ53" s="118"/>
      <c r="BK53" s="121"/>
      <c r="BL53" s="315">
        <f t="shared" si="14"/>
        <v>0</v>
      </c>
      <c r="BM53" s="316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9">
        <f t="shared" si="10"/>
        <v>0</v>
      </c>
      <c r="BB54" s="310">
        <f t="shared" si="11"/>
        <v>0</v>
      </c>
      <c r="BC54" s="177" t="s">
        <v>408</v>
      </c>
      <c r="BD54" s="118"/>
      <c r="BE54" s="143"/>
      <c r="BF54" s="121"/>
      <c r="BG54" s="312">
        <f t="shared" si="12"/>
        <v>0</v>
      </c>
      <c r="BH54" s="314">
        <f t="shared" si="13"/>
        <v>0</v>
      </c>
      <c r="BI54" s="178" t="s">
        <v>409</v>
      </c>
      <c r="BJ54" s="118"/>
      <c r="BK54" s="121"/>
      <c r="BL54" s="315">
        <f t="shared" si="14"/>
        <v>0</v>
      </c>
      <c r="BM54" s="316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9">
        <f t="shared" si="10"/>
        <v>0</v>
      </c>
      <c r="BB55" s="310">
        <f t="shared" si="11"/>
        <v>0</v>
      </c>
      <c r="BC55" s="177" t="s">
        <v>408</v>
      </c>
      <c r="BD55" s="118"/>
      <c r="BE55" s="143"/>
      <c r="BF55" s="121"/>
      <c r="BG55" s="312">
        <f t="shared" si="12"/>
        <v>0</v>
      </c>
      <c r="BH55" s="314">
        <f t="shared" si="13"/>
        <v>0</v>
      </c>
      <c r="BI55" s="178" t="s">
        <v>409</v>
      </c>
      <c r="BJ55" s="118"/>
      <c r="BK55" s="121"/>
      <c r="BL55" s="315">
        <f t="shared" si="14"/>
        <v>0</v>
      </c>
      <c r="BM55" s="316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9">
        <f t="shared" si="10"/>
        <v>0</v>
      </c>
      <c r="BB56" s="310">
        <f t="shared" si="11"/>
        <v>0</v>
      </c>
      <c r="BC56" s="177" t="s">
        <v>408</v>
      </c>
      <c r="BD56" s="118"/>
      <c r="BE56" s="143"/>
      <c r="BF56" s="121"/>
      <c r="BG56" s="312">
        <f t="shared" si="12"/>
        <v>0</v>
      </c>
      <c r="BH56" s="314">
        <f t="shared" si="13"/>
        <v>0</v>
      </c>
      <c r="BI56" s="178" t="s">
        <v>409</v>
      </c>
      <c r="BJ56" s="118"/>
      <c r="BK56" s="121"/>
      <c r="BL56" s="315">
        <f t="shared" si="14"/>
        <v>0</v>
      </c>
      <c r="BM56" s="316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9">
        <f t="shared" si="10"/>
        <v>0</v>
      </c>
      <c r="BB57" s="310">
        <f t="shared" si="11"/>
        <v>0</v>
      </c>
      <c r="BC57" s="177" t="s">
        <v>408</v>
      </c>
      <c r="BD57" s="118"/>
      <c r="BE57" s="143"/>
      <c r="BF57" s="121"/>
      <c r="BG57" s="312">
        <f t="shared" si="12"/>
        <v>0</v>
      </c>
      <c r="BH57" s="314">
        <f t="shared" si="13"/>
        <v>0</v>
      </c>
      <c r="BI57" s="178" t="s">
        <v>409</v>
      </c>
      <c r="BJ57" s="118"/>
      <c r="BK57" s="121"/>
      <c r="BL57" s="315">
        <f t="shared" si="14"/>
        <v>0</v>
      </c>
      <c r="BM57" s="316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9">
        <f t="shared" si="10"/>
        <v>0</v>
      </c>
      <c r="BB58" s="310">
        <f t="shared" si="11"/>
        <v>0</v>
      </c>
      <c r="BC58" s="177" t="s">
        <v>408</v>
      </c>
      <c r="BD58" s="118"/>
      <c r="BE58" s="143"/>
      <c r="BF58" s="121"/>
      <c r="BG58" s="312">
        <f t="shared" si="12"/>
        <v>0</v>
      </c>
      <c r="BH58" s="314">
        <f t="shared" si="13"/>
        <v>0</v>
      </c>
      <c r="BI58" s="178" t="s">
        <v>409</v>
      </c>
      <c r="BJ58" s="118"/>
      <c r="BK58" s="121"/>
      <c r="BL58" s="315">
        <f t="shared" si="14"/>
        <v>0</v>
      </c>
      <c r="BM58" s="316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9">
        <f t="shared" si="10"/>
        <v>0</v>
      </c>
      <c r="BB59" s="310">
        <f t="shared" si="11"/>
        <v>0</v>
      </c>
      <c r="BC59" s="177" t="s">
        <v>408</v>
      </c>
      <c r="BD59" s="118"/>
      <c r="BE59" s="143"/>
      <c r="BF59" s="121"/>
      <c r="BG59" s="312">
        <f t="shared" si="12"/>
        <v>0</v>
      </c>
      <c r="BH59" s="314">
        <f t="shared" si="13"/>
        <v>0</v>
      </c>
      <c r="BI59" s="178" t="s">
        <v>409</v>
      </c>
      <c r="BJ59" s="118"/>
      <c r="BK59" s="121"/>
      <c r="BL59" s="315">
        <f t="shared" si="14"/>
        <v>0</v>
      </c>
      <c r="BM59" s="316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9">
        <f t="shared" si="10"/>
        <v>0</v>
      </c>
      <c r="BB60" s="310">
        <f t="shared" si="11"/>
        <v>0</v>
      </c>
      <c r="BC60" s="177" t="s">
        <v>408</v>
      </c>
      <c r="BD60" s="118"/>
      <c r="BE60" s="143"/>
      <c r="BF60" s="121"/>
      <c r="BG60" s="312">
        <f t="shared" si="12"/>
        <v>0</v>
      </c>
      <c r="BH60" s="314">
        <f t="shared" si="13"/>
        <v>0</v>
      </c>
      <c r="BI60" s="178" t="s">
        <v>409</v>
      </c>
      <c r="BJ60" s="118"/>
      <c r="BK60" s="121"/>
      <c r="BL60" s="315">
        <f t="shared" si="14"/>
        <v>0</v>
      </c>
      <c r="BM60" s="316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9">
        <f t="shared" si="10"/>
        <v>0</v>
      </c>
      <c r="BB61" s="310">
        <f t="shared" si="11"/>
        <v>0</v>
      </c>
      <c r="BC61" s="177" t="s">
        <v>408</v>
      </c>
      <c r="BD61" s="118"/>
      <c r="BE61" s="143"/>
      <c r="BF61" s="121"/>
      <c r="BG61" s="312">
        <f t="shared" si="12"/>
        <v>0</v>
      </c>
      <c r="BH61" s="314">
        <f t="shared" si="13"/>
        <v>0</v>
      </c>
      <c r="BI61" s="178" t="s">
        <v>409</v>
      </c>
      <c r="BJ61" s="118"/>
      <c r="BK61" s="121"/>
      <c r="BL61" s="315">
        <f t="shared" si="14"/>
        <v>0</v>
      </c>
      <c r="BM61" s="316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9">
        <f t="shared" si="10"/>
        <v>0</v>
      </c>
      <c r="BB62" s="310">
        <f t="shared" si="11"/>
        <v>0</v>
      </c>
      <c r="BC62" s="177" t="s">
        <v>408</v>
      </c>
      <c r="BD62" s="118"/>
      <c r="BE62" s="143"/>
      <c r="BF62" s="121"/>
      <c r="BG62" s="312">
        <f t="shared" si="12"/>
        <v>0</v>
      </c>
      <c r="BH62" s="314">
        <f t="shared" si="13"/>
        <v>0</v>
      </c>
      <c r="BI62" s="178" t="s">
        <v>409</v>
      </c>
      <c r="BJ62" s="118"/>
      <c r="BK62" s="121"/>
      <c r="BL62" s="315">
        <f t="shared" si="14"/>
        <v>0</v>
      </c>
      <c r="BM62" s="316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9">
        <f t="shared" si="10"/>
        <v>0</v>
      </c>
      <c r="BB63" s="310">
        <f t="shared" si="11"/>
        <v>0</v>
      </c>
      <c r="BC63" s="177" t="s">
        <v>408</v>
      </c>
      <c r="BD63" s="118"/>
      <c r="BE63" s="143"/>
      <c r="BF63" s="121"/>
      <c r="BG63" s="312">
        <f t="shared" si="12"/>
        <v>0</v>
      </c>
      <c r="BH63" s="314">
        <f t="shared" si="13"/>
        <v>0</v>
      </c>
      <c r="BI63" s="178" t="s">
        <v>409</v>
      </c>
      <c r="BJ63" s="118"/>
      <c r="BK63" s="121"/>
      <c r="BL63" s="315">
        <f t="shared" si="14"/>
        <v>0</v>
      </c>
      <c r="BM63" s="316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9">
        <f t="shared" si="10"/>
        <v>0</v>
      </c>
      <c r="BB64" s="310">
        <f t="shared" si="11"/>
        <v>0</v>
      </c>
      <c r="BC64" s="177" t="s">
        <v>408</v>
      </c>
      <c r="BD64" s="118"/>
      <c r="BE64" s="143"/>
      <c r="BF64" s="121"/>
      <c r="BG64" s="312">
        <f t="shared" si="12"/>
        <v>0</v>
      </c>
      <c r="BH64" s="314">
        <f t="shared" si="13"/>
        <v>0</v>
      </c>
      <c r="BI64" s="178" t="s">
        <v>409</v>
      </c>
      <c r="BJ64" s="118"/>
      <c r="BK64" s="121"/>
      <c r="BL64" s="315">
        <f t="shared" si="14"/>
        <v>0</v>
      </c>
      <c r="BM64" s="316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9">
        <f t="shared" si="10"/>
        <v>0</v>
      </c>
      <c r="BB65" s="310">
        <f t="shared" si="11"/>
        <v>0</v>
      </c>
      <c r="BC65" s="177" t="s">
        <v>408</v>
      </c>
      <c r="BD65" s="118"/>
      <c r="BE65" s="143"/>
      <c r="BF65" s="121"/>
      <c r="BG65" s="312">
        <f t="shared" si="12"/>
        <v>0</v>
      </c>
      <c r="BH65" s="314">
        <f t="shared" si="13"/>
        <v>0</v>
      </c>
      <c r="BI65" s="178" t="s">
        <v>409</v>
      </c>
      <c r="BJ65" s="118"/>
      <c r="BK65" s="121"/>
      <c r="BL65" s="315">
        <f t="shared" si="14"/>
        <v>0</v>
      </c>
      <c r="BM65" s="316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9">
        <f t="shared" si="10"/>
        <v>0</v>
      </c>
      <c r="BB66" s="310">
        <f t="shared" si="11"/>
        <v>0</v>
      </c>
      <c r="BC66" s="177" t="s">
        <v>408</v>
      </c>
      <c r="BD66" s="118"/>
      <c r="BE66" s="143"/>
      <c r="BF66" s="121"/>
      <c r="BG66" s="312">
        <f t="shared" si="12"/>
        <v>0</v>
      </c>
      <c r="BH66" s="314">
        <f t="shared" si="13"/>
        <v>0</v>
      </c>
      <c r="BI66" s="178" t="s">
        <v>409</v>
      </c>
      <c r="BJ66" s="118"/>
      <c r="BK66" s="121"/>
      <c r="BL66" s="315">
        <f t="shared" si="14"/>
        <v>0</v>
      </c>
      <c r="BM66" s="316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9">
        <f t="shared" si="10"/>
        <v>0</v>
      </c>
      <c r="BB67" s="310">
        <f t="shared" si="11"/>
        <v>0</v>
      </c>
      <c r="BC67" s="177" t="s">
        <v>408</v>
      </c>
      <c r="BD67" s="118"/>
      <c r="BE67" s="143"/>
      <c r="BF67" s="121"/>
      <c r="BG67" s="312">
        <f t="shared" si="12"/>
        <v>0</v>
      </c>
      <c r="BH67" s="314">
        <f t="shared" si="13"/>
        <v>0</v>
      </c>
      <c r="BI67" s="178" t="s">
        <v>409</v>
      </c>
      <c r="BJ67" s="118"/>
      <c r="BK67" s="121"/>
      <c r="BL67" s="315">
        <f t="shared" si="14"/>
        <v>0</v>
      </c>
      <c r="BM67" s="316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9">
        <f t="shared" si="10"/>
        <v>0</v>
      </c>
      <c r="BB68" s="310">
        <f t="shared" si="11"/>
        <v>0</v>
      </c>
      <c r="BC68" s="177" t="s">
        <v>408</v>
      </c>
      <c r="BD68" s="118"/>
      <c r="BE68" s="143"/>
      <c r="BF68" s="121"/>
      <c r="BG68" s="312">
        <f t="shared" si="12"/>
        <v>0</v>
      </c>
      <c r="BH68" s="314">
        <f t="shared" si="13"/>
        <v>0</v>
      </c>
      <c r="BI68" s="178" t="s">
        <v>409</v>
      </c>
      <c r="BJ68" s="118"/>
      <c r="BK68" s="121"/>
      <c r="BL68" s="315">
        <f t="shared" si="14"/>
        <v>0</v>
      </c>
      <c r="BM68" s="316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9">
        <f t="shared" si="10"/>
        <v>0</v>
      </c>
      <c r="BB69" s="310">
        <f t="shared" si="11"/>
        <v>0</v>
      </c>
      <c r="BC69" s="177" t="s">
        <v>408</v>
      </c>
      <c r="BD69" s="118"/>
      <c r="BE69" s="143"/>
      <c r="BF69" s="121"/>
      <c r="BG69" s="312">
        <f t="shared" si="12"/>
        <v>0</v>
      </c>
      <c r="BH69" s="314">
        <f t="shared" si="13"/>
        <v>0</v>
      </c>
      <c r="BI69" s="178" t="s">
        <v>409</v>
      </c>
      <c r="BJ69" s="118"/>
      <c r="BK69" s="121"/>
      <c r="BL69" s="315">
        <f t="shared" si="14"/>
        <v>0</v>
      </c>
      <c r="BM69" s="316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9">
        <f t="shared" si="10"/>
        <v>0</v>
      </c>
      <c r="BB70" s="310">
        <f t="shared" si="11"/>
        <v>0</v>
      </c>
      <c r="BC70" s="177" t="s">
        <v>408</v>
      </c>
      <c r="BD70" s="118"/>
      <c r="BE70" s="143"/>
      <c r="BF70" s="121"/>
      <c r="BG70" s="312">
        <f t="shared" si="12"/>
        <v>0</v>
      </c>
      <c r="BH70" s="314">
        <f t="shared" si="13"/>
        <v>0</v>
      </c>
      <c r="BI70" s="178" t="s">
        <v>409</v>
      </c>
      <c r="BJ70" s="118"/>
      <c r="BK70" s="121"/>
      <c r="BL70" s="315">
        <f t="shared" si="14"/>
        <v>0</v>
      </c>
      <c r="BM70" s="316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9">
        <f t="shared" si="10"/>
        <v>0</v>
      </c>
      <c r="BB71" s="310">
        <f t="shared" si="11"/>
        <v>0</v>
      </c>
      <c r="BC71" s="177" t="s">
        <v>408</v>
      </c>
      <c r="BD71" s="118"/>
      <c r="BE71" s="143"/>
      <c r="BF71" s="121"/>
      <c r="BG71" s="312">
        <f t="shared" si="12"/>
        <v>0</v>
      </c>
      <c r="BH71" s="314">
        <f t="shared" si="13"/>
        <v>0</v>
      </c>
      <c r="BI71" s="178" t="s">
        <v>409</v>
      </c>
      <c r="BJ71" s="118"/>
      <c r="BK71" s="121"/>
      <c r="BL71" s="315">
        <f t="shared" si="14"/>
        <v>0</v>
      </c>
      <c r="BM71" s="316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9">
        <f t="shared" si="10"/>
        <v>0</v>
      </c>
      <c r="BB72" s="310">
        <f t="shared" si="11"/>
        <v>0</v>
      </c>
      <c r="BC72" s="177" t="s">
        <v>408</v>
      </c>
      <c r="BD72" s="118"/>
      <c r="BE72" s="143"/>
      <c r="BF72" s="121"/>
      <c r="BG72" s="312">
        <f t="shared" si="12"/>
        <v>0</v>
      </c>
      <c r="BH72" s="314">
        <f t="shared" si="13"/>
        <v>0</v>
      </c>
      <c r="BI72" s="178" t="s">
        <v>409</v>
      </c>
      <c r="BJ72" s="118"/>
      <c r="BK72" s="121"/>
      <c r="BL72" s="315">
        <f t="shared" si="14"/>
        <v>0</v>
      </c>
      <c r="BM72" s="316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727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7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9">
        <f t="shared" si="10"/>
        <v>0</v>
      </c>
      <c r="BB73" s="310">
        <f t="shared" si="11"/>
        <v>0</v>
      </c>
      <c r="BC73" s="177" t="s">
        <v>408</v>
      </c>
      <c r="BD73" s="118"/>
      <c r="BE73" s="143"/>
      <c r="BF73" s="121"/>
      <c r="BG73" s="312">
        <f t="shared" si="12"/>
        <v>0</v>
      </c>
      <c r="BH73" s="314">
        <f t="shared" si="13"/>
        <v>0</v>
      </c>
      <c r="BI73" s="178" t="s">
        <v>409</v>
      </c>
      <c r="BJ73" s="118"/>
      <c r="BK73" s="121"/>
      <c r="BL73" s="315">
        <f t="shared" si="14"/>
        <v>0</v>
      </c>
      <c r="BM73" s="316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728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7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9">
        <f t="shared" si="10"/>
        <v>0</v>
      </c>
      <c r="BB74" s="310">
        <f t="shared" si="11"/>
        <v>0</v>
      </c>
      <c r="BC74" s="177" t="s">
        <v>408</v>
      </c>
      <c r="BD74" s="118"/>
      <c r="BE74" s="143"/>
      <c r="BF74" s="121"/>
      <c r="BG74" s="312">
        <f t="shared" si="12"/>
        <v>0</v>
      </c>
      <c r="BH74" s="314">
        <f t="shared" si="13"/>
        <v>0</v>
      </c>
      <c r="BI74" s="178" t="s">
        <v>409</v>
      </c>
      <c r="BJ74" s="118"/>
      <c r="BK74" s="121"/>
      <c r="BL74" s="315">
        <f t="shared" si="14"/>
        <v>0</v>
      </c>
      <c r="BM74" s="316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729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8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9">
        <f t="shared" si="10"/>
        <v>0</v>
      </c>
      <c r="BB75" s="310">
        <f t="shared" si="11"/>
        <v>0</v>
      </c>
      <c r="BC75" s="177" t="s">
        <v>408</v>
      </c>
      <c r="BD75" s="118"/>
      <c r="BE75" s="143"/>
      <c r="BF75" s="121"/>
      <c r="BG75" s="312">
        <f t="shared" si="12"/>
        <v>0</v>
      </c>
      <c r="BH75" s="314">
        <f t="shared" si="13"/>
        <v>0</v>
      </c>
      <c r="BI75" s="178" t="s">
        <v>409</v>
      </c>
      <c r="BJ75" s="118"/>
      <c r="BK75" s="121"/>
      <c r="BL75" s="315">
        <f t="shared" si="14"/>
        <v>0</v>
      </c>
      <c r="BM75" s="316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9">
        <f>IFERROR(VLOOKUP("GGAL - 48hs",HomeBroker!$A$14:$F$88,6,0),0)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9">
        <f t="shared" si="10"/>
        <v>0</v>
      </c>
      <c r="BB76" s="310">
        <f t="shared" si="11"/>
        <v>0</v>
      </c>
      <c r="BC76" s="177" t="s">
        <v>408</v>
      </c>
      <c r="BD76" s="118"/>
      <c r="BE76" s="143"/>
      <c r="BF76" s="121"/>
      <c r="BG76" s="312">
        <f t="shared" si="12"/>
        <v>0</v>
      </c>
      <c r="BH76" s="314">
        <f t="shared" si="13"/>
        <v>0</v>
      </c>
      <c r="BI76" s="178" t="s">
        <v>409</v>
      </c>
      <c r="BJ76" s="118"/>
      <c r="BK76" s="121"/>
      <c r="BL76" s="315">
        <f t="shared" si="14"/>
        <v>0</v>
      </c>
      <c r="BM76" s="316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1072" priority="355">
      <formula>T3&gt;0</formula>
    </cfRule>
  </conditionalFormatting>
  <conditionalFormatting sqref="AG3:AG42 U3:U42">
    <cfRule type="expression" dxfId="1071" priority="356">
      <formula>T3&lt;0</formula>
    </cfRule>
  </conditionalFormatting>
  <conditionalFormatting sqref="P3:Q34">
    <cfRule type="cellIs" dxfId="1070" priority="357" operator="greaterThan">
      <formula>0</formula>
    </cfRule>
  </conditionalFormatting>
  <conditionalFormatting sqref="P3:Q34">
    <cfRule type="cellIs" dxfId="1069" priority="358" operator="lessThan">
      <formula>0</formula>
    </cfRule>
  </conditionalFormatting>
  <conditionalFormatting sqref="B73:B74 B17:B18 B20:B30 AF3:AF17">
    <cfRule type="cellIs" dxfId="1068" priority="359" operator="greaterThan">
      <formula>0</formula>
    </cfRule>
  </conditionalFormatting>
  <conditionalFormatting sqref="B73:B74 B17:B18 B20:B30 AF3:AF17">
    <cfRule type="cellIs" dxfId="1067" priority="360" operator="lessThan">
      <formula>0</formula>
    </cfRule>
  </conditionalFormatting>
  <conditionalFormatting sqref="BD61:BD76">
    <cfRule type="cellIs" dxfId="1066" priority="361" operator="greaterThan">
      <formula>0</formula>
    </cfRule>
  </conditionalFormatting>
  <conditionalFormatting sqref="BD61:BD76">
    <cfRule type="cellIs" dxfId="1065" priority="362" operator="lessThan">
      <formula>0</formula>
    </cfRule>
  </conditionalFormatting>
  <conditionalFormatting sqref="BD6:BD8">
    <cfRule type="cellIs" dxfId="1064" priority="363" operator="greaterThan">
      <formula>0</formula>
    </cfRule>
  </conditionalFormatting>
  <conditionalFormatting sqref="BD6:BD8">
    <cfRule type="cellIs" dxfId="1063" priority="364" operator="lessThan">
      <formula>0</formula>
    </cfRule>
  </conditionalFormatting>
  <conditionalFormatting sqref="B43 B17:B18 B41 B20:B30 T3:T42 AF3:AF42">
    <cfRule type="cellIs" dxfId="1062" priority="365" operator="greaterThan">
      <formula>0</formula>
    </cfRule>
  </conditionalFormatting>
  <conditionalFormatting sqref="B43 B17:B18 B41 B20:B30 T3:T42 AF3:AF42">
    <cfRule type="cellIs" dxfId="1061" priority="366" operator="lessThan">
      <formula>0</formula>
    </cfRule>
  </conditionalFormatting>
  <conditionalFormatting sqref="B30">
    <cfRule type="cellIs" dxfId="1060" priority="367" operator="greaterThan">
      <formula>0</formula>
    </cfRule>
  </conditionalFormatting>
  <conditionalFormatting sqref="B30">
    <cfRule type="cellIs" dxfId="1059" priority="368" operator="lessThan">
      <formula>0</formula>
    </cfRule>
  </conditionalFormatting>
  <conditionalFormatting sqref="B75">
    <cfRule type="cellIs" dxfId="1058" priority="369" operator="greaterThan">
      <formula>0</formula>
    </cfRule>
  </conditionalFormatting>
  <conditionalFormatting sqref="B75">
    <cfRule type="cellIs" dxfId="1057" priority="370" operator="lessThan">
      <formula>0</formula>
    </cfRule>
  </conditionalFormatting>
  <conditionalFormatting sqref="BD9">
    <cfRule type="cellIs" dxfId="1056" priority="371" operator="greaterThan">
      <formula>0</formula>
    </cfRule>
  </conditionalFormatting>
  <conditionalFormatting sqref="BD9">
    <cfRule type="cellIs" dxfId="1055" priority="372" operator="lessThan">
      <formula>0</formula>
    </cfRule>
  </conditionalFormatting>
  <conditionalFormatting sqref="AX14:AX16">
    <cfRule type="cellIs" dxfId="1054" priority="373" operator="greaterThan">
      <formula>0</formula>
    </cfRule>
  </conditionalFormatting>
  <conditionalFormatting sqref="AX14:AX16">
    <cfRule type="cellIs" dxfId="1053" priority="374" operator="lessThan">
      <formula>0</formula>
    </cfRule>
  </conditionalFormatting>
  <conditionalFormatting sqref="AX28">
    <cfRule type="cellIs" dxfId="1052" priority="375" operator="greaterThan">
      <formula>0</formula>
    </cfRule>
  </conditionalFormatting>
  <conditionalFormatting sqref="AX28">
    <cfRule type="cellIs" dxfId="1051" priority="376" operator="lessThan">
      <formula>0</formula>
    </cfRule>
  </conditionalFormatting>
  <conditionalFormatting sqref="BD27">
    <cfRule type="cellIs" dxfId="1050" priority="377" operator="greaterThan">
      <formula>0</formula>
    </cfRule>
  </conditionalFormatting>
  <conditionalFormatting sqref="BD27">
    <cfRule type="cellIs" dxfId="1049" priority="378" operator="lessThan">
      <formula>0</formula>
    </cfRule>
  </conditionalFormatting>
  <conditionalFormatting sqref="BD22">
    <cfRule type="cellIs" dxfId="1048" priority="379" operator="greaterThan">
      <formula>0</formula>
    </cfRule>
  </conditionalFormatting>
  <conditionalFormatting sqref="BD22">
    <cfRule type="cellIs" dxfId="1047" priority="380" operator="lessThan">
      <formula>0</formula>
    </cfRule>
  </conditionalFormatting>
  <conditionalFormatting sqref="AX16:AX42">
    <cfRule type="cellIs" dxfId="1046" priority="381" operator="greaterThan">
      <formula>0</formula>
    </cfRule>
  </conditionalFormatting>
  <conditionalFormatting sqref="AX16:AX42">
    <cfRule type="cellIs" dxfId="1045" priority="382" operator="lessThan">
      <formula>0</formula>
    </cfRule>
  </conditionalFormatting>
  <conditionalFormatting sqref="AX24:AX27">
    <cfRule type="cellIs" dxfId="1044" priority="383" operator="greaterThan">
      <formula>0</formula>
    </cfRule>
  </conditionalFormatting>
  <conditionalFormatting sqref="AX24:AX27">
    <cfRule type="cellIs" dxfId="1043" priority="384" operator="lessThan">
      <formula>0</formula>
    </cfRule>
  </conditionalFormatting>
  <conditionalFormatting sqref="BD10:BD11 BD16:BD18 BD20:BD42">
    <cfRule type="cellIs" dxfId="1042" priority="385" operator="greaterThan">
      <formula>0</formula>
    </cfRule>
  </conditionalFormatting>
  <conditionalFormatting sqref="BD10:BD11 BD16:BD18 BD20:BD42">
    <cfRule type="cellIs" dxfId="1041" priority="386" operator="lessThan">
      <formula>0</formula>
    </cfRule>
  </conditionalFormatting>
  <conditionalFormatting sqref="BD12:BD15">
    <cfRule type="cellIs" dxfId="1040" priority="387" operator="greaterThan">
      <formula>0</formula>
    </cfRule>
  </conditionalFormatting>
  <conditionalFormatting sqref="BD12:BD15">
    <cfRule type="cellIs" dxfId="1039" priority="388" operator="lessThan">
      <formula>0</formula>
    </cfRule>
  </conditionalFormatting>
  <conditionalFormatting sqref="BD19">
    <cfRule type="cellIs" dxfId="1038" priority="389" operator="greaterThan">
      <formula>0</formula>
    </cfRule>
  </conditionalFormatting>
  <conditionalFormatting sqref="BD19">
    <cfRule type="cellIs" dxfId="1037" priority="390" operator="lessThan">
      <formula>0</formula>
    </cfRule>
  </conditionalFormatting>
  <conditionalFormatting sqref="AX29:AX36">
    <cfRule type="cellIs" dxfId="1036" priority="391" operator="greaterThan">
      <formula>0</formula>
    </cfRule>
  </conditionalFormatting>
  <conditionalFormatting sqref="AX29:AX36">
    <cfRule type="cellIs" dxfId="1035" priority="392" operator="lessThan">
      <formula>0</formula>
    </cfRule>
  </conditionalFormatting>
  <conditionalFormatting sqref="BD23:BD24">
    <cfRule type="cellIs" dxfId="1034" priority="393" operator="greaterThan">
      <formula>0</formula>
    </cfRule>
  </conditionalFormatting>
  <conditionalFormatting sqref="BD23:BD24">
    <cfRule type="cellIs" dxfId="1033" priority="394" operator="lessThan">
      <formula>0</formula>
    </cfRule>
  </conditionalFormatting>
  <conditionalFormatting sqref="BD25:BD26">
    <cfRule type="cellIs" dxfId="1032" priority="395" operator="greaterThan">
      <formula>0</formula>
    </cfRule>
  </conditionalFormatting>
  <conditionalFormatting sqref="BD25:BD26">
    <cfRule type="cellIs" dxfId="1031" priority="396" operator="lessThan">
      <formula>0</formula>
    </cfRule>
  </conditionalFormatting>
  <conditionalFormatting sqref="AX61:AX76">
    <cfRule type="cellIs" dxfId="1030" priority="397" operator="greaterThan">
      <formula>0</formula>
    </cfRule>
  </conditionalFormatting>
  <conditionalFormatting sqref="AX61:AX76">
    <cfRule type="cellIs" dxfId="1029" priority="398" operator="lessThan">
      <formula>0</formula>
    </cfRule>
  </conditionalFormatting>
  <conditionalFormatting sqref="AX50:AX53 AX55:AX68">
    <cfRule type="cellIs" dxfId="1028" priority="399" operator="greaterThan">
      <formula>0</formula>
    </cfRule>
  </conditionalFormatting>
  <conditionalFormatting sqref="AX50:AX53 AX55:AX68">
    <cfRule type="cellIs" dxfId="1027" priority="400" operator="lessThan">
      <formula>0</formula>
    </cfRule>
  </conditionalFormatting>
  <conditionalFormatting sqref="AX50">
    <cfRule type="cellIs" dxfId="1026" priority="401" operator="greaterThan">
      <formula>0</formula>
    </cfRule>
  </conditionalFormatting>
  <conditionalFormatting sqref="AX50">
    <cfRule type="cellIs" dxfId="1025" priority="402" operator="lessThan">
      <formula>0</formula>
    </cfRule>
  </conditionalFormatting>
  <conditionalFormatting sqref="AX70">
    <cfRule type="cellIs" dxfId="1024" priority="403" operator="greaterThan">
      <formula>0</formula>
    </cfRule>
  </conditionalFormatting>
  <conditionalFormatting sqref="AX70">
    <cfRule type="cellIs" dxfId="1023" priority="404" operator="lessThan">
      <formula>0</formula>
    </cfRule>
  </conditionalFormatting>
  <conditionalFormatting sqref="AX35:AX47 AX50">
    <cfRule type="cellIs" dxfId="1022" priority="405" operator="greaterThan">
      <formula>0</formula>
    </cfRule>
  </conditionalFormatting>
  <conditionalFormatting sqref="AX35:AX47 AX50">
    <cfRule type="cellIs" dxfId="1021" priority="406" operator="lessThan">
      <formula>0</formula>
    </cfRule>
  </conditionalFormatting>
  <conditionalFormatting sqref="AX43:AX47 AX50">
    <cfRule type="cellIs" dxfId="1020" priority="407" operator="greaterThan">
      <formula>0</formula>
    </cfRule>
  </conditionalFormatting>
  <conditionalFormatting sqref="AX43:AX47 AX50">
    <cfRule type="cellIs" dxfId="1019" priority="408" operator="lessThan">
      <formula>0</formula>
    </cfRule>
  </conditionalFormatting>
  <conditionalFormatting sqref="AX69">
    <cfRule type="cellIs" dxfId="1018" priority="409" operator="greaterThan">
      <formula>0</formula>
    </cfRule>
  </conditionalFormatting>
  <conditionalFormatting sqref="AX69">
    <cfRule type="cellIs" dxfId="1017" priority="410" operator="lessThan">
      <formula>0</formula>
    </cfRule>
  </conditionalFormatting>
  <conditionalFormatting sqref="AX59">
    <cfRule type="cellIs" dxfId="1016" priority="411" operator="greaterThan">
      <formula>0</formula>
    </cfRule>
  </conditionalFormatting>
  <conditionalFormatting sqref="AX59">
    <cfRule type="cellIs" dxfId="1015" priority="412" operator="lessThan">
      <formula>0</formula>
    </cfRule>
  </conditionalFormatting>
  <conditionalFormatting sqref="AX47:AX50">
    <cfRule type="cellIs" dxfId="1014" priority="413" operator="greaterThan">
      <formula>0</formula>
    </cfRule>
  </conditionalFormatting>
  <conditionalFormatting sqref="AX47:AX50">
    <cfRule type="cellIs" dxfId="1013" priority="414" operator="lessThan">
      <formula>0</formula>
    </cfRule>
  </conditionalFormatting>
  <conditionalFormatting sqref="AX59">
    <cfRule type="cellIs" dxfId="1012" priority="415" operator="greaterThan">
      <formula>0</formula>
    </cfRule>
  </conditionalFormatting>
  <conditionalFormatting sqref="AX59">
    <cfRule type="cellIs" dxfId="1011" priority="416" operator="lessThan">
      <formula>0</formula>
    </cfRule>
  </conditionalFormatting>
  <conditionalFormatting sqref="AX60">
    <cfRule type="cellIs" dxfId="1010" priority="417" operator="greaterThan">
      <formula>0</formula>
    </cfRule>
  </conditionalFormatting>
  <conditionalFormatting sqref="AX60">
    <cfRule type="cellIs" dxfId="1009" priority="418" operator="lessThan">
      <formula>0</formula>
    </cfRule>
  </conditionalFormatting>
  <conditionalFormatting sqref="AX61:AX63">
    <cfRule type="cellIs" dxfId="1008" priority="419" operator="greaterThan">
      <formula>0</formula>
    </cfRule>
  </conditionalFormatting>
  <conditionalFormatting sqref="AX61:AX63">
    <cfRule type="cellIs" dxfId="1007" priority="420" operator="lessThan">
      <formula>0</formula>
    </cfRule>
  </conditionalFormatting>
  <conditionalFormatting sqref="AX63">
    <cfRule type="cellIs" dxfId="1006" priority="421" operator="greaterThan">
      <formula>0</formula>
    </cfRule>
  </conditionalFormatting>
  <conditionalFormatting sqref="AX63">
    <cfRule type="cellIs" dxfId="1005" priority="422" operator="lessThan">
      <formula>0</formula>
    </cfRule>
  </conditionalFormatting>
  <conditionalFormatting sqref="AX64:AX65">
    <cfRule type="cellIs" dxfId="1004" priority="423" operator="greaterThan">
      <formula>0</formula>
    </cfRule>
  </conditionalFormatting>
  <conditionalFormatting sqref="AX64:AX65">
    <cfRule type="cellIs" dxfId="1003" priority="424" operator="lessThan">
      <formula>0</formula>
    </cfRule>
  </conditionalFormatting>
  <conditionalFormatting sqref="AX52:AX54">
    <cfRule type="cellIs" dxfId="1002" priority="425" operator="greaterThan">
      <formula>0</formula>
    </cfRule>
  </conditionalFormatting>
  <conditionalFormatting sqref="AX52:AX54">
    <cfRule type="cellIs" dxfId="1001" priority="426" operator="lessThan">
      <formula>0</formula>
    </cfRule>
  </conditionalFormatting>
  <conditionalFormatting sqref="AX65">
    <cfRule type="cellIs" dxfId="1000" priority="427" operator="greaterThan">
      <formula>0</formula>
    </cfRule>
  </conditionalFormatting>
  <conditionalFormatting sqref="AX65">
    <cfRule type="cellIs" dxfId="999" priority="428" operator="lessThan">
      <formula>0</formula>
    </cfRule>
  </conditionalFormatting>
  <conditionalFormatting sqref="AX64">
    <cfRule type="cellIs" dxfId="998" priority="429" operator="greaterThan">
      <formula>0</formula>
    </cfRule>
  </conditionalFormatting>
  <conditionalFormatting sqref="AX64">
    <cfRule type="cellIs" dxfId="997" priority="430" operator="lessThan">
      <formula>0</formula>
    </cfRule>
  </conditionalFormatting>
  <conditionalFormatting sqref="AX54">
    <cfRule type="cellIs" dxfId="996" priority="431" operator="greaterThan">
      <formula>0</formula>
    </cfRule>
  </conditionalFormatting>
  <conditionalFormatting sqref="AX54">
    <cfRule type="cellIs" dxfId="995" priority="432" operator="lessThan">
      <formula>0</formula>
    </cfRule>
  </conditionalFormatting>
  <conditionalFormatting sqref="AX54">
    <cfRule type="cellIs" dxfId="994" priority="433" operator="greaterThan">
      <formula>0</formula>
    </cfRule>
  </conditionalFormatting>
  <conditionalFormatting sqref="AX54">
    <cfRule type="cellIs" dxfId="993" priority="434" operator="lessThan">
      <formula>0</formula>
    </cfRule>
  </conditionalFormatting>
  <conditionalFormatting sqref="AX55:AX68">
    <cfRule type="cellIs" dxfId="992" priority="435" operator="greaterThan">
      <formula>0</formula>
    </cfRule>
  </conditionalFormatting>
  <conditionalFormatting sqref="AX55:AX68">
    <cfRule type="cellIs" dxfId="991" priority="436" operator="lessThan">
      <formula>0</formula>
    </cfRule>
  </conditionalFormatting>
  <conditionalFormatting sqref="AX56:AX58">
    <cfRule type="cellIs" dxfId="990" priority="437" operator="greaterThan">
      <formula>0</formula>
    </cfRule>
  </conditionalFormatting>
  <conditionalFormatting sqref="AX56:AX58">
    <cfRule type="cellIs" dxfId="989" priority="438" operator="lessThan">
      <formula>0</formula>
    </cfRule>
  </conditionalFormatting>
  <conditionalFormatting sqref="AX58">
    <cfRule type="cellIs" dxfId="988" priority="439" operator="greaterThan">
      <formula>0</formula>
    </cfRule>
  </conditionalFormatting>
  <conditionalFormatting sqref="AX58">
    <cfRule type="cellIs" dxfId="987" priority="440" operator="lessThan">
      <formula>0</formula>
    </cfRule>
  </conditionalFormatting>
  <conditionalFormatting sqref="AX59:AX60">
    <cfRule type="cellIs" dxfId="986" priority="441" operator="greaterThan">
      <formula>0</formula>
    </cfRule>
  </conditionalFormatting>
  <conditionalFormatting sqref="AX59:AX60">
    <cfRule type="cellIs" dxfId="985" priority="442" operator="lessThan">
      <formula>0</formula>
    </cfRule>
  </conditionalFormatting>
  <conditionalFormatting sqref="BD28:BD29 BD34:BD36 BD38:BD68">
    <cfRule type="cellIs" dxfId="984" priority="443" operator="greaterThan">
      <formula>0</formula>
    </cfRule>
  </conditionalFormatting>
  <conditionalFormatting sqref="BD28:BD29 BD34:BD36 BD38:BD68">
    <cfRule type="cellIs" dxfId="983" priority="444" operator="lessThan">
      <formula>0</formula>
    </cfRule>
  </conditionalFormatting>
  <conditionalFormatting sqref="BD30:BD33">
    <cfRule type="cellIs" dxfId="982" priority="445" operator="greaterThan">
      <formula>0</formula>
    </cfRule>
  </conditionalFormatting>
  <conditionalFormatting sqref="BD30:BD33">
    <cfRule type="cellIs" dxfId="981" priority="446" operator="lessThan">
      <formula>0</formula>
    </cfRule>
  </conditionalFormatting>
  <conditionalFormatting sqref="BD57">
    <cfRule type="cellIs" dxfId="980" priority="447" operator="greaterThan">
      <formula>0</formula>
    </cfRule>
  </conditionalFormatting>
  <conditionalFormatting sqref="BD57">
    <cfRule type="cellIs" dxfId="979" priority="448" operator="lessThan">
      <formula>0</formula>
    </cfRule>
  </conditionalFormatting>
  <conditionalFormatting sqref="BD37">
    <cfRule type="cellIs" dxfId="978" priority="449" operator="greaterThan">
      <formula>0</formula>
    </cfRule>
  </conditionalFormatting>
  <conditionalFormatting sqref="BD37">
    <cfRule type="cellIs" dxfId="977" priority="450" operator="lessThan">
      <formula>0</formula>
    </cfRule>
  </conditionalFormatting>
  <conditionalFormatting sqref="AX5:AX14">
    <cfRule type="cellIs" dxfId="976" priority="451" operator="greaterThan">
      <formula>0</formula>
    </cfRule>
  </conditionalFormatting>
  <conditionalFormatting sqref="AX5:AX14">
    <cfRule type="cellIs" dxfId="975" priority="452" operator="lessThan">
      <formula>0</formula>
    </cfRule>
  </conditionalFormatting>
  <conditionalFormatting sqref="AX13">
    <cfRule type="cellIs" dxfId="974" priority="453" operator="greaterThan">
      <formula>0</formula>
    </cfRule>
  </conditionalFormatting>
  <conditionalFormatting sqref="AX13">
    <cfRule type="cellIs" dxfId="973" priority="454" operator="lessThan">
      <formula>0</formula>
    </cfRule>
  </conditionalFormatting>
  <conditionalFormatting sqref="B65:B72">
    <cfRule type="cellIs" dxfId="972" priority="455" operator="greaterThan">
      <formula>0</formula>
    </cfRule>
  </conditionalFormatting>
  <conditionalFormatting sqref="B65:B72">
    <cfRule type="cellIs" dxfId="971" priority="456" operator="lessThan">
      <formula>0</formula>
    </cfRule>
  </conditionalFormatting>
  <conditionalFormatting sqref="BJ3:BJ76">
    <cfRule type="cellIs" dxfId="970" priority="457" operator="greaterThan">
      <formula>0</formula>
    </cfRule>
  </conditionalFormatting>
  <conditionalFormatting sqref="BJ3:BJ76">
    <cfRule type="cellIs" dxfId="969" priority="458" operator="lessThan">
      <formula>0</formula>
    </cfRule>
  </conditionalFormatting>
  <conditionalFormatting sqref="AX21">
    <cfRule type="cellIs" dxfId="968" priority="459" operator="greaterThan">
      <formula>0</formula>
    </cfRule>
  </conditionalFormatting>
  <conditionalFormatting sqref="AX21">
    <cfRule type="cellIs" dxfId="967" priority="460" operator="lessThan">
      <formula>0</formula>
    </cfRule>
  </conditionalFormatting>
  <conditionalFormatting sqref="AX21">
    <cfRule type="cellIs" dxfId="966" priority="461" operator="greaterThan">
      <formula>0</formula>
    </cfRule>
  </conditionalFormatting>
  <conditionalFormatting sqref="AX21">
    <cfRule type="cellIs" dxfId="965" priority="462" operator="lessThan">
      <formula>0</formula>
    </cfRule>
  </conditionalFormatting>
  <conditionalFormatting sqref="AX14">
    <cfRule type="cellIs" dxfId="964" priority="463" operator="greaterThan">
      <formula>0</formula>
    </cfRule>
  </conditionalFormatting>
  <conditionalFormatting sqref="AX14">
    <cfRule type="cellIs" dxfId="963" priority="464" operator="lessThan">
      <formula>0</formula>
    </cfRule>
  </conditionalFormatting>
  <conditionalFormatting sqref="AX22">
    <cfRule type="cellIs" dxfId="962" priority="465" operator="greaterThan">
      <formula>0</formula>
    </cfRule>
  </conditionalFormatting>
  <conditionalFormatting sqref="AX22">
    <cfRule type="cellIs" dxfId="961" priority="466" operator="lessThan">
      <formula>0</formula>
    </cfRule>
  </conditionalFormatting>
  <conditionalFormatting sqref="AX22">
    <cfRule type="cellIs" dxfId="960" priority="467" operator="greaterThan">
      <formula>0</formula>
    </cfRule>
  </conditionalFormatting>
  <conditionalFormatting sqref="AX22">
    <cfRule type="cellIs" dxfId="959" priority="468" operator="lessThan">
      <formula>0</formula>
    </cfRule>
  </conditionalFormatting>
  <conditionalFormatting sqref="B64">
    <cfRule type="cellIs" dxfId="958" priority="469" operator="greaterThan">
      <formula>0</formula>
    </cfRule>
  </conditionalFormatting>
  <conditionalFormatting sqref="B64">
    <cfRule type="cellIs" dxfId="957" priority="470" operator="lessThan">
      <formula>0</formula>
    </cfRule>
  </conditionalFormatting>
  <conditionalFormatting sqref="B41 B43:B72 AF3:AF42">
    <cfRule type="cellIs" dxfId="956" priority="471" operator="greaterThan">
      <formula>0</formula>
    </cfRule>
  </conditionalFormatting>
  <conditionalFormatting sqref="B41 B43:B72 AF3:AF42">
    <cfRule type="cellIs" dxfId="955" priority="472" operator="lessThan">
      <formula>0</formula>
    </cfRule>
  </conditionalFormatting>
  <conditionalFormatting sqref="B41 B43:B72">
    <cfRule type="cellIs" dxfId="954" priority="473" operator="greaterThan">
      <formula>0</formula>
    </cfRule>
  </conditionalFormatting>
  <conditionalFormatting sqref="B41 B43:B72">
    <cfRule type="cellIs" dxfId="953" priority="474" operator="lessThan">
      <formula>0</formula>
    </cfRule>
  </conditionalFormatting>
  <conditionalFormatting sqref="B29">
    <cfRule type="cellIs" dxfId="952" priority="475" operator="greaterThan">
      <formula>0</formula>
    </cfRule>
  </conditionalFormatting>
  <conditionalFormatting sqref="B29">
    <cfRule type="cellIs" dxfId="951" priority="476" operator="lessThan">
      <formula>0</formula>
    </cfRule>
  </conditionalFormatting>
  <conditionalFormatting sqref="AX3">
    <cfRule type="cellIs" dxfId="950" priority="477" operator="greaterThan">
      <formula>0</formula>
    </cfRule>
  </conditionalFormatting>
  <conditionalFormatting sqref="AX3">
    <cfRule type="cellIs" dxfId="949" priority="478" operator="lessThan">
      <formula>0</formula>
    </cfRule>
  </conditionalFormatting>
  <conditionalFormatting sqref="AX4">
    <cfRule type="cellIs" dxfId="948" priority="479" operator="greaterThan">
      <formula>0</formula>
    </cfRule>
  </conditionalFormatting>
  <conditionalFormatting sqref="AX4">
    <cfRule type="cellIs" dxfId="947" priority="480" operator="lessThan">
      <formula>0</formula>
    </cfRule>
  </conditionalFormatting>
  <conditionalFormatting sqref="BD3">
    <cfRule type="cellIs" dxfId="946" priority="481" operator="greaterThan">
      <formula>0</formula>
    </cfRule>
  </conditionalFormatting>
  <conditionalFormatting sqref="BD3">
    <cfRule type="cellIs" dxfId="945" priority="482" operator="lessThan">
      <formula>0</formula>
    </cfRule>
  </conditionalFormatting>
  <conditionalFormatting sqref="T3:T42 AF3:AF42">
    <cfRule type="cellIs" dxfId="944" priority="483" operator="greaterThan">
      <formula>0</formula>
    </cfRule>
  </conditionalFormatting>
  <conditionalFormatting sqref="T3:T42 AF3:AF42">
    <cfRule type="cellIs" dxfId="943" priority="484" operator="lessThan">
      <formula>0</formula>
    </cfRule>
  </conditionalFormatting>
  <conditionalFormatting sqref="Q37">
    <cfRule type="cellIs" dxfId="942" priority="485" operator="lessThan">
      <formula>0</formula>
    </cfRule>
  </conditionalFormatting>
  <conditionalFormatting sqref="Q37">
    <cfRule type="cellIs" dxfId="941" priority="486" operator="greaterThan">
      <formula>0</formula>
    </cfRule>
  </conditionalFormatting>
  <conditionalFormatting sqref="I3:I37">
    <cfRule type="cellIs" dxfId="940" priority="353" operator="lessThan">
      <formula>0</formula>
    </cfRule>
    <cfRule type="cellIs" dxfId="939" priority="354" operator="greaterThan">
      <formula>0</formula>
    </cfRule>
  </conditionalFormatting>
  <conditionalFormatting sqref="I41:I72">
    <cfRule type="cellIs" dxfId="938" priority="351" operator="lessThan">
      <formula>0</formula>
    </cfRule>
    <cfRule type="cellIs" dxfId="937" priority="352" operator="greaterThan">
      <formula>0</formula>
    </cfRule>
  </conditionalFormatting>
  <conditionalFormatting sqref="I76">
    <cfRule type="cellIs" dxfId="936" priority="349" operator="lessThan">
      <formula>0</formula>
    </cfRule>
    <cfRule type="cellIs" dxfId="935" priority="350" operator="greaterThan">
      <formula>0</formula>
    </cfRule>
  </conditionalFormatting>
  <conditionalFormatting sqref="B5:B6">
    <cfRule type="cellIs" dxfId="934" priority="345" operator="greaterThan">
      <formula>0</formula>
    </cfRule>
  </conditionalFormatting>
  <conditionalFormatting sqref="B5:B6">
    <cfRule type="cellIs" dxfId="933" priority="346" operator="lessThan">
      <formula>0</formula>
    </cfRule>
  </conditionalFormatting>
  <conditionalFormatting sqref="B5:B6">
    <cfRule type="cellIs" dxfId="932" priority="347" operator="greaterThan">
      <formula>0</formula>
    </cfRule>
  </conditionalFormatting>
  <conditionalFormatting sqref="B5:B6">
    <cfRule type="cellIs" dxfId="931" priority="348" operator="lessThan">
      <formula>0</formula>
    </cfRule>
  </conditionalFormatting>
  <conditionalFormatting sqref="K4:L4 K7:L7 K10:L10 K13:L13 K16:L16 K19:L19 K22:L22 K25:L25 K28:L28 K31:L31 K34:L34">
    <cfRule type="cellIs" dxfId="930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929" priority="343" operator="greaterThan">
      <formula>0</formula>
    </cfRule>
  </conditionalFormatting>
  <conditionalFormatting sqref="AE43">
    <cfRule type="cellIs" dxfId="928" priority="340" operator="greaterThan">
      <formula>0</formula>
    </cfRule>
  </conditionalFormatting>
  <conditionalFormatting sqref="AE43">
    <cfRule type="cellIs" dxfId="927" priority="341" operator="lessThan">
      <formula>0</formula>
    </cfRule>
  </conditionalFormatting>
  <conditionalFormatting sqref="Q38">
    <cfRule type="cellIs" dxfId="926" priority="339" operator="lessThan">
      <formula>0</formula>
    </cfRule>
  </conditionalFormatting>
  <conditionalFormatting sqref="Q39">
    <cfRule type="cellIs" dxfId="925" priority="338" operator="lessThan">
      <formula>0</formula>
    </cfRule>
  </conditionalFormatting>
  <conditionalFormatting sqref="J4 J7 J10 J13 J16 J19 J22 J25 J28 J31 J34">
    <cfRule type="cellIs" dxfId="924" priority="337" operator="greaterThan">
      <formula>1.49</formula>
    </cfRule>
  </conditionalFormatting>
  <conditionalFormatting sqref="AD3:AD42">
    <cfRule type="cellIs" dxfId="923" priority="336" operator="equal">
      <formula>0</formula>
    </cfRule>
  </conditionalFormatting>
  <conditionalFormatting sqref="AP3:AP42">
    <cfRule type="cellIs" dxfId="922" priority="335" operator="equal">
      <formula>0</formula>
    </cfRule>
  </conditionalFormatting>
  <conditionalFormatting sqref="AP15:AP42">
    <cfRule type="cellIs" dxfId="921" priority="334" operator="equal">
      <formula>0</formula>
    </cfRule>
  </conditionalFormatting>
  <conditionalFormatting sqref="B42">
    <cfRule type="cellIs" dxfId="920" priority="328" operator="greaterThan">
      <formula>0</formula>
    </cfRule>
  </conditionalFormatting>
  <conditionalFormatting sqref="B42">
    <cfRule type="cellIs" dxfId="919" priority="329" operator="lessThan">
      <formula>0</formula>
    </cfRule>
  </conditionalFormatting>
  <conditionalFormatting sqref="B42">
    <cfRule type="cellIs" dxfId="918" priority="330" operator="greaterThan">
      <formula>0</formula>
    </cfRule>
  </conditionalFormatting>
  <conditionalFormatting sqref="B42">
    <cfRule type="cellIs" dxfId="917" priority="331" operator="lessThan">
      <formula>0</formula>
    </cfRule>
  </conditionalFormatting>
  <conditionalFormatting sqref="B42">
    <cfRule type="cellIs" dxfId="916" priority="332" operator="greaterThan">
      <formula>0</formula>
    </cfRule>
  </conditionalFormatting>
  <conditionalFormatting sqref="B42">
    <cfRule type="cellIs" dxfId="915" priority="333" operator="lessThan">
      <formula>0</formula>
    </cfRule>
  </conditionalFormatting>
  <conditionalFormatting sqref="S3:S42">
    <cfRule type="expression" dxfId="914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913" priority="488" operator="greaterThan">
      <formula>0</formula>
    </cfRule>
  </conditionalFormatting>
  <conditionalFormatting sqref="S3:S42">
    <cfRule type="expression" dxfId="912" priority="325">
      <formula>$O$18-$U3&gt;0</formula>
    </cfRule>
  </conditionalFormatting>
  <conditionalFormatting sqref="AA3:AA42">
    <cfRule type="cellIs" dxfId="911" priority="323" operator="lessThan">
      <formula>V3</formula>
    </cfRule>
    <cfRule type="cellIs" dxfId="910" priority="324" operator="equal">
      <formula>0</formula>
    </cfRule>
  </conditionalFormatting>
  <conditionalFormatting sqref="BD5">
    <cfRule type="cellIs" dxfId="909" priority="319" operator="greaterThan">
      <formula>0</formula>
    </cfRule>
  </conditionalFormatting>
  <conditionalFormatting sqref="BD5">
    <cfRule type="cellIs" dxfId="908" priority="320" operator="lessThan">
      <formula>0</formula>
    </cfRule>
  </conditionalFormatting>
  <conditionalFormatting sqref="BD4">
    <cfRule type="cellIs" dxfId="907" priority="317" operator="greaterThan">
      <formula>0</formula>
    </cfRule>
  </conditionalFormatting>
  <conditionalFormatting sqref="BD4">
    <cfRule type="cellIs" dxfId="906" priority="318" operator="lessThan">
      <formula>0</formula>
    </cfRule>
  </conditionalFormatting>
  <conditionalFormatting sqref="AE3:AE42">
    <cfRule type="expression" dxfId="905" priority="316">
      <formula>$O$18-$AG3&gt;0</formula>
    </cfRule>
  </conditionalFormatting>
  <conditionalFormatting sqref="AE3:AE42">
    <cfRule type="expression" dxfId="904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903" priority="313" operator="equal">
      <formula>0</formula>
    </cfRule>
  </conditionalFormatting>
  <conditionalFormatting sqref="B14">
    <cfRule type="cellIs" dxfId="902" priority="306" operator="greaterThan">
      <formula>0</formula>
    </cfRule>
  </conditionalFormatting>
  <conditionalFormatting sqref="B14">
    <cfRule type="cellIs" dxfId="901" priority="307" operator="lessThan">
      <formula>0</formula>
    </cfRule>
  </conditionalFormatting>
  <conditionalFormatting sqref="B14">
    <cfRule type="cellIs" dxfId="900" priority="308" operator="greaterThan">
      <formula>0</formula>
    </cfRule>
  </conditionalFormatting>
  <conditionalFormatting sqref="B14">
    <cfRule type="cellIs" dxfId="899" priority="309" operator="lessThan">
      <formula>0</formula>
    </cfRule>
  </conditionalFormatting>
  <conditionalFormatting sqref="B13">
    <cfRule type="cellIs" dxfId="898" priority="302" operator="greaterThan">
      <formula>0</formula>
    </cfRule>
  </conditionalFormatting>
  <conditionalFormatting sqref="B13">
    <cfRule type="cellIs" dxfId="897" priority="303" operator="lessThan">
      <formula>0</formula>
    </cfRule>
  </conditionalFormatting>
  <conditionalFormatting sqref="B13">
    <cfRule type="cellIs" dxfId="896" priority="304" operator="greaterThan">
      <formula>0</formula>
    </cfRule>
  </conditionalFormatting>
  <conditionalFormatting sqref="B13">
    <cfRule type="cellIs" dxfId="895" priority="305" operator="lessThan">
      <formula>0</formula>
    </cfRule>
  </conditionalFormatting>
  <conditionalFormatting sqref="B17:B18">
    <cfRule type="cellIs" dxfId="894" priority="298" operator="greaterThan">
      <formula>0</formula>
    </cfRule>
  </conditionalFormatting>
  <conditionalFormatting sqref="B17:B18">
    <cfRule type="cellIs" dxfId="893" priority="299" operator="lessThan">
      <formula>0</formula>
    </cfRule>
  </conditionalFormatting>
  <conditionalFormatting sqref="B17:B18">
    <cfRule type="cellIs" dxfId="892" priority="300" operator="greaterThan">
      <formula>0</formula>
    </cfRule>
  </conditionalFormatting>
  <conditionalFormatting sqref="B17:B18">
    <cfRule type="cellIs" dxfId="891" priority="301" operator="lessThan">
      <formula>0</formula>
    </cfRule>
  </conditionalFormatting>
  <conditionalFormatting sqref="B13:B14">
    <cfRule type="cellIs" dxfId="890" priority="294" operator="greaterThan">
      <formula>0</formula>
    </cfRule>
  </conditionalFormatting>
  <conditionalFormatting sqref="B13:B14">
    <cfRule type="cellIs" dxfId="889" priority="295" operator="lessThan">
      <formula>0</formula>
    </cfRule>
  </conditionalFormatting>
  <conditionalFormatting sqref="B13:B14">
    <cfRule type="cellIs" dxfId="888" priority="296" operator="greaterThan">
      <formula>0</formula>
    </cfRule>
  </conditionalFormatting>
  <conditionalFormatting sqref="B13:B14">
    <cfRule type="cellIs" dxfId="887" priority="297" operator="lessThan">
      <formula>0</formula>
    </cfRule>
  </conditionalFormatting>
  <conditionalFormatting sqref="B5:B6">
    <cfRule type="cellIs" dxfId="886" priority="290" operator="greaterThan">
      <formula>0</formula>
    </cfRule>
  </conditionalFormatting>
  <conditionalFormatting sqref="B5:B6">
    <cfRule type="cellIs" dxfId="885" priority="291" operator="lessThan">
      <formula>0</formula>
    </cfRule>
  </conditionalFormatting>
  <conditionalFormatting sqref="B5:B6">
    <cfRule type="cellIs" dxfId="884" priority="292" operator="greaterThan">
      <formula>0</formula>
    </cfRule>
  </conditionalFormatting>
  <conditionalFormatting sqref="B5:B6">
    <cfRule type="cellIs" dxfId="883" priority="293" operator="lessThan">
      <formula>0</formula>
    </cfRule>
  </conditionalFormatting>
  <conditionalFormatting sqref="B12">
    <cfRule type="cellIs" dxfId="882" priority="230" operator="greaterThan">
      <formula>0</formula>
    </cfRule>
  </conditionalFormatting>
  <conditionalFormatting sqref="B12">
    <cfRule type="cellIs" dxfId="881" priority="231" operator="lessThan">
      <formula>0</formula>
    </cfRule>
  </conditionalFormatting>
  <conditionalFormatting sqref="B12">
    <cfRule type="cellIs" dxfId="880" priority="232" operator="greaterThan">
      <formula>0</formula>
    </cfRule>
  </conditionalFormatting>
  <conditionalFormatting sqref="B12">
    <cfRule type="cellIs" dxfId="879" priority="233" operator="lessThan">
      <formula>0</formula>
    </cfRule>
  </conditionalFormatting>
  <conditionalFormatting sqref="B15:B16">
    <cfRule type="cellIs" dxfId="878" priority="286" operator="greaterThan">
      <formula>0</formula>
    </cfRule>
  </conditionalFormatting>
  <conditionalFormatting sqref="B15:B16">
    <cfRule type="cellIs" dxfId="877" priority="287" operator="lessThan">
      <formula>0</formula>
    </cfRule>
  </conditionalFormatting>
  <conditionalFormatting sqref="B15:B16">
    <cfRule type="cellIs" dxfId="876" priority="288" operator="greaterThan">
      <formula>0</formula>
    </cfRule>
  </conditionalFormatting>
  <conditionalFormatting sqref="B15:B16">
    <cfRule type="cellIs" dxfId="875" priority="289" operator="lessThan">
      <formula>0</formula>
    </cfRule>
  </conditionalFormatting>
  <conditionalFormatting sqref="B16">
    <cfRule type="cellIs" dxfId="874" priority="282" operator="greaterThan">
      <formula>0</formula>
    </cfRule>
  </conditionalFormatting>
  <conditionalFormatting sqref="B16">
    <cfRule type="cellIs" dxfId="873" priority="283" operator="lessThan">
      <formula>0</formula>
    </cfRule>
  </conditionalFormatting>
  <conditionalFormatting sqref="B16">
    <cfRule type="cellIs" dxfId="872" priority="284" operator="greaterThan">
      <formula>0</formula>
    </cfRule>
  </conditionalFormatting>
  <conditionalFormatting sqref="B16">
    <cfRule type="cellIs" dxfId="871" priority="285" operator="lessThan">
      <formula>0</formula>
    </cfRule>
  </conditionalFormatting>
  <conditionalFormatting sqref="B16">
    <cfRule type="cellIs" dxfId="870" priority="278" operator="greaterThan">
      <formula>0</formula>
    </cfRule>
  </conditionalFormatting>
  <conditionalFormatting sqref="B16">
    <cfRule type="cellIs" dxfId="869" priority="279" operator="lessThan">
      <formula>0</formula>
    </cfRule>
  </conditionalFormatting>
  <conditionalFormatting sqref="B16">
    <cfRule type="cellIs" dxfId="868" priority="280" operator="greaterThan">
      <formula>0</formula>
    </cfRule>
  </conditionalFormatting>
  <conditionalFormatting sqref="B16">
    <cfRule type="cellIs" dxfId="867" priority="281" operator="lessThan">
      <formula>0</formula>
    </cfRule>
  </conditionalFormatting>
  <conditionalFormatting sqref="B15">
    <cfRule type="cellIs" dxfId="866" priority="274" operator="greaterThan">
      <formula>0</formula>
    </cfRule>
  </conditionalFormatting>
  <conditionalFormatting sqref="B15">
    <cfRule type="cellIs" dxfId="865" priority="275" operator="lessThan">
      <formula>0</formula>
    </cfRule>
  </conditionalFormatting>
  <conditionalFormatting sqref="B15">
    <cfRule type="cellIs" dxfId="864" priority="276" operator="greaterThan">
      <formula>0</formula>
    </cfRule>
  </conditionalFormatting>
  <conditionalFormatting sqref="B15">
    <cfRule type="cellIs" dxfId="863" priority="277" operator="lessThan">
      <formula>0</formula>
    </cfRule>
  </conditionalFormatting>
  <conditionalFormatting sqref="B15:B16">
    <cfRule type="cellIs" dxfId="862" priority="270" operator="greaterThan">
      <formula>0</formula>
    </cfRule>
  </conditionalFormatting>
  <conditionalFormatting sqref="B15:B16">
    <cfRule type="cellIs" dxfId="861" priority="271" operator="lessThan">
      <formula>0</formula>
    </cfRule>
  </conditionalFormatting>
  <conditionalFormatting sqref="B15:B16">
    <cfRule type="cellIs" dxfId="860" priority="272" operator="greaterThan">
      <formula>0</formula>
    </cfRule>
  </conditionalFormatting>
  <conditionalFormatting sqref="B15:B16">
    <cfRule type="cellIs" dxfId="859" priority="273" operator="lessThan">
      <formula>0</formula>
    </cfRule>
  </conditionalFormatting>
  <conditionalFormatting sqref="B15:B16">
    <cfRule type="cellIs" dxfId="858" priority="266" operator="greaterThan">
      <formula>0</formula>
    </cfRule>
  </conditionalFormatting>
  <conditionalFormatting sqref="B15:B16">
    <cfRule type="cellIs" dxfId="857" priority="267" operator="lessThan">
      <formula>0</formula>
    </cfRule>
  </conditionalFormatting>
  <conditionalFormatting sqref="B15:B16">
    <cfRule type="cellIs" dxfId="856" priority="268" operator="greaterThan">
      <formula>0</formula>
    </cfRule>
  </conditionalFormatting>
  <conditionalFormatting sqref="B15:B16">
    <cfRule type="cellIs" dxfId="855" priority="269" operator="lessThan">
      <formula>0</formula>
    </cfRule>
  </conditionalFormatting>
  <conditionalFormatting sqref="B11:B12">
    <cfRule type="cellIs" dxfId="854" priority="262" operator="greaterThan">
      <formula>0</formula>
    </cfRule>
  </conditionalFormatting>
  <conditionalFormatting sqref="B11:B12">
    <cfRule type="cellIs" dxfId="853" priority="263" operator="lessThan">
      <formula>0</formula>
    </cfRule>
  </conditionalFormatting>
  <conditionalFormatting sqref="B11:B12">
    <cfRule type="cellIs" dxfId="852" priority="264" operator="greaterThan">
      <formula>0</formula>
    </cfRule>
  </conditionalFormatting>
  <conditionalFormatting sqref="B11:B12">
    <cfRule type="cellIs" dxfId="851" priority="265" operator="lessThan">
      <formula>0</formula>
    </cfRule>
  </conditionalFormatting>
  <conditionalFormatting sqref="B11">
    <cfRule type="cellIs" dxfId="850" priority="258" operator="greaterThan">
      <formula>0</formula>
    </cfRule>
  </conditionalFormatting>
  <conditionalFormatting sqref="B11">
    <cfRule type="cellIs" dxfId="849" priority="259" operator="lessThan">
      <formula>0</formula>
    </cfRule>
  </conditionalFormatting>
  <conditionalFormatting sqref="B11">
    <cfRule type="cellIs" dxfId="848" priority="260" operator="greaterThan">
      <formula>0</formula>
    </cfRule>
  </conditionalFormatting>
  <conditionalFormatting sqref="B11">
    <cfRule type="cellIs" dxfId="847" priority="261" operator="lessThan">
      <formula>0</formula>
    </cfRule>
  </conditionalFormatting>
  <conditionalFormatting sqref="B12">
    <cfRule type="cellIs" dxfId="846" priority="254" operator="greaterThan">
      <formula>0</formula>
    </cfRule>
  </conditionalFormatting>
  <conditionalFormatting sqref="B12">
    <cfRule type="cellIs" dxfId="845" priority="255" operator="lessThan">
      <formula>0</formula>
    </cfRule>
  </conditionalFormatting>
  <conditionalFormatting sqref="B12">
    <cfRule type="cellIs" dxfId="844" priority="256" operator="greaterThan">
      <formula>0</formula>
    </cfRule>
  </conditionalFormatting>
  <conditionalFormatting sqref="B12">
    <cfRule type="cellIs" dxfId="843" priority="257" operator="lessThan">
      <formula>0</formula>
    </cfRule>
  </conditionalFormatting>
  <conditionalFormatting sqref="B5:B6">
    <cfRule type="cellIs" dxfId="842" priority="250" operator="greaterThan">
      <formula>0</formula>
    </cfRule>
  </conditionalFormatting>
  <conditionalFormatting sqref="B5:B6">
    <cfRule type="cellIs" dxfId="841" priority="251" operator="lessThan">
      <formula>0</formula>
    </cfRule>
  </conditionalFormatting>
  <conditionalFormatting sqref="B5:B6">
    <cfRule type="cellIs" dxfId="840" priority="252" operator="greaterThan">
      <formula>0</formula>
    </cfRule>
  </conditionalFormatting>
  <conditionalFormatting sqref="B5:B6">
    <cfRule type="cellIs" dxfId="839" priority="253" operator="lessThan">
      <formula>0</formula>
    </cfRule>
  </conditionalFormatting>
  <conditionalFormatting sqref="B5:B6">
    <cfRule type="cellIs" dxfId="838" priority="246" operator="greaterThan">
      <formula>0</formula>
    </cfRule>
  </conditionalFormatting>
  <conditionalFormatting sqref="B5:B6">
    <cfRule type="cellIs" dxfId="837" priority="247" operator="lessThan">
      <formula>0</formula>
    </cfRule>
  </conditionalFormatting>
  <conditionalFormatting sqref="B5:B6">
    <cfRule type="cellIs" dxfId="836" priority="248" operator="greaterThan">
      <formula>0</formula>
    </cfRule>
  </conditionalFormatting>
  <conditionalFormatting sqref="B5:B6">
    <cfRule type="cellIs" dxfId="835" priority="249" operator="lessThan">
      <formula>0</formula>
    </cfRule>
  </conditionalFormatting>
  <conditionalFormatting sqref="B5:B6">
    <cfRule type="cellIs" dxfId="834" priority="242" operator="greaterThan">
      <formula>0</formula>
    </cfRule>
  </conditionalFormatting>
  <conditionalFormatting sqref="B5:B6">
    <cfRule type="cellIs" dxfId="833" priority="243" operator="lessThan">
      <formula>0</formula>
    </cfRule>
  </conditionalFormatting>
  <conditionalFormatting sqref="B5:B6">
    <cfRule type="cellIs" dxfId="832" priority="244" operator="greaterThan">
      <formula>0</formula>
    </cfRule>
  </conditionalFormatting>
  <conditionalFormatting sqref="B5:B6">
    <cfRule type="cellIs" dxfId="831" priority="245" operator="lessThan">
      <formula>0</formula>
    </cfRule>
  </conditionalFormatting>
  <conditionalFormatting sqref="B11:B12">
    <cfRule type="cellIs" dxfId="830" priority="238" operator="greaterThan">
      <formula>0</formula>
    </cfRule>
  </conditionalFormatting>
  <conditionalFormatting sqref="B11:B12">
    <cfRule type="cellIs" dxfId="829" priority="239" operator="lessThan">
      <formula>0</formula>
    </cfRule>
  </conditionalFormatting>
  <conditionalFormatting sqref="B11:B12">
    <cfRule type="cellIs" dxfId="828" priority="240" operator="greaterThan">
      <formula>0</formula>
    </cfRule>
  </conditionalFormatting>
  <conditionalFormatting sqref="B11:B12">
    <cfRule type="cellIs" dxfId="827" priority="241" operator="lessThan">
      <formula>0</formula>
    </cfRule>
  </conditionalFormatting>
  <conditionalFormatting sqref="B12">
    <cfRule type="cellIs" dxfId="826" priority="234" operator="greaterThan">
      <formula>0</formula>
    </cfRule>
  </conditionalFormatting>
  <conditionalFormatting sqref="B12">
    <cfRule type="cellIs" dxfId="825" priority="235" operator="lessThan">
      <formula>0</formula>
    </cfRule>
  </conditionalFormatting>
  <conditionalFormatting sqref="B12">
    <cfRule type="cellIs" dxfId="824" priority="236" operator="greaterThan">
      <formula>0</formula>
    </cfRule>
  </conditionalFormatting>
  <conditionalFormatting sqref="B12">
    <cfRule type="cellIs" dxfId="823" priority="237" operator="lessThan">
      <formula>0</formula>
    </cfRule>
  </conditionalFormatting>
  <conditionalFormatting sqref="B11">
    <cfRule type="cellIs" dxfId="822" priority="226" operator="greaterThan">
      <formula>0</formula>
    </cfRule>
  </conditionalFormatting>
  <conditionalFormatting sqref="B11">
    <cfRule type="cellIs" dxfId="821" priority="227" operator="lessThan">
      <formula>0</formula>
    </cfRule>
  </conditionalFormatting>
  <conditionalFormatting sqref="B11">
    <cfRule type="cellIs" dxfId="820" priority="228" operator="greaterThan">
      <formula>0</formula>
    </cfRule>
  </conditionalFormatting>
  <conditionalFormatting sqref="B11">
    <cfRule type="cellIs" dxfId="819" priority="229" operator="lessThan">
      <formula>0</formula>
    </cfRule>
  </conditionalFormatting>
  <conditionalFormatting sqref="B11:B12">
    <cfRule type="cellIs" dxfId="818" priority="222" operator="greaterThan">
      <formula>0</formula>
    </cfRule>
  </conditionalFormatting>
  <conditionalFormatting sqref="B11:B12">
    <cfRule type="cellIs" dxfId="817" priority="223" operator="lessThan">
      <formula>0</formula>
    </cfRule>
  </conditionalFormatting>
  <conditionalFormatting sqref="B11:B12">
    <cfRule type="cellIs" dxfId="816" priority="224" operator="greaterThan">
      <formula>0</formula>
    </cfRule>
  </conditionalFormatting>
  <conditionalFormatting sqref="B11:B12">
    <cfRule type="cellIs" dxfId="815" priority="225" operator="lessThan">
      <formula>0</formula>
    </cfRule>
  </conditionalFormatting>
  <conditionalFormatting sqref="B11:B12">
    <cfRule type="cellIs" dxfId="814" priority="218" operator="greaterThan">
      <formula>0</formula>
    </cfRule>
  </conditionalFormatting>
  <conditionalFormatting sqref="B11:B12">
    <cfRule type="cellIs" dxfId="813" priority="219" operator="lessThan">
      <formula>0</formula>
    </cfRule>
  </conditionalFormatting>
  <conditionalFormatting sqref="B11:B12">
    <cfRule type="cellIs" dxfId="812" priority="220" operator="greaterThan">
      <formula>0</formula>
    </cfRule>
  </conditionalFormatting>
  <conditionalFormatting sqref="B11:B12">
    <cfRule type="cellIs" dxfId="811" priority="221" operator="lessThan">
      <formula>0</formula>
    </cfRule>
  </conditionalFormatting>
  <conditionalFormatting sqref="B40">
    <cfRule type="cellIs" dxfId="810" priority="212" operator="greaterThan">
      <formula>0</formula>
    </cfRule>
  </conditionalFormatting>
  <conditionalFormatting sqref="B40">
    <cfRule type="cellIs" dxfId="809" priority="213" operator="lessThan">
      <formula>0</formula>
    </cfRule>
  </conditionalFormatting>
  <conditionalFormatting sqref="B40">
    <cfRule type="cellIs" dxfId="808" priority="214" operator="greaterThan">
      <formula>0</formula>
    </cfRule>
  </conditionalFormatting>
  <conditionalFormatting sqref="B40">
    <cfRule type="cellIs" dxfId="807" priority="215" operator="lessThan">
      <formula>0</formula>
    </cfRule>
  </conditionalFormatting>
  <conditionalFormatting sqref="B40">
    <cfRule type="cellIs" dxfId="806" priority="216" operator="greaterThan">
      <formula>0</formula>
    </cfRule>
  </conditionalFormatting>
  <conditionalFormatting sqref="B40">
    <cfRule type="cellIs" dxfId="805" priority="217" operator="lessThan">
      <formula>0</formula>
    </cfRule>
  </conditionalFormatting>
  <conditionalFormatting sqref="I38:I40">
    <cfRule type="cellIs" dxfId="804" priority="210" operator="lessThan">
      <formula>0</formula>
    </cfRule>
    <cfRule type="cellIs" dxfId="803" priority="211" operator="greaterThan">
      <formula>0</formula>
    </cfRule>
  </conditionalFormatting>
  <conditionalFormatting sqref="B38">
    <cfRule type="cellIs" dxfId="802" priority="204" operator="greaterThan">
      <formula>0</formula>
    </cfRule>
  </conditionalFormatting>
  <conditionalFormatting sqref="B38">
    <cfRule type="cellIs" dxfId="801" priority="205" operator="lessThan">
      <formula>0</formula>
    </cfRule>
  </conditionalFormatting>
  <conditionalFormatting sqref="B38">
    <cfRule type="cellIs" dxfId="800" priority="206" operator="greaterThan">
      <formula>0</formula>
    </cfRule>
  </conditionalFormatting>
  <conditionalFormatting sqref="B38">
    <cfRule type="cellIs" dxfId="799" priority="207" operator="lessThan">
      <formula>0</formula>
    </cfRule>
  </conditionalFormatting>
  <conditionalFormatting sqref="B38">
    <cfRule type="cellIs" dxfId="798" priority="208" operator="greaterThan">
      <formula>0</formula>
    </cfRule>
  </conditionalFormatting>
  <conditionalFormatting sqref="B38">
    <cfRule type="cellIs" dxfId="797" priority="209" operator="lessThan">
      <formula>0</formula>
    </cfRule>
  </conditionalFormatting>
  <conditionalFormatting sqref="B39">
    <cfRule type="cellIs" dxfId="796" priority="198" operator="greaterThan">
      <formula>0</formula>
    </cfRule>
  </conditionalFormatting>
  <conditionalFormatting sqref="B39">
    <cfRule type="cellIs" dxfId="795" priority="199" operator="lessThan">
      <formula>0</formula>
    </cfRule>
  </conditionalFormatting>
  <conditionalFormatting sqref="B39">
    <cfRule type="cellIs" dxfId="794" priority="200" operator="greaterThan">
      <formula>0</formula>
    </cfRule>
  </conditionalFormatting>
  <conditionalFormatting sqref="B39">
    <cfRule type="cellIs" dxfId="793" priority="201" operator="lessThan">
      <formula>0</formula>
    </cfRule>
  </conditionalFormatting>
  <conditionalFormatting sqref="B39">
    <cfRule type="cellIs" dxfId="792" priority="202" operator="greaterThan">
      <formula>0</formula>
    </cfRule>
  </conditionalFormatting>
  <conditionalFormatting sqref="B39">
    <cfRule type="cellIs" dxfId="791" priority="203" operator="lessThan">
      <formula>0</formula>
    </cfRule>
  </conditionalFormatting>
  <conditionalFormatting sqref="B31:B34 B37">
    <cfRule type="cellIs" dxfId="790" priority="194" operator="greaterThan">
      <formula>0</formula>
    </cfRule>
  </conditionalFormatting>
  <conditionalFormatting sqref="B31:B34 B37">
    <cfRule type="cellIs" dxfId="789" priority="195" operator="lessThan">
      <formula>0</formula>
    </cfRule>
  </conditionalFormatting>
  <conditionalFormatting sqref="B31:B34 B37">
    <cfRule type="cellIs" dxfId="788" priority="196" operator="greaterThan">
      <formula>0</formula>
    </cfRule>
  </conditionalFormatting>
  <conditionalFormatting sqref="B31:B34 B37">
    <cfRule type="cellIs" dxfId="787" priority="197" operator="lessThan">
      <formula>0</formula>
    </cfRule>
  </conditionalFormatting>
  <conditionalFormatting sqref="B35:B36">
    <cfRule type="cellIs" dxfId="786" priority="186" operator="greaterThan">
      <formula>0</formula>
    </cfRule>
  </conditionalFormatting>
  <conditionalFormatting sqref="B35:B36">
    <cfRule type="cellIs" dxfId="785" priority="187" operator="lessThan">
      <formula>0</formula>
    </cfRule>
  </conditionalFormatting>
  <conditionalFormatting sqref="B35:B36">
    <cfRule type="cellIs" dxfId="784" priority="188" operator="greaterThan">
      <formula>0</formula>
    </cfRule>
  </conditionalFormatting>
  <conditionalFormatting sqref="B35:B36">
    <cfRule type="cellIs" dxfId="783" priority="189" operator="lessThan">
      <formula>0</formula>
    </cfRule>
  </conditionalFormatting>
  <conditionalFormatting sqref="B36">
    <cfRule type="cellIs" dxfId="782" priority="190" operator="greaterThan">
      <formula>0</formula>
    </cfRule>
  </conditionalFormatting>
  <conditionalFormatting sqref="B36">
    <cfRule type="cellIs" dxfId="781" priority="191" operator="lessThan">
      <formula>0</formula>
    </cfRule>
  </conditionalFormatting>
  <conditionalFormatting sqref="B35">
    <cfRule type="cellIs" dxfId="780" priority="192" operator="greaterThan">
      <formula>0</formula>
    </cfRule>
  </conditionalFormatting>
  <conditionalFormatting sqref="B35">
    <cfRule type="cellIs" dxfId="779" priority="193" operator="lessThan">
      <formula>0</formula>
    </cfRule>
  </conditionalFormatting>
  <conditionalFormatting sqref="K39 K41 K43 K45 K47 K49 K51 K53 K55 K57 K59 K61 K63 K65 K67 K69 K71">
    <cfRule type="cellIs" dxfId="778" priority="185" operator="greaterThan">
      <formula>J39</formula>
    </cfRule>
  </conditionalFormatting>
  <conditionalFormatting sqref="J39 J41 J43 J45 J47 J49 J51 J53 J55 J57 J59 J61 J63 J65 J67 J69 J71">
    <cfRule type="cellIs" dxfId="777" priority="184" operator="greaterThan">
      <formula>1.49</formula>
    </cfRule>
  </conditionalFormatting>
  <conditionalFormatting sqref="L39 L41 L43 L45 L47 L49 L51 L53 L55 L57 L59 L61 L63 L65 L67 L69 L71">
    <cfRule type="cellIs" dxfId="776" priority="183" operator="greaterThan">
      <formula>K39</formula>
    </cfRule>
  </conditionalFormatting>
  <conditionalFormatting sqref="B4">
    <cfRule type="cellIs" dxfId="775" priority="176" operator="greaterThan">
      <formula>0</formula>
    </cfRule>
  </conditionalFormatting>
  <conditionalFormatting sqref="B4">
    <cfRule type="cellIs" dxfId="774" priority="177" operator="lessThan">
      <formula>0</formula>
    </cfRule>
  </conditionalFormatting>
  <conditionalFormatting sqref="B4">
    <cfRule type="cellIs" dxfId="773" priority="178" operator="greaterThan">
      <formula>0</formula>
    </cfRule>
  </conditionalFormatting>
  <conditionalFormatting sqref="B4">
    <cfRule type="cellIs" dxfId="772" priority="179" operator="lessThan">
      <formula>0</formula>
    </cfRule>
  </conditionalFormatting>
  <conditionalFormatting sqref="B4">
    <cfRule type="cellIs" dxfId="771" priority="172" operator="greaterThan">
      <formula>0</formula>
    </cfRule>
  </conditionalFormatting>
  <conditionalFormatting sqref="B4">
    <cfRule type="cellIs" dxfId="770" priority="173" operator="lessThan">
      <formula>0</formula>
    </cfRule>
  </conditionalFormatting>
  <conditionalFormatting sqref="B4">
    <cfRule type="cellIs" dxfId="769" priority="174" operator="greaterThan">
      <formula>0</formula>
    </cfRule>
  </conditionalFormatting>
  <conditionalFormatting sqref="B4">
    <cfRule type="cellIs" dxfId="768" priority="175" operator="lessThan">
      <formula>0</formula>
    </cfRule>
  </conditionalFormatting>
  <conditionalFormatting sqref="B4">
    <cfRule type="cellIs" dxfId="767" priority="168" operator="greaterThan">
      <formula>0</formula>
    </cfRule>
  </conditionalFormatting>
  <conditionalFormatting sqref="B4">
    <cfRule type="cellIs" dxfId="766" priority="169" operator="lessThan">
      <formula>0</formula>
    </cfRule>
  </conditionalFormatting>
  <conditionalFormatting sqref="B4">
    <cfRule type="cellIs" dxfId="765" priority="170" operator="greaterThan">
      <formula>0</formula>
    </cfRule>
  </conditionalFormatting>
  <conditionalFormatting sqref="B4">
    <cfRule type="cellIs" dxfId="764" priority="171" operator="lessThan">
      <formula>0</formula>
    </cfRule>
  </conditionalFormatting>
  <conditionalFormatting sqref="B4">
    <cfRule type="cellIs" dxfId="763" priority="164" operator="greaterThan">
      <formula>0</formula>
    </cfRule>
  </conditionalFormatting>
  <conditionalFormatting sqref="B4">
    <cfRule type="cellIs" dxfId="762" priority="165" operator="lessThan">
      <formula>0</formula>
    </cfRule>
  </conditionalFormatting>
  <conditionalFormatting sqref="B4">
    <cfRule type="cellIs" dxfId="761" priority="166" operator="greaterThan">
      <formula>0</formula>
    </cfRule>
  </conditionalFormatting>
  <conditionalFormatting sqref="B4">
    <cfRule type="cellIs" dxfId="760" priority="167" operator="lessThan">
      <formula>0</formula>
    </cfRule>
  </conditionalFormatting>
  <conditionalFormatting sqref="B4">
    <cfRule type="cellIs" dxfId="759" priority="160" operator="greaterThan">
      <formula>0</formula>
    </cfRule>
  </conditionalFormatting>
  <conditionalFormatting sqref="B4">
    <cfRule type="cellIs" dxfId="758" priority="161" operator="lessThan">
      <formula>0</formula>
    </cfRule>
  </conditionalFormatting>
  <conditionalFormatting sqref="B4">
    <cfRule type="cellIs" dxfId="757" priority="162" operator="greaterThan">
      <formula>0</formula>
    </cfRule>
  </conditionalFormatting>
  <conditionalFormatting sqref="B4">
    <cfRule type="cellIs" dxfId="756" priority="163" operator="lessThan">
      <formula>0</formula>
    </cfRule>
  </conditionalFormatting>
  <conditionalFormatting sqref="B4">
    <cfRule type="cellIs" dxfId="755" priority="156" operator="greaterThan">
      <formula>0</formula>
    </cfRule>
  </conditionalFormatting>
  <conditionalFormatting sqref="B4">
    <cfRule type="cellIs" dxfId="754" priority="157" operator="lessThan">
      <formula>0</formula>
    </cfRule>
  </conditionalFormatting>
  <conditionalFormatting sqref="B4">
    <cfRule type="cellIs" dxfId="753" priority="158" operator="greaterThan">
      <formula>0</formula>
    </cfRule>
  </conditionalFormatting>
  <conditionalFormatting sqref="B4">
    <cfRule type="cellIs" dxfId="752" priority="159" operator="lessThan">
      <formula>0</formula>
    </cfRule>
  </conditionalFormatting>
  <conditionalFormatting sqref="B4">
    <cfRule type="cellIs" dxfId="751" priority="152" operator="greaterThan">
      <formula>0</formula>
    </cfRule>
  </conditionalFormatting>
  <conditionalFormatting sqref="B4">
    <cfRule type="cellIs" dxfId="750" priority="153" operator="lessThan">
      <formula>0</formula>
    </cfRule>
  </conditionalFormatting>
  <conditionalFormatting sqref="B4">
    <cfRule type="cellIs" dxfId="749" priority="154" operator="greaterThan">
      <formula>0</formula>
    </cfRule>
  </conditionalFormatting>
  <conditionalFormatting sqref="B4">
    <cfRule type="cellIs" dxfId="748" priority="155" operator="lessThan">
      <formula>0</formula>
    </cfRule>
  </conditionalFormatting>
  <conditionalFormatting sqref="B4">
    <cfRule type="cellIs" dxfId="747" priority="148" operator="greaterThan">
      <formula>0</formula>
    </cfRule>
  </conditionalFormatting>
  <conditionalFormatting sqref="B4">
    <cfRule type="cellIs" dxfId="746" priority="149" operator="lessThan">
      <formula>0</formula>
    </cfRule>
  </conditionalFormatting>
  <conditionalFormatting sqref="B4">
    <cfRule type="cellIs" dxfId="745" priority="150" operator="greaterThan">
      <formula>0</formula>
    </cfRule>
  </conditionalFormatting>
  <conditionalFormatting sqref="B4">
    <cfRule type="cellIs" dxfId="744" priority="151" operator="lessThan">
      <formula>0</formula>
    </cfRule>
  </conditionalFormatting>
  <conditionalFormatting sqref="B4">
    <cfRule type="cellIs" dxfId="743" priority="144" operator="greaterThan">
      <formula>0</formula>
    </cfRule>
  </conditionalFormatting>
  <conditionalFormatting sqref="B4">
    <cfRule type="cellIs" dxfId="742" priority="145" operator="lessThan">
      <formula>0</formula>
    </cfRule>
  </conditionalFormatting>
  <conditionalFormatting sqref="B4">
    <cfRule type="cellIs" dxfId="741" priority="146" operator="greaterThan">
      <formula>0</formula>
    </cfRule>
  </conditionalFormatting>
  <conditionalFormatting sqref="B4">
    <cfRule type="cellIs" dxfId="740" priority="147" operator="lessThan">
      <formula>0</formula>
    </cfRule>
  </conditionalFormatting>
  <conditionalFormatting sqref="B8">
    <cfRule type="cellIs" dxfId="739" priority="140" operator="greaterThan">
      <formula>0</formula>
    </cfRule>
  </conditionalFormatting>
  <conditionalFormatting sqref="B8">
    <cfRule type="cellIs" dxfId="738" priority="141" operator="lessThan">
      <formula>0</formula>
    </cfRule>
  </conditionalFormatting>
  <conditionalFormatting sqref="B8">
    <cfRule type="cellIs" dxfId="737" priority="142" operator="greaterThan">
      <formula>0</formula>
    </cfRule>
  </conditionalFormatting>
  <conditionalFormatting sqref="B8">
    <cfRule type="cellIs" dxfId="736" priority="143" operator="lessThan">
      <formula>0</formula>
    </cfRule>
  </conditionalFormatting>
  <conditionalFormatting sqref="B8">
    <cfRule type="cellIs" dxfId="735" priority="136" operator="greaterThan">
      <formula>0</formula>
    </cfRule>
  </conditionalFormatting>
  <conditionalFormatting sqref="B8">
    <cfRule type="cellIs" dxfId="734" priority="137" operator="lessThan">
      <formula>0</formula>
    </cfRule>
  </conditionalFormatting>
  <conditionalFormatting sqref="B8">
    <cfRule type="cellIs" dxfId="733" priority="138" operator="greaterThan">
      <formula>0</formula>
    </cfRule>
  </conditionalFormatting>
  <conditionalFormatting sqref="B8">
    <cfRule type="cellIs" dxfId="732" priority="139" operator="lessThan">
      <formula>0</formula>
    </cfRule>
  </conditionalFormatting>
  <conditionalFormatting sqref="B6:B7">
    <cfRule type="cellIs" dxfId="731" priority="92" operator="greaterThan">
      <formula>0</formula>
    </cfRule>
  </conditionalFormatting>
  <conditionalFormatting sqref="B6:B7">
    <cfRule type="cellIs" dxfId="730" priority="93" operator="lessThan">
      <formula>0</formula>
    </cfRule>
  </conditionalFormatting>
  <conditionalFormatting sqref="B6:B7">
    <cfRule type="cellIs" dxfId="729" priority="94" operator="greaterThan">
      <formula>0</formula>
    </cfRule>
  </conditionalFormatting>
  <conditionalFormatting sqref="B6:B7">
    <cfRule type="cellIs" dxfId="728" priority="95" operator="lessThan">
      <formula>0</formula>
    </cfRule>
  </conditionalFormatting>
  <conditionalFormatting sqref="B9:B10">
    <cfRule type="cellIs" dxfId="727" priority="132" operator="greaterThan">
      <formula>0</formula>
    </cfRule>
  </conditionalFormatting>
  <conditionalFormatting sqref="B9:B10">
    <cfRule type="cellIs" dxfId="726" priority="133" operator="lessThan">
      <formula>0</formula>
    </cfRule>
  </conditionalFormatting>
  <conditionalFormatting sqref="B9:B10">
    <cfRule type="cellIs" dxfId="725" priority="134" operator="greaterThan">
      <formula>0</formula>
    </cfRule>
  </conditionalFormatting>
  <conditionalFormatting sqref="B9:B10">
    <cfRule type="cellIs" dxfId="724" priority="135" operator="lessThan">
      <formula>0</formula>
    </cfRule>
  </conditionalFormatting>
  <conditionalFormatting sqref="B10">
    <cfRule type="cellIs" dxfId="723" priority="128" operator="greaterThan">
      <formula>0</formula>
    </cfRule>
  </conditionalFormatting>
  <conditionalFormatting sqref="B10">
    <cfRule type="cellIs" dxfId="722" priority="129" operator="lessThan">
      <formula>0</formula>
    </cfRule>
  </conditionalFormatting>
  <conditionalFormatting sqref="B10">
    <cfRule type="cellIs" dxfId="721" priority="130" operator="greaterThan">
      <formula>0</formula>
    </cfRule>
  </conditionalFormatting>
  <conditionalFormatting sqref="B10">
    <cfRule type="cellIs" dxfId="720" priority="131" operator="lessThan">
      <formula>0</formula>
    </cfRule>
  </conditionalFormatting>
  <conditionalFormatting sqref="B10">
    <cfRule type="cellIs" dxfId="719" priority="124" operator="greaterThan">
      <formula>0</formula>
    </cfRule>
  </conditionalFormatting>
  <conditionalFormatting sqref="B10">
    <cfRule type="cellIs" dxfId="718" priority="125" operator="lessThan">
      <formula>0</formula>
    </cfRule>
  </conditionalFormatting>
  <conditionalFormatting sqref="B10">
    <cfRule type="cellIs" dxfId="717" priority="126" operator="greaterThan">
      <formula>0</formula>
    </cfRule>
  </conditionalFormatting>
  <conditionalFormatting sqref="B10">
    <cfRule type="cellIs" dxfId="716" priority="127" operator="lessThan">
      <formula>0</formula>
    </cfRule>
  </conditionalFormatting>
  <conditionalFormatting sqref="B9">
    <cfRule type="cellIs" dxfId="715" priority="120" operator="greaterThan">
      <formula>0</formula>
    </cfRule>
  </conditionalFormatting>
  <conditionalFormatting sqref="B9">
    <cfRule type="cellIs" dxfId="714" priority="121" operator="lessThan">
      <formula>0</formula>
    </cfRule>
  </conditionalFormatting>
  <conditionalFormatting sqref="B9">
    <cfRule type="cellIs" dxfId="713" priority="122" operator="greaterThan">
      <formula>0</formula>
    </cfRule>
  </conditionalFormatting>
  <conditionalFormatting sqref="B9">
    <cfRule type="cellIs" dxfId="712" priority="123" operator="lessThan">
      <formula>0</formula>
    </cfRule>
  </conditionalFormatting>
  <conditionalFormatting sqref="B9:B10">
    <cfRule type="cellIs" dxfId="711" priority="116" operator="greaterThan">
      <formula>0</formula>
    </cfRule>
  </conditionalFormatting>
  <conditionalFormatting sqref="B9:B10">
    <cfRule type="cellIs" dxfId="710" priority="117" operator="lessThan">
      <formula>0</formula>
    </cfRule>
  </conditionalFormatting>
  <conditionalFormatting sqref="B9:B10">
    <cfRule type="cellIs" dxfId="709" priority="118" operator="greaterThan">
      <formula>0</formula>
    </cfRule>
  </conditionalFormatting>
  <conditionalFormatting sqref="B9:B10">
    <cfRule type="cellIs" dxfId="708" priority="119" operator="lessThan">
      <formula>0</formula>
    </cfRule>
  </conditionalFormatting>
  <conditionalFormatting sqref="B9:B10">
    <cfRule type="cellIs" dxfId="707" priority="112" operator="greaterThan">
      <formula>0</formula>
    </cfRule>
  </conditionalFormatting>
  <conditionalFormatting sqref="B9:B10">
    <cfRule type="cellIs" dxfId="706" priority="113" operator="lessThan">
      <formula>0</formula>
    </cfRule>
  </conditionalFormatting>
  <conditionalFormatting sqref="B9:B10">
    <cfRule type="cellIs" dxfId="705" priority="114" operator="greaterThan">
      <formula>0</formula>
    </cfRule>
  </conditionalFormatting>
  <conditionalFormatting sqref="B9:B10">
    <cfRule type="cellIs" dxfId="704" priority="115" operator="lessThan">
      <formula>0</formula>
    </cfRule>
  </conditionalFormatting>
  <conditionalFormatting sqref="B6:B7">
    <cfRule type="cellIs" dxfId="703" priority="108" operator="greaterThan">
      <formula>0</formula>
    </cfRule>
  </conditionalFormatting>
  <conditionalFormatting sqref="B6:B7">
    <cfRule type="cellIs" dxfId="702" priority="109" operator="lessThan">
      <formula>0</formula>
    </cfRule>
  </conditionalFormatting>
  <conditionalFormatting sqref="B6:B7">
    <cfRule type="cellIs" dxfId="701" priority="110" operator="greaterThan">
      <formula>0</formula>
    </cfRule>
  </conditionalFormatting>
  <conditionalFormatting sqref="B6:B7">
    <cfRule type="cellIs" dxfId="700" priority="111" operator="lessThan">
      <formula>0</formula>
    </cfRule>
  </conditionalFormatting>
  <conditionalFormatting sqref="B6:B7">
    <cfRule type="cellIs" dxfId="699" priority="104" operator="greaterThan">
      <formula>0</formula>
    </cfRule>
  </conditionalFormatting>
  <conditionalFormatting sqref="B6:B7">
    <cfRule type="cellIs" dxfId="698" priority="105" operator="lessThan">
      <formula>0</formula>
    </cfRule>
  </conditionalFormatting>
  <conditionalFormatting sqref="B6:B7">
    <cfRule type="cellIs" dxfId="697" priority="106" operator="greaterThan">
      <formula>0</formula>
    </cfRule>
  </conditionalFormatting>
  <conditionalFormatting sqref="B6:B7">
    <cfRule type="cellIs" dxfId="696" priority="107" operator="lessThan">
      <formula>0</formula>
    </cfRule>
  </conditionalFormatting>
  <conditionalFormatting sqref="B6:B7">
    <cfRule type="cellIs" dxfId="695" priority="100" operator="greaterThan">
      <formula>0</formula>
    </cfRule>
  </conditionalFormatting>
  <conditionalFormatting sqref="B6:B7">
    <cfRule type="cellIs" dxfId="694" priority="101" operator="lessThan">
      <formula>0</formula>
    </cfRule>
  </conditionalFormatting>
  <conditionalFormatting sqref="B6:B7">
    <cfRule type="cellIs" dxfId="693" priority="102" operator="greaterThan">
      <formula>0</formula>
    </cfRule>
  </conditionalFormatting>
  <conditionalFormatting sqref="B6:B7">
    <cfRule type="cellIs" dxfId="692" priority="103" operator="lessThan">
      <formula>0</formula>
    </cfRule>
  </conditionalFormatting>
  <conditionalFormatting sqref="B6:B7">
    <cfRule type="cellIs" dxfId="691" priority="96" operator="greaterThan">
      <formula>0</formula>
    </cfRule>
  </conditionalFormatting>
  <conditionalFormatting sqref="B6:B7">
    <cfRule type="cellIs" dxfId="690" priority="97" operator="lessThan">
      <formula>0</formula>
    </cfRule>
  </conditionalFormatting>
  <conditionalFormatting sqref="B6:B7">
    <cfRule type="cellIs" dxfId="689" priority="98" operator="greaterThan">
      <formula>0</formula>
    </cfRule>
  </conditionalFormatting>
  <conditionalFormatting sqref="B6:B7">
    <cfRule type="cellIs" dxfId="688" priority="99" operator="lessThan">
      <formula>0</formula>
    </cfRule>
  </conditionalFormatting>
  <conditionalFormatting sqref="B6:B7">
    <cfRule type="cellIs" dxfId="687" priority="88" operator="greaterThan">
      <formula>0</formula>
    </cfRule>
  </conditionalFormatting>
  <conditionalFormatting sqref="B6:B7">
    <cfRule type="cellIs" dxfId="686" priority="89" operator="lessThan">
      <formula>0</formula>
    </cfRule>
  </conditionalFormatting>
  <conditionalFormatting sqref="B6:B7">
    <cfRule type="cellIs" dxfId="685" priority="90" operator="greaterThan">
      <formula>0</formula>
    </cfRule>
  </conditionalFormatting>
  <conditionalFormatting sqref="B6:B7">
    <cfRule type="cellIs" dxfId="684" priority="91" operator="lessThan">
      <formula>0</formula>
    </cfRule>
  </conditionalFormatting>
  <conditionalFormatting sqref="B6:B7">
    <cfRule type="cellIs" dxfId="683" priority="84" operator="greaterThan">
      <formula>0</formula>
    </cfRule>
  </conditionalFormatting>
  <conditionalFormatting sqref="B6:B7">
    <cfRule type="cellIs" dxfId="682" priority="85" operator="lessThan">
      <formula>0</formula>
    </cfRule>
  </conditionalFormatting>
  <conditionalFormatting sqref="B6:B7">
    <cfRule type="cellIs" dxfId="681" priority="86" operator="greaterThan">
      <formula>0</formula>
    </cfRule>
  </conditionalFormatting>
  <conditionalFormatting sqref="B6:B7">
    <cfRule type="cellIs" dxfId="680" priority="87" operator="lessThan">
      <formula>0</formula>
    </cfRule>
  </conditionalFormatting>
  <conditionalFormatting sqref="L2:M2">
    <cfRule type="cellIs" dxfId="679" priority="82" operator="lessThan">
      <formula>0</formula>
    </cfRule>
    <cfRule type="cellIs" dxfId="678" priority="83" operator="greaterThan">
      <formula>0</formula>
    </cfRule>
  </conditionalFormatting>
  <conditionalFormatting sqref="B19">
    <cfRule type="cellIs" dxfId="677" priority="78" operator="greaterThan">
      <formula>0</formula>
    </cfRule>
  </conditionalFormatting>
  <conditionalFormatting sqref="B19">
    <cfRule type="cellIs" dxfId="676" priority="79" operator="lessThan">
      <formula>0</formula>
    </cfRule>
  </conditionalFormatting>
  <conditionalFormatting sqref="B19">
    <cfRule type="cellIs" dxfId="675" priority="80" operator="greaterThan">
      <formula>0</formula>
    </cfRule>
  </conditionalFormatting>
  <conditionalFormatting sqref="B19">
    <cfRule type="cellIs" dxfId="674" priority="81" operator="lessThan">
      <formula>0</formula>
    </cfRule>
  </conditionalFormatting>
  <conditionalFormatting sqref="B19">
    <cfRule type="cellIs" dxfId="673" priority="74" operator="greaterThan">
      <formula>0</formula>
    </cfRule>
  </conditionalFormatting>
  <conditionalFormatting sqref="B19">
    <cfRule type="cellIs" dxfId="672" priority="75" operator="lessThan">
      <formula>0</formula>
    </cfRule>
  </conditionalFormatting>
  <conditionalFormatting sqref="B19">
    <cfRule type="cellIs" dxfId="671" priority="76" operator="greaterThan">
      <formula>0</formula>
    </cfRule>
  </conditionalFormatting>
  <conditionalFormatting sqref="B19">
    <cfRule type="cellIs" dxfId="670" priority="77" operator="lessThan">
      <formula>0</formula>
    </cfRule>
  </conditionalFormatting>
  <conditionalFormatting sqref="B3">
    <cfRule type="cellIs" dxfId="669" priority="70" operator="greaterThan">
      <formula>0</formula>
    </cfRule>
  </conditionalFormatting>
  <conditionalFormatting sqref="B3">
    <cfRule type="cellIs" dxfId="668" priority="71" operator="lessThan">
      <formula>0</formula>
    </cfRule>
  </conditionalFormatting>
  <conditionalFormatting sqref="B3">
    <cfRule type="cellIs" dxfId="667" priority="72" operator="greaterThan">
      <formula>0</formula>
    </cfRule>
  </conditionalFormatting>
  <conditionalFormatting sqref="B3">
    <cfRule type="cellIs" dxfId="666" priority="73" operator="lessThan">
      <formula>0</formula>
    </cfRule>
  </conditionalFormatting>
  <conditionalFormatting sqref="B3">
    <cfRule type="cellIs" dxfId="665" priority="66" operator="greaterThan">
      <formula>0</formula>
    </cfRule>
  </conditionalFormatting>
  <conditionalFormatting sqref="B3">
    <cfRule type="cellIs" dxfId="664" priority="67" operator="lessThan">
      <formula>0</formula>
    </cfRule>
  </conditionalFormatting>
  <conditionalFormatting sqref="B3">
    <cfRule type="cellIs" dxfId="663" priority="68" operator="greaterThan">
      <formula>0</formula>
    </cfRule>
  </conditionalFormatting>
  <conditionalFormatting sqref="B3">
    <cfRule type="cellIs" dxfId="662" priority="69" operator="lessThan">
      <formula>0</formula>
    </cfRule>
  </conditionalFormatting>
  <conditionalFormatting sqref="B3">
    <cfRule type="cellIs" dxfId="661" priority="62" operator="greaterThan">
      <formula>0</formula>
    </cfRule>
  </conditionalFormatting>
  <conditionalFormatting sqref="B3">
    <cfRule type="cellIs" dxfId="660" priority="63" operator="lessThan">
      <formula>0</formula>
    </cfRule>
  </conditionalFormatting>
  <conditionalFormatting sqref="B3">
    <cfRule type="cellIs" dxfId="659" priority="64" operator="greaterThan">
      <formula>0</formula>
    </cfRule>
  </conditionalFormatting>
  <conditionalFormatting sqref="B3">
    <cfRule type="cellIs" dxfId="658" priority="65" operator="lessThan">
      <formula>0</formula>
    </cfRule>
  </conditionalFormatting>
  <conditionalFormatting sqref="B3">
    <cfRule type="cellIs" dxfId="657" priority="58" operator="greaterThan">
      <formula>0</formula>
    </cfRule>
  </conditionalFormatting>
  <conditionalFormatting sqref="B3">
    <cfRule type="cellIs" dxfId="656" priority="59" operator="lessThan">
      <formula>0</formula>
    </cfRule>
  </conditionalFormatting>
  <conditionalFormatting sqref="B3">
    <cfRule type="cellIs" dxfId="655" priority="60" operator="greaterThan">
      <formula>0</formula>
    </cfRule>
  </conditionalFormatting>
  <conditionalFormatting sqref="B3">
    <cfRule type="cellIs" dxfId="654" priority="61" operator="lessThan">
      <formula>0</formula>
    </cfRule>
  </conditionalFormatting>
  <conditionalFormatting sqref="B7">
    <cfRule type="cellIs" dxfId="653" priority="54" operator="greaterThan">
      <formula>0</formula>
    </cfRule>
  </conditionalFormatting>
  <conditionalFormatting sqref="B7">
    <cfRule type="cellIs" dxfId="652" priority="55" operator="lessThan">
      <formula>0</formula>
    </cfRule>
  </conditionalFormatting>
  <conditionalFormatting sqref="B7">
    <cfRule type="cellIs" dxfId="651" priority="56" operator="greaterThan">
      <formula>0</formula>
    </cfRule>
  </conditionalFormatting>
  <conditionalFormatting sqref="B7">
    <cfRule type="cellIs" dxfId="650" priority="57" operator="lessThan">
      <formula>0</formula>
    </cfRule>
  </conditionalFormatting>
  <conditionalFormatting sqref="B7">
    <cfRule type="cellIs" dxfId="649" priority="50" operator="greaterThan">
      <formula>0</formula>
    </cfRule>
  </conditionalFormatting>
  <conditionalFormatting sqref="B7">
    <cfRule type="cellIs" dxfId="648" priority="51" operator="lessThan">
      <formula>0</formula>
    </cfRule>
  </conditionalFormatting>
  <conditionalFormatting sqref="B7">
    <cfRule type="cellIs" dxfId="647" priority="52" operator="greaterThan">
      <formula>0</formula>
    </cfRule>
  </conditionalFormatting>
  <conditionalFormatting sqref="B7">
    <cfRule type="cellIs" dxfId="646" priority="53" operator="lessThan">
      <formula>0</formula>
    </cfRule>
  </conditionalFormatting>
  <conditionalFormatting sqref="B7">
    <cfRule type="cellIs" dxfId="645" priority="46" operator="greaterThan">
      <formula>0</formula>
    </cfRule>
  </conditionalFormatting>
  <conditionalFormatting sqref="B7">
    <cfRule type="cellIs" dxfId="644" priority="47" operator="lessThan">
      <formula>0</formula>
    </cfRule>
  </conditionalFormatting>
  <conditionalFormatting sqref="B7">
    <cfRule type="cellIs" dxfId="643" priority="48" operator="greaterThan">
      <formula>0</formula>
    </cfRule>
  </conditionalFormatting>
  <conditionalFormatting sqref="B7">
    <cfRule type="cellIs" dxfId="642" priority="49" operator="lessThan">
      <formula>0</formula>
    </cfRule>
  </conditionalFormatting>
  <conditionalFormatting sqref="B7">
    <cfRule type="cellIs" dxfId="641" priority="42" operator="greaterThan">
      <formula>0</formula>
    </cfRule>
  </conditionalFormatting>
  <conditionalFormatting sqref="B7">
    <cfRule type="cellIs" dxfId="640" priority="43" operator="lessThan">
      <formula>0</formula>
    </cfRule>
  </conditionalFormatting>
  <conditionalFormatting sqref="B7">
    <cfRule type="cellIs" dxfId="639" priority="44" operator="greaterThan">
      <formula>0</formula>
    </cfRule>
  </conditionalFormatting>
  <conditionalFormatting sqref="B7">
    <cfRule type="cellIs" dxfId="638" priority="45" operator="lessThan">
      <formula>0</formula>
    </cfRule>
  </conditionalFormatting>
  <conditionalFormatting sqref="B7">
    <cfRule type="cellIs" dxfId="637" priority="38" operator="greaterThan">
      <formula>0</formula>
    </cfRule>
  </conditionalFormatting>
  <conditionalFormatting sqref="B7">
    <cfRule type="cellIs" dxfId="636" priority="39" operator="lessThan">
      <formula>0</formula>
    </cfRule>
  </conditionalFormatting>
  <conditionalFormatting sqref="B7">
    <cfRule type="cellIs" dxfId="635" priority="40" operator="greaterThan">
      <formula>0</formula>
    </cfRule>
  </conditionalFormatting>
  <conditionalFormatting sqref="B7">
    <cfRule type="cellIs" dxfId="634" priority="41" operator="lessThan">
      <formula>0</formula>
    </cfRule>
  </conditionalFormatting>
  <conditionalFormatting sqref="B7">
    <cfRule type="cellIs" dxfId="633" priority="34" operator="greaterThan">
      <formula>0</formula>
    </cfRule>
  </conditionalFormatting>
  <conditionalFormatting sqref="B7">
    <cfRule type="cellIs" dxfId="632" priority="35" operator="lessThan">
      <formula>0</formula>
    </cfRule>
  </conditionalFormatting>
  <conditionalFormatting sqref="B7">
    <cfRule type="cellIs" dxfId="631" priority="36" operator="greaterThan">
      <formula>0</formula>
    </cfRule>
  </conditionalFormatting>
  <conditionalFormatting sqref="B7">
    <cfRule type="cellIs" dxfId="630" priority="37" operator="lessThan">
      <formula>0</formula>
    </cfRule>
  </conditionalFormatting>
  <conditionalFormatting sqref="B7">
    <cfRule type="cellIs" dxfId="629" priority="30" operator="greaterThan">
      <formula>0</formula>
    </cfRule>
  </conditionalFormatting>
  <conditionalFormatting sqref="B7">
    <cfRule type="cellIs" dxfId="628" priority="31" operator="lessThan">
      <formula>0</formula>
    </cfRule>
  </conditionalFormatting>
  <conditionalFormatting sqref="B7">
    <cfRule type="cellIs" dxfId="627" priority="32" operator="greaterThan">
      <formula>0</formula>
    </cfRule>
  </conditionalFormatting>
  <conditionalFormatting sqref="B7">
    <cfRule type="cellIs" dxfId="626" priority="33" operator="lessThan">
      <formula>0</formula>
    </cfRule>
  </conditionalFormatting>
  <conditionalFormatting sqref="B7">
    <cfRule type="cellIs" dxfId="625" priority="26" operator="greaterThan">
      <formula>0</formula>
    </cfRule>
  </conditionalFormatting>
  <conditionalFormatting sqref="B7">
    <cfRule type="cellIs" dxfId="624" priority="27" operator="lessThan">
      <formula>0</formula>
    </cfRule>
  </conditionalFormatting>
  <conditionalFormatting sqref="B7">
    <cfRule type="cellIs" dxfId="623" priority="28" operator="greaterThan">
      <formula>0</formula>
    </cfRule>
  </conditionalFormatting>
  <conditionalFormatting sqref="B7">
    <cfRule type="cellIs" dxfId="622" priority="29" operator="lessThan">
      <formula>0</formula>
    </cfRule>
  </conditionalFormatting>
  <conditionalFormatting sqref="B7">
    <cfRule type="cellIs" dxfId="621" priority="22" operator="greaterThan">
      <formula>0</formula>
    </cfRule>
  </conditionalFormatting>
  <conditionalFormatting sqref="B7">
    <cfRule type="cellIs" dxfId="620" priority="23" operator="lessThan">
      <formula>0</formula>
    </cfRule>
  </conditionalFormatting>
  <conditionalFormatting sqref="B7">
    <cfRule type="cellIs" dxfId="619" priority="24" operator="greaterThan">
      <formula>0</formula>
    </cfRule>
  </conditionalFormatting>
  <conditionalFormatting sqref="B7">
    <cfRule type="cellIs" dxfId="618" priority="25" operator="lessThan">
      <formula>0</formula>
    </cfRule>
  </conditionalFormatting>
  <conditionalFormatting sqref="AH3:AH42">
    <cfRule type="cellIs" dxfId="617" priority="21" operator="lessThan">
      <formula>0.01</formula>
    </cfRule>
  </conditionalFormatting>
  <conditionalFormatting sqref="V3:V42">
    <cfRule type="cellIs" dxfId="616" priority="20" operator="lessThan">
      <formula>0.01</formula>
    </cfRule>
  </conditionalFormatting>
  <conditionalFormatting sqref="AR3:AR42">
    <cfRule type="expression" dxfId="615" priority="19">
      <formula>$O$18-$U3&lt;0</formula>
    </cfRule>
  </conditionalFormatting>
  <conditionalFormatting sqref="AR3:AR42">
    <cfRule type="expression" dxfId="614" priority="18">
      <formula>$O$18-$U3&gt;0</formula>
    </cfRule>
  </conditionalFormatting>
  <conditionalFormatting sqref="AS3:AS42">
    <cfRule type="expression" dxfId="613" priority="17">
      <formula>$O$18-$U3&lt;0</formula>
    </cfRule>
  </conditionalFormatting>
  <conditionalFormatting sqref="AS3:AS42">
    <cfRule type="expression" dxfId="612" priority="16">
      <formula>$O$18-$U3&gt;0</formula>
    </cfRule>
  </conditionalFormatting>
  <conditionalFormatting sqref="AT3:AT42">
    <cfRule type="expression" dxfId="611" priority="15">
      <formula>$O$18-$U3&lt;0</formula>
    </cfRule>
  </conditionalFormatting>
  <conditionalFormatting sqref="AT3:AT42">
    <cfRule type="expression" dxfId="610" priority="14">
      <formula>$O$18-$U3&gt;0</formula>
    </cfRule>
  </conditionalFormatting>
  <conditionalFormatting sqref="T3:T42">
    <cfRule type="cellIs" dxfId="609" priority="13" operator="equal">
      <formula>0</formula>
    </cfRule>
  </conditionalFormatting>
  <conditionalFormatting sqref="AF3:AF42">
    <cfRule type="cellIs" dxfId="608" priority="12" operator="equal">
      <formula>0</formula>
    </cfRule>
  </conditionalFormatting>
  <conditionalFormatting sqref="AB3:AB42">
    <cfRule type="cellIs" dxfId="607" priority="9" operator="equal">
      <formula>0</formula>
    </cfRule>
  </conditionalFormatting>
  <conditionalFormatting sqref="AC3:AC42">
    <cfRule type="cellIs" dxfId="606" priority="8" operator="equal">
      <formula>0</formula>
    </cfRule>
  </conditionalFormatting>
  <conditionalFormatting sqref="AM3:AM42">
    <cfRule type="cellIs" dxfId="605" priority="4" operator="lessThan">
      <formula>AH3</formula>
    </cfRule>
    <cfRule type="cellIs" dxfId="604" priority="5" operator="equal">
      <formula>0</formula>
    </cfRule>
  </conditionalFormatting>
  <conditionalFormatting sqref="AK3:AL42">
    <cfRule type="cellIs" dxfId="603" priority="3" operator="equal">
      <formula>0</formula>
    </cfRule>
  </conditionalFormatting>
  <conditionalFormatting sqref="AN3:AN42">
    <cfRule type="cellIs" dxfId="602" priority="2" operator="equal">
      <formula>0</formula>
    </cfRule>
  </conditionalFormatting>
  <conditionalFormatting sqref="AO3:AO42">
    <cfRule type="cellIs" dxfId="601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4" zoomScale="80" zoomScaleNormal="80" workbookViewId="0">
      <selection activeCell="E30" sqref="E30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7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618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619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620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621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624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625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626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627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628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629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549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550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551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552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553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554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543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544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545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546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547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548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594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183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595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230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596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231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588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186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589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238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590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239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591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184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592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240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593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241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597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185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598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242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599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243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600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187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601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232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602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233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603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164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604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220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605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221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609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190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610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234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611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235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188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607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236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608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237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612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189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613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276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614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277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/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/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/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/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/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/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41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41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41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41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 ht="12.75">
      <c r="E577" s="14"/>
    </row>
    <row r="578" spans="5:5" ht="12.75">
      <c r="E578" s="14"/>
    </row>
    <row r="579" spans="5:5" ht="12.75">
      <c r="E579" s="14"/>
    </row>
    <row r="580" spans="5:5" ht="12.75">
      <c r="E580" s="14"/>
    </row>
    <row r="581" spans="5:5" ht="12.75">
      <c r="E581" s="14"/>
    </row>
    <row r="582" spans="5:5" ht="12.75">
      <c r="E582" s="14"/>
    </row>
    <row r="583" spans="5:5" ht="12.75"/>
    <row r="584" spans="5:5" ht="12.75"/>
    <row r="585" spans="5:5" ht="12.75"/>
    <row r="586" spans="5:5" ht="12.75"/>
    <row r="587" spans="5:5" ht="12.75"/>
    <row r="588" spans="5:5" ht="12.75"/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</cp:lastModifiedBy>
  <dcterms:created xsi:type="dcterms:W3CDTF">2022-08-27T02:37:58Z</dcterms:created>
  <dcterms:modified xsi:type="dcterms:W3CDTF">2023-12-04T20:03:02Z</dcterms:modified>
</cp:coreProperties>
</file>